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urnera" sheetId="1" state="visible" r:id="rId2"/>
    <sheet name="FInal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<sst xmlns="http://schemas.openxmlformats.org/spreadsheetml/2006/main" count="9842" uniqueCount="196">
  <si>
    <t>Experiment ID</t>
  </si>
  <si>
    <t>Plant ID</t>
  </si>
  <si>
    <t>Treatment</t>
  </si>
  <si>
    <t>Date</t>
  </si>
  <si>
    <t>Day</t>
  </si>
  <si>
    <t>n Flowers</t>
  </si>
  <si>
    <t>n buds</t>
  </si>
  <si>
    <t>n leaves</t>
  </si>
  <si>
    <t>FN volume (mm)</t>
  </si>
  <si>
    <t>FN volume (uL)</t>
  </si>
  <si>
    <t>FN volumer per flower (uL)</t>
  </si>
  <si>
    <t>FN concentration measured</t>
  </si>
  <si>
    <t>Dilution</t>
  </si>
  <si>
    <t>FN actual concentration</t>
  </si>
  <si>
    <t>Density</t>
  </si>
  <si>
    <t>FN Total sugar (mg)</t>
  </si>
  <si>
    <t>FN Sugar per Flower (mg)</t>
  </si>
  <si>
    <t>Active EFN pairs</t>
  </si>
  <si>
    <t>EFN volume (mm)</t>
  </si>
  <si>
    <t>EFN volume (uL)</t>
  </si>
  <si>
    <t>EFN volumer per nectary (uL)</t>
  </si>
  <si>
    <t>EFN recorded concentration</t>
  </si>
  <si>
    <t>Density diluted</t>
  </si>
  <si>
    <t>actual EFN concentration</t>
  </si>
  <si>
    <t>EFN Total Sugar (mg)</t>
  </si>
  <si>
    <t>EFN Sugar per Nectary (mg)</t>
  </si>
  <si>
    <t>EFN1T</t>
  </si>
  <si>
    <t>1.11.4</t>
  </si>
  <si>
    <t>EFN</t>
  </si>
  <si>
    <t>Jan 10 2014</t>
  </si>
  <si>
    <t>Concentration (w/w)</t>
  </si>
  <si>
    <t>Density 2</t>
  </si>
  <si>
    <t>EFN2T</t>
  </si>
  <si>
    <t>2.5.2</t>
  </si>
  <si>
    <t>EFN3T</t>
  </si>
  <si>
    <t>1.11.1</t>
  </si>
  <si>
    <t>EFN4T</t>
  </si>
  <si>
    <t>2.3.5</t>
  </si>
  <si>
    <t>EFN5T</t>
  </si>
  <si>
    <t>1.7.1</t>
  </si>
  <si>
    <t>EFN6T</t>
  </si>
  <si>
    <t>2.4.1</t>
  </si>
  <si>
    <t>EFN7T</t>
  </si>
  <si>
    <t>2.14.5</t>
  </si>
  <si>
    <t>EFN8T</t>
  </si>
  <si>
    <t>1.11.5</t>
  </si>
  <si>
    <t>EFN9T</t>
  </si>
  <si>
    <t>2.11.1</t>
  </si>
  <si>
    <t>EFN10T</t>
  </si>
  <si>
    <t>1.7.5</t>
  </si>
  <si>
    <t>EFN11T</t>
  </si>
  <si>
    <t>1.8.2</t>
  </si>
  <si>
    <t>EFN12T</t>
  </si>
  <si>
    <t>2.9.1</t>
  </si>
  <si>
    <t>FN1T</t>
  </si>
  <si>
    <t>2.14.4</t>
  </si>
  <si>
    <t>FN</t>
  </si>
  <si>
    <t>FN2T</t>
  </si>
  <si>
    <t>2.3.6</t>
  </si>
  <si>
    <t>FN3T</t>
  </si>
  <si>
    <t>1.11.6</t>
  </si>
  <si>
    <t>FN4T</t>
  </si>
  <si>
    <t>1.7.6</t>
  </si>
  <si>
    <t>FN5T</t>
  </si>
  <si>
    <t>2.14.2</t>
  </si>
  <si>
    <t>FN6T</t>
  </si>
  <si>
    <t>1.11.2</t>
  </si>
  <si>
    <t>FN7T</t>
  </si>
  <si>
    <t>2.5.6</t>
  </si>
  <si>
    <t>FN8T</t>
  </si>
  <si>
    <t>2.11.2</t>
  </si>
  <si>
    <t>FN9T</t>
  </si>
  <si>
    <t>2.11.4</t>
  </si>
  <si>
    <t>FN10T</t>
  </si>
  <si>
    <t>2.14.6</t>
  </si>
  <si>
    <t>FN11T</t>
  </si>
  <si>
    <t>1.8.5</t>
  </si>
  <si>
    <t>FN12T</t>
  </si>
  <si>
    <t>2.4.5</t>
  </si>
  <si>
    <t>A1T</t>
  </si>
  <si>
    <t>1.7.3</t>
  </si>
  <si>
    <t>All</t>
  </si>
  <si>
    <t>A2T</t>
  </si>
  <si>
    <t>2.5.3</t>
  </si>
  <si>
    <t>A3T</t>
  </si>
  <si>
    <t>2.3.2</t>
  </si>
  <si>
    <t>A4T</t>
  </si>
  <si>
    <t>1.7.4</t>
  </si>
  <si>
    <t>A5T</t>
  </si>
  <si>
    <t>2.11.5</t>
  </si>
  <si>
    <t>A6T</t>
  </si>
  <si>
    <t>2.4.2</t>
  </si>
  <si>
    <t>A7T</t>
  </si>
  <si>
    <t>1.8.6</t>
  </si>
  <si>
    <t>A8T</t>
  </si>
  <si>
    <t>1.11.3</t>
  </si>
  <si>
    <t>A9T</t>
  </si>
  <si>
    <t>2.5.4</t>
  </si>
  <si>
    <t>A10T</t>
  </si>
  <si>
    <t>1.8.3</t>
  </si>
  <si>
    <t>A11T</t>
  </si>
  <si>
    <t>2.3.1</t>
  </si>
  <si>
    <t>A12T</t>
  </si>
  <si>
    <t>2.4.4</t>
  </si>
  <si>
    <t>C1T</t>
  </si>
  <si>
    <t>1.8.1</t>
  </si>
  <si>
    <t>Control</t>
  </si>
  <si>
    <t>C2T</t>
  </si>
  <si>
    <t>C3T</t>
  </si>
  <si>
    <t>2.14.3</t>
  </si>
  <si>
    <t>C4T</t>
  </si>
  <si>
    <t>2.3.4</t>
  </si>
  <si>
    <t>C5T</t>
  </si>
  <si>
    <t>1.7.2</t>
  </si>
  <si>
    <t>C6T</t>
  </si>
  <si>
    <t>1.15.4</t>
  </si>
  <si>
    <t>C7T</t>
  </si>
  <si>
    <t>2.4.3</t>
  </si>
  <si>
    <t>C8T</t>
  </si>
  <si>
    <t>2.11.3</t>
  </si>
  <si>
    <t>C9T</t>
  </si>
  <si>
    <t>2.5.5</t>
  </si>
  <si>
    <t>C10T</t>
  </si>
  <si>
    <t>1.8.4</t>
  </si>
  <si>
    <t>C11T</t>
  </si>
  <si>
    <t>2.5.1</t>
  </si>
  <si>
    <t>C12T</t>
  </si>
  <si>
    <t>2.14.1</t>
  </si>
  <si>
    <t>Jan 11 2014</t>
  </si>
  <si>
    <t>Jan 12 2014</t>
  </si>
  <si>
    <t>Jan 13 2014</t>
  </si>
  <si>
    <t>Jan14 2014</t>
  </si>
  <si>
    <t>Jan 15 2014</t>
  </si>
  <si>
    <t>Jan 16 2014</t>
  </si>
  <si>
    <t>Jan 17 2014</t>
  </si>
  <si>
    <t>Jan 18 2014</t>
  </si>
  <si>
    <t>Jan 19 2014</t>
  </si>
  <si>
    <t>Jan 20 2014</t>
  </si>
  <si>
    <t>N/A</t>
  </si>
  <si>
    <t>Jan 21 2014</t>
  </si>
  <si>
    <t>Jan 22 2014</t>
  </si>
  <si>
    <t>Jan 23 2014</t>
  </si>
  <si>
    <t>Jan 24 2014</t>
  </si>
  <si>
    <t>Jan 25 2014</t>
  </si>
  <si>
    <t>Jan 26 2014</t>
  </si>
  <si>
    <t>Jan 27 2014</t>
  </si>
  <si>
    <t>Jan 28 2014</t>
  </si>
  <si>
    <t>Jan 29 1014</t>
  </si>
  <si>
    <t>Jan 30 2014</t>
  </si>
  <si>
    <t>Jan 31 2014</t>
  </si>
  <si>
    <t>Feb 1 2014</t>
  </si>
  <si>
    <t>Feb 2 2014</t>
  </si>
  <si>
    <t>Feb 3 2014</t>
  </si>
  <si>
    <t>Feb 4 2014</t>
  </si>
  <si>
    <t>Feb 5 2014</t>
  </si>
  <si>
    <t>Feb 6 2014</t>
  </si>
  <si>
    <t>Feb 7 2014</t>
  </si>
  <si>
    <t>Feb 8 2014</t>
  </si>
  <si>
    <t>Feb 9 2014</t>
  </si>
  <si>
    <t>Feb 10 2014</t>
  </si>
  <si>
    <t>Feb 11 2014</t>
  </si>
  <si>
    <t>Feb 12 2014</t>
  </si>
  <si>
    <t>Feb 13 2014</t>
  </si>
  <si>
    <t>Feb 14 2014</t>
  </si>
  <si>
    <t>Feb 15 2014</t>
  </si>
  <si>
    <t>Feb 16 2014</t>
  </si>
  <si>
    <t>Feb 17 2014</t>
  </si>
  <si>
    <t>Feb 18 2014</t>
  </si>
  <si>
    <t>Feb 19 2014</t>
  </si>
  <si>
    <t>Feb 20 2014</t>
  </si>
  <si>
    <t>Feb 21 2014</t>
  </si>
  <si>
    <t>Feb 22 2014</t>
  </si>
  <si>
    <t>Feb 23 2014</t>
  </si>
  <si>
    <t>Feb 24 2014</t>
  </si>
  <si>
    <t>Feb 25 2014</t>
  </si>
  <si>
    <t>Feb 26 2014</t>
  </si>
  <si>
    <t>Feb 27 2014</t>
  </si>
  <si>
    <t>Feb 28 2014</t>
  </si>
  <si>
    <t>PlantID</t>
  </si>
  <si>
    <t>Leaves</t>
  </si>
  <si>
    <t>Buds</t>
  </si>
  <si>
    <t>nFlowers</t>
  </si>
  <si>
    <t>FNvol</t>
  </si>
  <si>
    <t>FNconc</t>
  </si>
  <si>
    <t>FNsugar</t>
  </si>
  <si>
    <t>FNvol_per</t>
  </si>
  <si>
    <t>FNconc2</t>
  </si>
  <si>
    <t>Fnsugar_per</t>
  </si>
  <si>
    <t>nEFN</t>
  </si>
  <si>
    <t>EFNvol</t>
  </si>
  <si>
    <t>EFNconc</t>
  </si>
  <si>
    <t>EFNsugar</t>
  </si>
  <si>
    <t>EFNvol_per</t>
  </si>
  <si>
    <t>EFNsugar_per</t>
  </si>
  <si>
    <t>No</t>
  </si>
  <si>
    <t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</si>
</sst>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C24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S457" activePane="bottomRight" state="frozen"/>
      <selection pane="topLeft" activeCell="A1" activeCellId="0" sqref="A1"/>
      <selection pane="topRight" activeCell="S1" activeCellId="0" sqref="S1"/>
      <selection pane="bottomLeft" activeCell="A457" activeCellId="0" sqref="A457"/>
      <selection pane="bottomRight" activeCell="C469" activeCellId="1" sqref="D38:D49 C469"/>
    </sheetView>
  </sheetViews>
  <sheetFormatPr defaultRowHeight="15"/>
  <cols>
    <col collapsed="false" hidden="false" max="2" min="1" style="0" width="13.7125506072874"/>
    <col collapsed="false" hidden="false" max="3" min="3" style="0" width="10.2834008097166"/>
    <col collapsed="false" hidden="false" max="4" min="4" style="0" width="11.1417004048583"/>
    <col collapsed="false" hidden="false" max="5" min="5" style="0" width="10.2834008097166"/>
    <col collapsed="false" hidden="false" max="6" min="6" style="0" width="9.57085020242915"/>
    <col collapsed="false" hidden="false" max="8" min="7" style="0" width="8.5748987854251"/>
    <col collapsed="false" hidden="false" max="9" min="9" style="0" width="16.004048582996"/>
    <col collapsed="false" hidden="false" max="11" min="10" style="0" width="14.5668016194332"/>
    <col collapsed="false" hidden="false" max="12" min="12" style="0" width="26"/>
    <col collapsed="false" hidden="false" max="13" min="13" style="0" width="8.5748987854251"/>
    <col collapsed="false" hidden="false" max="17" min="14" style="0" width="22.2793522267206"/>
    <col collapsed="false" hidden="false" max="18" min="18" style="0" width="15.2834008097166"/>
    <col collapsed="false" hidden="false" max="19" min="19" style="0" width="17.004048582996"/>
    <col collapsed="false" hidden="false" max="21" min="20" style="0" width="15.5668016194332"/>
    <col collapsed="false" hidden="false" max="22" min="22" style="0" width="26.1457489878542"/>
    <col collapsed="false" hidden="false" max="24" min="23" style="0" width="11.8542510121458"/>
    <col collapsed="false" hidden="false" max="25" min="25" style="0" width="23.2793522267206"/>
    <col collapsed="false" hidden="false" max="26" min="26" style="0" width="19.4251012145749"/>
    <col collapsed="false" hidden="false" max="27" min="27" style="0" width="23.2793522267206"/>
    <col collapsed="false" hidden="false" max="1025" min="28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12</v>
      </c>
      <c r="X1" s="0" t="s">
        <v>22</v>
      </c>
      <c r="Y1" s="0" t="s">
        <v>23</v>
      </c>
      <c r="Z1" s="0" t="s">
        <v>24</v>
      </c>
      <c r="AA1" s="0" t="s">
        <v>25</v>
      </c>
    </row>
    <row r="2" customFormat="false" ht="15" hidden="false" customHeight="false" outlineLevel="0" collapsed="false">
      <c r="A2" s="0" t="s">
        <v>26</v>
      </c>
      <c r="B2" s="0" t="s">
        <v>27</v>
      </c>
      <c r="C2" s="0" t="s">
        <v>28</v>
      </c>
      <c r="D2" s="0" t="s">
        <v>29</v>
      </c>
      <c r="E2" s="0" t="n">
        <v>1</v>
      </c>
      <c r="F2" s="0" t="n">
        <v>0</v>
      </c>
      <c r="G2" s="0" t="n">
        <v>6</v>
      </c>
      <c r="H2" s="0" t="n">
        <v>73</v>
      </c>
      <c r="I2" s="1"/>
      <c r="J2" s="1"/>
      <c r="K2" s="1"/>
      <c r="L2" s="1"/>
      <c r="M2" s="1"/>
      <c r="N2" s="1"/>
      <c r="O2" s="1"/>
      <c r="P2" s="1"/>
      <c r="Q2" s="1"/>
      <c r="R2" s="0" t="n">
        <v>2</v>
      </c>
      <c r="S2" s="0" t="n">
        <v>14.6</v>
      </c>
      <c r="T2" s="0" t="n">
        <f aca="false">(S2/32)*2</f>
        <v>0.9125</v>
      </c>
      <c r="V2" s="0" t="n">
        <v>9</v>
      </c>
      <c r="W2" s="0" t="n">
        <v>4</v>
      </c>
      <c r="X2" s="0" t="n">
        <v>1.0341</v>
      </c>
      <c r="Y2" s="2" t="n">
        <f aca="false">(V2*((W2+T2)/1000)*X2)/((((W2+T2)/1000)*X2)-((W2/1000)*0.9982))</f>
        <v>42.0524861084444</v>
      </c>
      <c r="Z2" s="3" t="n">
        <f aca="false">X2*(V2/100)*((W2+T2)/1000)*1000</f>
        <v>0.4572014625</v>
      </c>
      <c r="AA2" s="4"/>
      <c r="AB2" s="0" t="s">
        <v>30</v>
      </c>
      <c r="AC2" s="0" t="s">
        <v>31</v>
      </c>
    </row>
    <row r="3" customFormat="false" ht="15" hidden="false" customHeight="false" outlineLevel="0" collapsed="false">
      <c r="A3" s="0" t="s">
        <v>32</v>
      </c>
      <c r="B3" s="0" t="s">
        <v>33</v>
      </c>
      <c r="C3" s="0" t="s">
        <v>28</v>
      </c>
      <c r="D3" s="0" t="s">
        <v>29</v>
      </c>
      <c r="E3" s="0" t="n">
        <v>1</v>
      </c>
      <c r="F3" s="0" t="n">
        <v>0</v>
      </c>
      <c r="G3" s="0" t="n">
        <v>18</v>
      </c>
      <c r="H3" s="0" t="n">
        <v>69</v>
      </c>
      <c r="I3" s="1"/>
      <c r="J3" s="1"/>
      <c r="K3" s="1"/>
      <c r="L3" s="1"/>
      <c r="M3" s="1"/>
      <c r="N3" s="1"/>
      <c r="O3" s="1"/>
      <c r="P3" s="1"/>
      <c r="Q3" s="1"/>
      <c r="R3" s="0" t="n">
        <v>4</v>
      </c>
      <c r="S3" s="0" t="n">
        <v>17.7</v>
      </c>
      <c r="T3" s="0" t="n">
        <f aca="false">(S3/32)*2</f>
        <v>1.10625</v>
      </c>
      <c r="V3" s="0" t="n">
        <v>9</v>
      </c>
      <c r="W3" s="0" t="n">
        <v>4</v>
      </c>
      <c r="X3" s="0" t="n">
        <v>1.0341</v>
      </c>
      <c r="Y3" s="2" t="n">
        <f aca="false">(V3*((W3+T3)/1000)*X3)/((((W3+T3)/1000)*X3)-((W3/1000)*0.9982))</f>
        <v>36.9092498144523</v>
      </c>
      <c r="Z3" s="3" t="n">
        <f aca="false">X3*(V3/100)*((W3+T3)/1000)*1000</f>
        <v>0.47523358125</v>
      </c>
      <c r="AA3" s="4"/>
      <c r="AB3" s="0" t="n">
        <v>0</v>
      </c>
      <c r="AC3" s="0" t="n">
        <v>0.9982</v>
      </c>
    </row>
    <row r="4" customFormat="false" ht="15" hidden="false" customHeight="false" outlineLevel="0" collapsed="false">
      <c r="A4" s="0" t="s">
        <v>34</v>
      </c>
      <c r="B4" s="0" t="s">
        <v>35</v>
      </c>
      <c r="C4" s="0" t="s">
        <v>28</v>
      </c>
      <c r="D4" s="0" t="s">
        <v>29</v>
      </c>
      <c r="E4" s="0" t="n">
        <v>1</v>
      </c>
      <c r="F4" s="0" t="n">
        <v>0</v>
      </c>
      <c r="G4" s="0" t="n">
        <v>7</v>
      </c>
      <c r="H4" s="0" t="n">
        <v>52</v>
      </c>
      <c r="I4" s="1"/>
      <c r="J4" s="1"/>
      <c r="K4" s="1"/>
      <c r="L4" s="1"/>
      <c r="M4" s="1"/>
      <c r="N4" s="1"/>
      <c r="O4" s="1"/>
      <c r="P4" s="1"/>
      <c r="Q4" s="1"/>
      <c r="R4" s="0" t="n">
        <v>5</v>
      </c>
      <c r="S4" s="0" t="n">
        <v>16.9</v>
      </c>
      <c r="T4" s="0" t="n">
        <f aca="false">(S4/32)*2</f>
        <v>1.05625</v>
      </c>
      <c r="V4" s="0" t="n">
        <v>9</v>
      </c>
      <c r="W4" s="0" t="n">
        <v>4</v>
      </c>
      <c r="X4" s="0" t="n">
        <v>1.0341</v>
      </c>
      <c r="Y4" s="2" t="n">
        <f aca="false">(V4*((W4+T4)/1000)*X4)/((((W4+T4)/1000)*X4)-((W4/1000)*0.9982))</f>
        <v>38.0768887659434</v>
      </c>
      <c r="Z4" s="3" t="n">
        <f aca="false">X4*(V4/100)*((W4+T4)/1000)*1000</f>
        <v>0.47058013125</v>
      </c>
      <c r="AA4" s="4"/>
      <c r="AB4" s="0" t="n">
        <v>0.5</v>
      </c>
      <c r="AC4" s="0" t="n">
        <v>1.00015</v>
      </c>
    </row>
    <row r="5" customFormat="false" ht="15" hidden="false" customHeight="false" outlineLevel="0" collapsed="false">
      <c r="A5" s="0" t="s">
        <v>36</v>
      </c>
      <c r="B5" s="0" t="s">
        <v>37</v>
      </c>
      <c r="C5" s="0" t="s">
        <v>28</v>
      </c>
      <c r="D5" s="0" t="s">
        <v>29</v>
      </c>
      <c r="E5" s="0" t="n">
        <v>1</v>
      </c>
      <c r="F5" s="0" t="n">
        <v>0</v>
      </c>
      <c r="G5" s="0" t="n">
        <v>5</v>
      </c>
      <c r="H5" s="0" t="n">
        <v>54</v>
      </c>
      <c r="I5" s="1"/>
      <c r="J5" s="1"/>
      <c r="K5" s="1"/>
      <c r="L5" s="1"/>
      <c r="M5" s="1"/>
      <c r="N5" s="1"/>
      <c r="O5" s="1"/>
      <c r="P5" s="1"/>
      <c r="Q5" s="1"/>
      <c r="R5" s="0" t="n">
        <v>3</v>
      </c>
      <c r="S5" s="0" t="n">
        <v>23.3</v>
      </c>
      <c r="T5" s="0" t="n">
        <f aca="false">(S5/32)*2</f>
        <v>1.45625</v>
      </c>
      <c r="V5" s="0" t="n">
        <v>8.5</v>
      </c>
      <c r="W5" s="0" t="n">
        <v>4</v>
      </c>
      <c r="X5" s="0" t="n">
        <v>1.032</v>
      </c>
      <c r="Y5" s="2" t="n">
        <f aca="false">(V5*((W5+T5)/1000)*X5)/((((W5+T5)/1000)*X5)-((W5/1000)*0.9982))</f>
        <v>29.2190256707671</v>
      </c>
      <c r="Z5" s="3" t="n">
        <f aca="false">X5*(V5/100)*((W5+T5)/1000)*1000</f>
        <v>0.47862225</v>
      </c>
      <c r="AA5" s="4"/>
      <c r="AB5" s="0" t="n">
        <v>1</v>
      </c>
      <c r="AC5" s="0" t="n">
        <v>1.0021</v>
      </c>
    </row>
    <row r="6" customFormat="false" ht="15" hidden="false" customHeight="false" outlineLevel="0" collapsed="false">
      <c r="A6" s="0" t="s">
        <v>38</v>
      </c>
      <c r="B6" s="0" t="s">
        <v>39</v>
      </c>
      <c r="C6" s="0" t="s">
        <v>28</v>
      </c>
      <c r="D6" s="0" t="s">
        <v>29</v>
      </c>
      <c r="E6" s="0" t="n">
        <v>1</v>
      </c>
      <c r="F6" s="0" t="n">
        <v>0</v>
      </c>
      <c r="G6" s="0" t="n">
        <v>11</v>
      </c>
      <c r="H6" s="0" t="n">
        <v>94</v>
      </c>
      <c r="I6" s="1"/>
      <c r="J6" s="1"/>
      <c r="K6" s="1"/>
      <c r="L6" s="1"/>
      <c r="M6" s="1"/>
      <c r="N6" s="1"/>
      <c r="O6" s="1"/>
      <c r="P6" s="1"/>
      <c r="Q6" s="1"/>
      <c r="R6" s="0" t="n">
        <v>6</v>
      </c>
      <c r="S6" s="0" t="n">
        <v>32</v>
      </c>
      <c r="T6" s="0" t="n">
        <f aca="false">(S6/32)*2</f>
        <v>2</v>
      </c>
      <c r="V6" s="0" t="n">
        <v>14.5</v>
      </c>
      <c r="W6" s="0" t="n">
        <v>4</v>
      </c>
      <c r="X6" s="0" t="n">
        <v>1.05705</v>
      </c>
      <c r="Y6" s="2" t="n">
        <f aca="false">(V6*((W6+T6)/1000)*X6)/((((W6+T6)/1000)*X6)-((W6/1000)*0.9982))</f>
        <v>39.1416684400936</v>
      </c>
      <c r="Z6" s="3" t="n">
        <f aca="false">X6*(V6/100)*((W6+T6)/1000)*1000</f>
        <v>0.9196335</v>
      </c>
      <c r="AA6" s="4"/>
      <c r="AB6" s="0" t="n">
        <v>1.5</v>
      </c>
      <c r="AC6" s="0" t="n">
        <v>1.00405</v>
      </c>
    </row>
    <row r="7" customFormat="false" ht="15" hidden="false" customHeight="false" outlineLevel="0" collapsed="false">
      <c r="A7" s="0" t="s">
        <v>40</v>
      </c>
      <c r="B7" s="0" t="s">
        <v>41</v>
      </c>
      <c r="C7" s="0" t="s">
        <v>28</v>
      </c>
      <c r="D7" s="0" t="s">
        <v>29</v>
      </c>
      <c r="E7" s="0" t="n">
        <v>1</v>
      </c>
      <c r="F7" s="0" t="n">
        <v>0</v>
      </c>
      <c r="G7" s="0" t="n">
        <v>4</v>
      </c>
      <c r="H7" s="0" t="n">
        <v>45</v>
      </c>
      <c r="I7" s="1"/>
      <c r="J7" s="1"/>
      <c r="K7" s="1"/>
      <c r="L7" s="1"/>
      <c r="M7" s="1"/>
      <c r="N7" s="1"/>
      <c r="O7" s="1"/>
      <c r="P7" s="1"/>
      <c r="Q7" s="1"/>
      <c r="R7" s="0" t="n">
        <v>2</v>
      </c>
      <c r="S7" s="0" t="n">
        <v>23.1</v>
      </c>
      <c r="T7" s="0" t="n">
        <f aca="false">(S7/32)*2</f>
        <v>1.44375</v>
      </c>
      <c r="V7" s="0" t="n">
        <v>9</v>
      </c>
      <c r="W7" s="0" t="n">
        <v>4</v>
      </c>
      <c r="X7" s="0" t="n">
        <v>1.0341</v>
      </c>
      <c r="Y7" s="2" t="n">
        <f aca="false">(V7*((W7+T7)/1000)*X7)/((((W7+T7)/1000)*X7)-((W7/1000)*0.9982))</f>
        <v>30.9574715747112</v>
      </c>
      <c r="Z7" s="3" t="n">
        <f aca="false">X7*(V7/100)*((W7+T7)/1000)*1000</f>
        <v>0.50664436875</v>
      </c>
      <c r="AA7" s="4"/>
      <c r="AB7" s="0" t="n">
        <v>2</v>
      </c>
      <c r="AC7" s="0" t="n">
        <v>1.006</v>
      </c>
    </row>
    <row r="8" customFormat="false" ht="15" hidden="false" customHeight="false" outlineLevel="0" collapsed="false">
      <c r="A8" s="0" t="s">
        <v>42</v>
      </c>
      <c r="B8" s="0" t="s">
        <v>43</v>
      </c>
      <c r="C8" s="0" t="s">
        <v>28</v>
      </c>
      <c r="D8" s="0" t="s">
        <v>29</v>
      </c>
      <c r="E8" s="0" t="n">
        <v>1</v>
      </c>
      <c r="F8" s="0" t="n">
        <v>0</v>
      </c>
      <c r="G8" s="0" t="n">
        <v>7</v>
      </c>
      <c r="H8" s="0" t="n">
        <v>83</v>
      </c>
      <c r="I8" s="1"/>
      <c r="J8" s="1"/>
      <c r="K8" s="1"/>
      <c r="L8" s="1"/>
      <c r="M8" s="1"/>
      <c r="N8" s="1"/>
      <c r="O8" s="1"/>
      <c r="P8" s="1"/>
      <c r="Q8" s="1"/>
      <c r="R8" s="0" t="n">
        <v>4</v>
      </c>
      <c r="S8" s="0" t="n">
        <f aca="false">32*3</f>
        <v>96</v>
      </c>
      <c r="T8" s="0" t="n">
        <f aca="false">(S8/32)*2</f>
        <v>6</v>
      </c>
      <c r="V8" s="0" t="n">
        <v>32.5</v>
      </c>
      <c r="W8" s="0" t="n">
        <v>4</v>
      </c>
      <c r="X8" s="0" t="n">
        <v>1.13905</v>
      </c>
      <c r="Y8" s="2" t="n">
        <f aca="false">(V8*((W8+T8)/1000)*X8)/((((W8+T8)/1000)*X8)-((W8/1000)*0.9982))</f>
        <v>50.0413980020817</v>
      </c>
      <c r="Z8" s="3" t="n">
        <f aca="false">X8*(V8/100)*((W8+T8)/1000)*1000</f>
        <v>3.7019125</v>
      </c>
      <c r="AA8" s="4"/>
      <c r="AB8" s="0" t="n">
        <v>2.5</v>
      </c>
      <c r="AC8" s="0" t="n">
        <v>1.00795</v>
      </c>
    </row>
    <row r="9" customFormat="false" ht="15" hidden="false" customHeight="false" outlineLevel="0" collapsed="false">
      <c r="A9" s="0" t="s">
        <v>44</v>
      </c>
      <c r="B9" s="0" t="s">
        <v>45</v>
      </c>
      <c r="C9" s="0" t="s">
        <v>28</v>
      </c>
      <c r="D9" s="0" t="s">
        <v>29</v>
      </c>
      <c r="E9" s="0" t="n">
        <v>1</v>
      </c>
      <c r="F9" s="0" t="n">
        <v>0</v>
      </c>
      <c r="G9" s="0" t="n">
        <v>11</v>
      </c>
      <c r="H9" s="0" t="n">
        <v>74</v>
      </c>
      <c r="I9" s="1"/>
      <c r="J9" s="1"/>
      <c r="K9" s="1"/>
      <c r="L9" s="1"/>
      <c r="M9" s="1"/>
      <c r="N9" s="1"/>
      <c r="O9" s="1"/>
      <c r="P9" s="1"/>
      <c r="Q9" s="1"/>
      <c r="R9" s="0" t="n">
        <v>3</v>
      </c>
      <c r="S9" s="0" t="n">
        <v>23.2</v>
      </c>
      <c r="T9" s="0" t="n">
        <f aca="false">(S9/32)*2</f>
        <v>1.45</v>
      </c>
      <c r="V9" s="0" t="n">
        <v>16.5</v>
      </c>
      <c r="W9" s="0" t="n">
        <v>4</v>
      </c>
      <c r="X9" s="0" t="n">
        <v>1.06565</v>
      </c>
      <c r="Y9" s="2" t="n">
        <f aca="false">(V9*((W9+T9)/1000)*X9)/((((W9+T9)/1000)*X9)-((W9/1000)*0.9982))</f>
        <v>52.7983318112885</v>
      </c>
      <c r="Z9" s="3" t="n">
        <f aca="false">X9*(V9/100)*((W9+T9)/1000)*1000</f>
        <v>0.9582857625</v>
      </c>
      <c r="AA9" s="4"/>
      <c r="AB9" s="0" t="n">
        <v>3</v>
      </c>
      <c r="AC9" s="0" t="n">
        <v>1.0099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0" t="s">
        <v>28</v>
      </c>
      <c r="D10" s="0" t="s">
        <v>29</v>
      </c>
      <c r="E10" s="0" t="n">
        <v>1</v>
      </c>
      <c r="F10" s="0" t="n">
        <v>0</v>
      </c>
      <c r="G10" s="0" t="n">
        <v>10</v>
      </c>
      <c r="H10" s="0" t="n">
        <v>120</v>
      </c>
      <c r="I10" s="1"/>
      <c r="J10" s="1"/>
      <c r="K10" s="1"/>
      <c r="L10" s="1"/>
      <c r="M10" s="1"/>
      <c r="N10" s="1"/>
      <c r="O10" s="1"/>
      <c r="P10" s="1"/>
      <c r="Q10" s="1"/>
      <c r="R10" s="0" t="n">
        <v>3</v>
      </c>
      <c r="S10" s="0" t="n">
        <f aca="false">32+20.7</f>
        <v>52.7</v>
      </c>
      <c r="T10" s="0" t="n">
        <f aca="false">(S10/32)*2</f>
        <v>3.29375</v>
      </c>
      <c r="V10" s="0" t="n">
        <v>17.5</v>
      </c>
      <c r="W10" s="0" t="n">
        <v>4</v>
      </c>
      <c r="X10" s="0" t="n">
        <v>1.07</v>
      </c>
      <c r="Y10" s="2" t="n">
        <f aca="false">(V10*((W10+T10)/1000)*X10)/((((W10+T10)/1000)*X10)-((W10/1000)*0.9982))</f>
        <v>35.8323549378364</v>
      </c>
      <c r="Z10" s="3" t="n">
        <f aca="false">X10*(V10/100)*((W10+T10)/1000)*1000</f>
        <v>1.3657546875</v>
      </c>
      <c r="AA10" s="4"/>
      <c r="AB10" s="0" t="n">
        <v>3.5</v>
      </c>
      <c r="AC10" s="0" t="n">
        <v>1.0119</v>
      </c>
    </row>
    <row r="11" customFormat="false" ht="15" hidden="false" customHeight="false" outlineLevel="0" collapsed="false">
      <c r="A11" s="0" t="s">
        <v>48</v>
      </c>
      <c r="B11" s="0" t="s">
        <v>49</v>
      </c>
      <c r="C11" s="0" t="s">
        <v>28</v>
      </c>
      <c r="D11" s="0" t="s">
        <v>29</v>
      </c>
      <c r="E11" s="0" t="n">
        <v>1</v>
      </c>
      <c r="F11" s="0" t="n">
        <v>0</v>
      </c>
      <c r="G11" s="0" t="n">
        <v>9</v>
      </c>
      <c r="H11" s="0" t="n">
        <v>49</v>
      </c>
      <c r="I11" s="1"/>
      <c r="J11" s="1"/>
      <c r="K11" s="1"/>
      <c r="L11" s="1"/>
      <c r="M11" s="1"/>
      <c r="N11" s="1"/>
      <c r="O11" s="1"/>
      <c r="P11" s="1"/>
      <c r="Q11" s="1"/>
      <c r="R11" s="0" t="n">
        <v>4</v>
      </c>
      <c r="S11" s="0" t="n">
        <v>30.2</v>
      </c>
      <c r="T11" s="0" t="n">
        <f aca="false">(S11/32)*2</f>
        <v>1.8875</v>
      </c>
      <c r="V11" s="0" t="n">
        <v>11</v>
      </c>
      <c r="W11" s="0" t="n">
        <v>4</v>
      </c>
      <c r="X11" s="0" t="n">
        <v>1.0423</v>
      </c>
      <c r="Y11" s="2" t="n">
        <f aca="false">(V11*((W11+T11)/1000)*X11)/((((W11+T11)/1000)*X11)-((W11/1000)*0.9982))</f>
        <v>31.4879203588586</v>
      </c>
      <c r="Z11" s="3" t="n">
        <f aca="false">X11*(V11/100)*((W11+T11)/1000)*1000</f>
        <v>0.6750195375</v>
      </c>
      <c r="AA11" s="4"/>
      <c r="AB11" s="0" t="n">
        <v>4</v>
      </c>
      <c r="AC11" s="0" t="n">
        <v>1.0139</v>
      </c>
    </row>
    <row r="12" customFormat="false" ht="15" hidden="false" customHeight="false" outlineLevel="0" collapsed="false">
      <c r="A12" s="0" t="s">
        <v>50</v>
      </c>
      <c r="B12" s="0" t="s">
        <v>51</v>
      </c>
      <c r="C12" s="0" t="s">
        <v>28</v>
      </c>
      <c r="D12" s="0" t="s">
        <v>29</v>
      </c>
      <c r="E12" s="0" t="n">
        <v>1</v>
      </c>
      <c r="F12" s="0" t="n">
        <v>0</v>
      </c>
      <c r="G12" s="0" t="n">
        <v>9</v>
      </c>
      <c r="H12" s="0" t="n">
        <v>111</v>
      </c>
      <c r="I12" s="1"/>
      <c r="J12" s="1"/>
      <c r="K12" s="1"/>
      <c r="L12" s="1"/>
      <c r="M12" s="1"/>
      <c r="N12" s="1"/>
      <c r="O12" s="1"/>
      <c r="P12" s="1"/>
      <c r="Q12" s="1"/>
      <c r="R12" s="0" t="n">
        <v>3</v>
      </c>
      <c r="S12" s="0" t="n">
        <f aca="false">32+13.6</f>
        <v>45.6</v>
      </c>
      <c r="T12" s="0" t="n">
        <f aca="false">(S12/32)*2</f>
        <v>2.85</v>
      </c>
      <c r="V12" s="0" t="n">
        <v>21</v>
      </c>
      <c r="W12" s="0" t="n">
        <v>4</v>
      </c>
      <c r="X12" s="0" t="n">
        <v>1.08545</v>
      </c>
      <c r="Y12" s="2" t="n">
        <f aca="false">(V12*((W12+T12)/1000)*X12)/((((W12+T12)/1000)*X12)-((W12/1000)*0.9982))</f>
        <v>45.3567199438204</v>
      </c>
      <c r="Z12" s="3" t="n">
        <f aca="false">X12*(V12/100)*((W12+T12)/1000)*1000</f>
        <v>1.561419825</v>
      </c>
      <c r="AA12" s="4"/>
      <c r="AB12" s="0" t="n">
        <v>4.5</v>
      </c>
      <c r="AC12" s="0" t="n">
        <v>1.0159</v>
      </c>
    </row>
    <row r="13" customFormat="false" ht="15" hidden="false" customHeight="false" outlineLevel="0" collapsed="false">
      <c r="A13" s="0" t="s">
        <v>52</v>
      </c>
      <c r="B13" s="0" t="s">
        <v>53</v>
      </c>
      <c r="C13" s="0" t="s">
        <v>28</v>
      </c>
      <c r="D13" s="0" t="s">
        <v>29</v>
      </c>
      <c r="E13" s="0" t="n">
        <v>1</v>
      </c>
      <c r="F13" s="0" t="n">
        <v>0</v>
      </c>
      <c r="G13" s="0" t="n">
        <v>7</v>
      </c>
      <c r="H13" s="0" t="n">
        <v>67</v>
      </c>
      <c r="I13" s="1"/>
      <c r="J13" s="1"/>
      <c r="K13" s="1"/>
      <c r="L13" s="1"/>
      <c r="M13" s="1"/>
      <c r="N13" s="1"/>
      <c r="O13" s="1"/>
      <c r="P13" s="1"/>
      <c r="Q13" s="1"/>
      <c r="R13" s="0" t="n">
        <v>3</v>
      </c>
      <c r="S13" s="0" t="n">
        <v>16.9</v>
      </c>
      <c r="T13" s="0" t="n">
        <f aca="false">(S13/32)*2</f>
        <v>1.05625</v>
      </c>
      <c r="V13" s="0" t="n">
        <v>7</v>
      </c>
      <c r="W13" s="0" t="n">
        <v>4</v>
      </c>
      <c r="X13" s="0" t="n">
        <f aca="false">(71.8+954.1)/1000</f>
        <v>1.0259</v>
      </c>
      <c r="Y13" s="2" t="n">
        <f aca="false">(V13*((W13+T13)/1000)*X13)/((((W13+T13)/1000)*X13)-((W13/1000)*0.9982))</f>
        <v>30.4004011405243</v>
      </c>
      <c r="Z13" s="3" t="n">
        <f aca="false">X13*(V13/100)*((W13+T13)/1000)*1000</f>
        <v>0.36310448125</v>
      </c>
      <c r="AA13" s="4"/>
      <c r="AB13" s="0" t="n">
        <v>5</v>
      </c>
      <c r="AC13" s="0" t="n">
        <v>1.0179</v>
      </c>
    </row>
    <row r="14" customFormat="false" ht="15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29</v>
      </c>
      <c r="E14" s="0" t="n">
        <v>1</v>
      </c>
      <c r="F14" s="0" t="n">
        <v>0</v>
      </c>
      <c r="G14" s="0" t="n">
        <v>4</v>
      </c>
      <c r="H14" s="0" t="n">
        <v>32</v>
      </c>
      <c r="I14" s="0" t="n">
        <v>0</v>
      </c>
      <c r="J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3" t="n">
        <v>0</v>
      </c>
      <c r="Q14" s="3"/>
      <c r="R14" s="0" t="n">
        <v>6</v>
      </c>
      <c r="S14" s="1"/>
      <c r="T14" s="1"/>
      <c r="U14" s="1"/>
      <c r="V14" s="1"/>
      <c r="W14" s="1"/>
      <c r="X14" s="1"/>
      <c r="Y14" s="5"/>
      <c r="Z14" s="1"/>
      <c r="AB14" s="0" t="n">
        <v>5.5</v>
      </c>
      <c r="AC14" s="0" t="n">
        <v>1.01985</v>
      </c>
    </row>
    <row r="15" customFormat="false" ht="15" hidden="false" customHeight="false" outlineLevel="0" collapsed="false">
      <c r="A15" s="0" t="s">
        <v>57</v>
      </c>
      <c r="B15" s="0" t="s">
        <v>58</v>
      </c>
      <c r="C15" s="0" t="s">
        <v>56</v>
      </c>
      <c r="D15" s="0" t="s">
        <v>29</v>
      </c>
      <c r="E15" s="0" t="n">
        <v>1</v>
      </c>
      <c r="F15" s="0" t="n">
        <v>0</v>
      </c>
      <c r="G15" s="0" t="n">
        <v>6</v>
      </c>
      <c r="H15" s="0" t="n">
        <v>56</v>
      </c>
      <c r="I15" s="0" t="n">
        <v>0</v>
      </c>
      <c r="J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3" t="n">
        <v>0</v>
      </c>
      <c r="Q15" s="3"/>
      <c r="R15" s="0" t="n">
        <v>5</v>
      </c>
      <c r="S15" s="1"/>
      <c r="T15" s="1"/>
      <c r="U15" s="1"/>
      <c r="V15" s="1"/>
      <c r="W15" s="1"/>
      <c r="X15" s="1"/>
      <c r="Y15" s="5"/>
      <c r="Z15" s="1"/>
      <c r="AB15" s="0" t="n">
        <v>6</v>
      </c>
      <c r="AC15" s="0" t="n">
        <v>1.0218</v>
      </c>
    </row>
    <row r="16" customFormat="false" ht="15" hidden="false" customHeight="false" outlineLevel="0" collapsed="false">
      <c r="A16" s="0" t="s">
        <v>59</v>
      </c>
      <c r="B16" s="0" t="s">
        <v>60</v>
      </c>
      <c r="C16" s="0" t="s">
        <v>56</v>
      </c>
      <c r="D16" s="0" t="s">
        <v>29</v>
      </c>
      <c r="E16" s="0" t="n">
        <v>1</v>
      </c>
      <c r="F16" s="0" t="n">
        <v>0</v>
      </c>
      <c r="G16" s="0" t="n">
        <v>16</v>
      </c>
      <c r="H16" s="0" t="n">
        <v>58</v>
      </c>
      <c r="I16" s="0" t="n">
        <v>0</v>
      </c>
      <c r="J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3" t="n">
        <v>0</v>
      </c>
      <c r="Q16" s="3"/>
      <c r="R16" s="0" t="n">
        <v>8</v>
      </c>
      <c r="S16" s="1"/>
      <c r="T16" s="1"/>
      <c r="U16" s="1"/>
      <c r="V16" s="1"/>
      <c r="W16" s="1"/>
      <c r="X16" s="1"/>
      <c r="Y16" s="5"/>
      <c r="Z16" s="1"/>
      <c r="AB16" s="0" t="n">
        <v>6.5</v>
      </c>
      <c r="AC16" s="0" t="n">
        <v>1.02385</v>
      </c>
    </row>
    <row r="17" customFormat="false" ht="15" hidden="false" customHeight="false" outlineLevel="0" collapsed="false">
      <c r="A17" s="0" t="s">
        <v>61</v>
      </c>
      <c r="B17" s="0" t="s">
        <v>62</v>
      </c>
      <c r="C17" s="0" t="s">
        <v>56</v>
      </c>
      <c r="D17" s="0" t="s">
        <v>29</v>
      </c>
      <c r="E17" s="0" t="n">
        <v>1</v>
      </c>
      <c r="F17" s="0" t="n">
        <v>0</v>
      </c>
      <c r="G17" s="0" t="n">
        <v>23</v>
      </c>
      <c r="H17" s="0" t="n">
        <v>112</v>
      </c>
      <c r="I17" s="0" t="n">
        <v>0</v>
      </c>
      <c r="J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3" t="n">
        <v>0</v>
      </c>
      <c r="Q17" s="3"/>
      <c r="R17" s="0" t="n">
        <v>10</v>
      </c>
      <c r="S17" s="1"/>
      <c r="T17" s="1"/>
      <c r="U17" s="1"/>
      <c r="V17" s="1"/>
      <c r="W17" s="1"/>
      <c r="X17" s="1"/>
      <c r="Y17" s="5"/>
      <c r="Z17" s="1"/>
      <c r="AB17" s="0" t="n">
        <v>7</v>
      </c>
      <c r="AC17" s="0" t="n">
        <v>1.0259</v>
      </c>
    </row>
    <row r="18" customFormat="false" ht="15" hidden="false" customHeight="false" outlineLevel="0" collapsed="false">
      <c r="A18" s="0" t="s">
        <v>63</v>
      </c>
      <c r="B18" s="0" t="s">
        <v>64</v>
      </c>
      <c r="C18" s="0" t="s">
        <v>56</v>
      </c>
      <c r="D18" s="0" t="s">
        <v>29</v>
      </c>
      <c r="E18" s="0" t="n">
        <v>1</v>
      </c>
      <c r="F18" s="0" t="n">
        <v>0</v>
      </c>
      <c r="G18" s="0" t="n">
        <v>7</v>
      </c>
      <c r="H18" s="0" t="n">
        <v>39</v>
      </c>
      <c r="I18" s="0" t="n">
        <v>0</v>
      </c>
      <c r="J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3" t="n">
        <v>0</v>
      </c>
      <c r="Q18" s="3"/>
      <c r="R18" s="0" t="n">
        <v>5</v>
      </c>
      <c r="S18" s="1"/>
      <c r="T18" s="1"/>
      <c r="U18" s="1"/>
      <c r="V18" s="1"/>
      <c r="W18" s="1"/>
      <c r="X18" s="1"/>
      <c r="Y18" s="5"/>
      <c r="Z18" s="1"/>
      <c r="AB18" s="0" t="n">
        <v>7.5</v>
      </c>
      <c r="AC18" s="0" t="n">
        <v>1.0279</v>
      </c>
    </row>
    <row r="19" customFormat="false" ht="15" hidden="false" customHeight="false" outlineLevel="0" collapsed="false">
      <c r="A19" s="0" t="s">
        <v>65</v>
      </c>
      <c r="B19" s="0" t="s">
        <v>66</v>
      </c>
      <c r="C19" s="0" t="s">
        <v>56</v>
      </c>
      <c r="D19" s="0" t="s">
        <v>29</v>
      </c>
      <c r="E19" s="0" t="n">
        <v>1</v>
      </c>
      <c r="F19" s="0" t="n">
        <v>0</v>
      </c>
      <c r="G19" s="0" t="n">
        <v>18</v>
      </c>
      <c r="H19" s="0" t="n">
        <v>122</v>
      </c>
      <c r="I19" s="0" t="n">
        <v>0</v>
      </c>
      <c r="J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3" t="n">
        <v>0</v>
      </c>
      <c r="Q19" s="3"/>
      <c r="R19" s="0" t="n">
        <v>14</v>
      </c>
      <c r="S19" s="1"/>
      <c r="T19" s="1"/>
      <c r="U19" s="1"/>
      <c r="V19" s="1"/>
      <c r="W19" s="1"/>
      <c r="X19" s="1"/>
      <c r="Y19" s="5"/>
      <c r="Z19" s="1"/>
      <c r="AB19" s="0" t="n">
        <v>8</v>
      </c>
      <c r="AC19" s="0" t="n">
        <v>1.0299</v>
      </c>
    </row>
    <row r="20" customFormat="false" ht="15" hidden="false" customHeight="false" outlineLevel="0" collapsed="false">
      <c r="A20" s="0" t="s">
        <v>67</v>
      </c>
      <c r="B20" s="0" t="s">
        <v>68</v>
      </c>
      <c r="C20" s="0" t="s">
        <v>56</v>
      </c>
      <c r="D20" s="0" t="s">
        <v>29</v>
      </c>
      <c r="E20" s="0" t="n">
        <v>1</v>
      </c>
      <c r="F20" s="0" t="n">
        <v>0</v>
      </c>
      <c r="G20" s="0" t="n">
        <v>11</v>
      </c>
      <c r="H20" s="0" t="n">
        <v>61</v>
      </c>
      <c r="I20" s="0" t="n">
        <v>0</v>
      </c>
      <c r="J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3" t="n">
        <v>0</v>
      </c>
      <c r="Q20" s="3"/>
      <c r="R20" s="0" t="n">
        <v>7</v>
      </c>
      <c r="S20" s="1"/>
      <c r="T20" s="1"/>
      <c r="U20" s="1"/>
      <c r="V20" s="1"/>
      <c r="W20" s="1"/>
      <c r="X20" s="1"/>
      <c r="Y20" s="5"/>
      <c r="Z20" s="1"/>
      <c r="AB20" s="0" t="n">
        <v>8.5</v>
      </c>
      <c r="AC20" s="0" t="n">
        <v>1.032</v>
      </c>
    </row>
    <row r="21" customFormat="false" ht="15" hidden="false" customHeight="false" outlineLevel="0" collapsed="false">
      <c r="A21" s="0" t="s">
        <v>69</v>
      </c>
      <c r="B21" s="0" t="s">
        <v>70</v>
      </c>
      <c r="C21" s="0" t="s">
        <v>56</v>
      </c>
      <c r="D21" s="0" t="s">
        <v>29</v>
      </c>
      <c r="E21" s="0" t="n">
        <v>1</v>
      </c>
      <c r="F21" s="0" t="n">
        <v>0</v>
      </c>
      <c r="G21" s="0" t="n">
        <v>5</v>
      </c>
      <c r="H21" s="0" t="n">
        <v>54</v>
      </c>
      <c r="I21" s="0" t="n">
        <v>0</v>
      </c>
      <c r="J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3" t="n">
        <v>0</v>
      </c>
      <c r="Q21" s="3"/>
      <c r="R21" s="0" t="n">
        <v>4</v>
      </c>
      <c r="S21" s="1"/>
      <c r="T21" s="1"/>
      <c r="U21" s="1"/>
      <c r="V21" s="1"/>
      <c r="W21" s="1"/>
      <c r="X21" s="1"/>
      <c r="Y21" s="5"/>
      <c r="Z21" s="1"/>
      <c r="AB21" s="0" t="n">
        <v>9</v>
      </c>
      <c r="AC21" s="0" t="n">
        <v>1.0341</v>
      </c>
    </row>
    <row r="22" customFormat="false" ht="15" hidden="false" customHeight="false" outlineLevel="0" collapsed="false">
      <c r="A22" s="0" t="s">
        <v>71</v>
      </c>
      <c r="B22" s="0" t="s">
        <v>72</v>
      </c>
      <c r="C22" s="0" t="s">
        <v>56</v>
      </c>
      <c r="D22" s="0" t="s">
        <v>29</v>
      </c>
      <c r="E22" s="0" t="n">
        <v>1</v>
      </c>
      <c r="F22" s="0" t="n">
        <v>0</v>
      </c>
      <c r="G22" s="0" t="n">
        <v>10</v>
      </c>
      <c r="H22" s="0" t="n">
        <v>59</v>
      </c>
      <c r="I22" s="0" t="n">
        <v>0</v>
      </c>
      <c r="J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3" t="n">
        <v>0</v>
      </c>
      <c r="Q22" s="3"/>
      <c r="R22" s="0" t="n">
        <v>7</v>
      </c>
      <c r="S22" s="1"/>
      <c r="T22" s="1"/>
      <c r="U22" s="1"/>
      <c r="V22" s="1"/>
      <c r="W22" s="1"/>
      <c r="X22" s="1"/>
      <c r="Y22" s="5"/>
      <c r="Z22" s="1"/>
      <c r="AB22" s="0" t="n">
        <v>9.5</v>
      </c>
      <c r="AC22" s="0" t="n">
        <v>1.0361</v>
      </c>
    </row>
    <row r="23" customFormat="false" ht="15" hidden="false" customHeight="false" outlineLevel="0" collapsed="false">
      <c r="A23" s="0" t="s">
        <v>73</v>
      </c>
      <c r="B23" s="0" t="s">
        <v>74</v>
      </c>
      <c r="C23" s="0" t="s">
        <v>56</v>
      </c>
      <c r="D23" s="0" t="s">
        <v>29</v>
      </c>
      <c r="E23" s="0" t="n">
        <v>1</v>
      </c>
      <c r="F23" s="0" t="n">
        <v>0</v>
      </c>
      <c r="G23" s="0" t="n">
        <v>7</v>
      </c>
      <c r="H23" s="0" t="n">
        <v>78</v>
      </c>
      <c r="I23" s="0" t="n">
        <v>0</v>
      </c>
      <c r="J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3" t="n">
        <v>0</v>
      </c>
      <c r="Q23" s="3"/>
      <c r="R23" s="0" t="n">
        <v>5</v>
      </c>
      <c r="S23" s="1"/>
      <c r="T23" s="1"/>
      <c r="U23" s="1"/>
      <c r="V23" s="1"/>
      <c r="W23" s="1"/>
      <c r="X23" s="1"/>
      <c r="Y23" s="5"/>
      <c r="Z23" s="1"/>
      <c r="AB23" s="0" t="n">
        <v>10</v>
      </c>
      <c r="AC23" s="0" t="n">
        <v>1.0381</v>
      </c>
    </row>
    <row r="24" customFormat="false" ht="15" hidden="false" customHeight="false" outlineLevel="0" collapsed="false">
      <c r="A24" s="0" t="s">
        <v>75</v>
      </c>
      <c r="B24" s="0" t="s">
        <v>76</v>
      </c>
      <c r="C24" s="0" t="s">
        <v>56</v>
      </c>
      <c r="D24" s="0" t="s">
        <v>29</v>
      </c>
      <c r="E24" s="0" t="n">
        <v>1</v>
      </c>
      <c r="F24" s="0" t="n">
        <v>0</v>
      </c>
      <c r="G24" s="0" t="n">
        <v>11</v>
      </c>
      <c r="H24" s="0" t="n">
        <v>68</v>
      </c>
      <c r="I24" s="0" t="n">
        <v>0</v>
      </c>
      <c r="J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3" t="n">
        <v>0</v>
      </c>
      <c r="Q24" s="3"/>
      <c r="R24" s="0" t="n">
        <v>5</v>
      </c>
      <c r="S24" s="1"/>
      <c r="T24" s="1"/>
      <c r="U24" s="1"/>
      <c r="V24" s="1"/>
      <c r="W24" s="1"/>
      <c r="X24" s="1"/>
      <c r="Y24" s="5"/>
      <c r="Z24" s="1"/>
      <c r="AB24" s="0" t="n">
        <v>10.5</v>
      </c>
      <c r="AC24" s="0" t="n">
        <v>1.0402</v>
      </c>
    </row>
    <row r="25" customFormat="false" ht="15" hidden="false" customHeight="false" outlineLevel="0" collapsed="false">
      <c r="A25" s="0" t="s">
        <v>77</v>
      </c>
      <c r="B25" s="0" t="s">
        <v>78</v>
      </c>
      <c r="C25" s="0" t="s">
        <v>56</v>
      </c>
      <c r="D25" s="0" t="s">
        <v>29</v>
      </c>
      <c r="E25" s="0" t="n">
        <v>1</v>
      </c>
      <c r="F25" s="0" t="n">
        <v>0</v>
      </c>
      <c r="G25" s="0" t="n">
        <v>7</v>
      </c>
      <c r="H25" s="0" t="n">
        <v>98</v>
      </c>
      <c r="I25" s="0" t="n">
        <v>0</v>
      </c>
      <c r="J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3" t="n">
        <v>0</v>
      </c>
      <c r="Q25" s="3"/>
      <c r="R25" s="0" t="n">
        <v>7</v>
      </c>
      <c r="S25" s="1"/>
      <c r="T25" s="1"/>
      <c r="U25" s="1"/>
      <c r="V25" s="1"/>
      <c r="W25" s="1"/>
      <c r="X25" s="1"/>
      <c r="Y25" s="5"/>
      <c r="Z25" s="1"/>
      <c r="AB25" s="0" t="n">
        <v>11</v>
      </c>
      <c r="AC25" s="0" t="n">
        <v>1.0423</v>
      </c>
    </row>
    <row r="26" customFormat="false" ht="15" hidden="false" customHeight="false" outlineLevel="0" collapsed="false">
      <c r="A26" s="0" t="s">
        <v>79</v>
      </c>
      <c r="B26" s="0" t="s">
        <v>80</v>
      </c>
      <c r="C26" s="0" t="s">
        <v>81</v>
      </c>
      <c r="D26" s="0" t="s">
        <v>29</v>
      </c>
      <c r="E26" s="0" t="n">
        <v>1</v>
      </c>
      <c r="F26" s="0" t="n">
        <v>0</v>
      </c>
      <c r="G26" s="0" t="n">
        <v>9</v>
      </c>
      <c r="H26" s="0" t="n">
        <v>73</v>
      </c>
      <c r="I26" s="0" t="n">
        <v>0</v>
      </c>
      <c r="J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3" t="n">
        <v>0</v>
      </c>
      <c r="Q26" s="3"/>
      <c r="R26" s="0" t="n">
        <v>3</v>
      </c>
      <c r="S26" s="0" t="n">
        <v>23.6</v>
      </c>
      <c r="T26" s="0" t="n">
        <f aca="false">(S26/32)*2</f>
        <v>1.475</v>
      </c>
      <c r="V26" s="0" t="n">
        <v>8.5</v>
      </c>
      <c r="W26" s="0" t="n">
        <v>4</v>
      </c>
      <c r="X26" s="3" t="n">
        <v>1.032</v>
      </c>
      <c r="Y26" s="2" t="n">
        <f aca="false">(V26*((W26+T26)/1000)*X26)/((((W26+T26)/1000)*X26)-((W26/1000)*0.9982))</f>
        <v>28.9771328586943</v>
      </c>
      <c r="Z26" s="3" t="n">
        <f aca="false">X26*(V26/100)*((W26+T26)/1000)*1000</f>
        <v>0.480267</v>
      </c>
      <c r="AB26" s="0" t="n">
        <v>11.5</v>
      </c>
      <c r="AC26" s="0" t="n">
        <v>1.0444</v>
      </c>
    </row>
    <row r="27" customFormat="false" ht="15" hidden="false" customHeight="false" outlineLevel="0" collapsed="false">
      <c r="A27" s="0" t="s">
        <v>82</v>
      </c>
      <c r="B27" s="0" t="s">
        <v>83</v>
      </c>
      <c r="C27" s="0" t="s">
        <v>81</v>
      </c>
      <c r="D27" s="0" t="s">
        <v>29</v>
      </c>
      <c r="E27" s="0" t="n">
        <v>1</v>
      </c>
      <c r="F27" s="0" t="n">
        <v>0</v>
      </c>
      <c r="G27" s="0" t="n">
        <v>6</v>
      </c>
      <c r="H27" s="0" t="n">
        <v>28</v>
      </c>
      <c r="I27" s="0" t="n">
        <v>0</v>
      </c>
      <c r="J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3" t="n">
        <v>0</v>
      </c>
      <c r="Q27" s="3"/>
      <c r="R27" s="0" t="n">
        <v>5</v>
      </c>
      <c r="S27" s="0" t="n">
        <f aca="false">32+32+4.5</f>
        <v>68.5</v>
      </c>
      <c r="T27" s="0" t="n">
        <f aca="false">(S27/32)*2</f>
        <v>4.28125</v>
      </c>
      <c r="V27" s="0" t="n">
        <v>23.5</v>
      </c>
      <c r="W27" s="0" t="n">
        <v>4</v>
      </c>
      <c r="X27" s="3" t="n">
        <v>1.096725</v>
      </c>
      <c r="Y27" s="2" t="n">
        <f aca="false">(V27*((W27+T27)/1000)*X27)/((((W27+T27)/1000)*X27)-((W27/1000)*0.9982))</f>
        <v>41.9363198347809</v>
      </c>
      <c r="Z27" s="3" t="n">
        <f aca="false">X27*(V27/100)*((W27+T27)/1000)*1000</f>
        <v>2.13432966796875</v>
      </c>
      <c r="AB27" s="0" t="n">
        <v>12</v>
      </c>
      <c r="AC27" s="0" t="n">
        <v>1.0465</v>
      </c>
    </row>
    <row r="28" customFormat="false" ht="15" hidden="false" customHeight="false" outlineLevel="0" collapsed="false">
      <c r="A28" s="0" t="s">
        <v>84</v>
      </c>
      <c r="B28" s="0" t="s">
        <v>85</v>
      </c>
      <c r="C28" s="0" t="s">
        <v>81</v>
      </c>
      <c r="D28" s="0" t="s">
        <v>29</v>
      </c>
      <c r="E28" s="0" t="n">
        <v>1</v>
      </c>
      <c r="F28" s="0" t="n">
        <v>0</v>
      </c>
      <c r="G28" s="0" t="n">
        <v>8</v>
      </c>
      <c r="H28" s="0" t="n">
        <v>57</v>
      </c>
      <c r="I28" s="0" t="n">
        <v>0</v>
      </c>
      <c r="J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3" t="n">
        <v>0</v>
      </c>
      <c r="Q28" s="3"/>
      <c r="R28" s="0" t="n">
        <v>4</v>
      </c>
      <c r="S28" s="0" t="n">
        <f aca="false">32+23.7</f>
        <v>55.7</v>
      </c>
      <c r="T28" s="0" t="n">
        <f aca="false">(S28/32)*2</f>
        <v>3.48125</v>
      </c>
      <c r="V28" s="0" t="n">
        <v>21</v>
      </c>
      <c r="W28" s="0" t="n">
        <v>4</v>
      </c>
      <c r="X28" s="3" t="n">
        <v>1.08545</v>
      </c>
      <c r="Y28" s="2" t="n">
        <f aca="false">(V28*((W28+T28)/1000)*X28)/((((W28+T28)/1000)*X28)-((W28/1000)*0.9982))</f>
        <v>41.313573320883</v>
      </c>
      <c r="Z28" s="3" t="n">
        <f aca="false">X28*(V28/100)*((W28+T28)/1000)*1000</f>
        <v>1.705309790625</v>
      </c>
      <c r="AB28" s="0" t="n">
        <v>12.5</v>
      </c>
      <c r="AC28" s="0" t="n">
        <v>1.0486</v>
      </c>
    </row>
    <row r="29" customFormat="false" ht="15" hidden="false" customHeight="false" outlineLevel="0" collapsed="false">
      <c r="A29" s="0" t="s">
        <v>86</v>
      </c>
      <c r="B29" s="0" t="s">
        <v>87</v>
      </c>
      <c r="C29" s="0" t="s">
        <v>81</v>
      </c>
      <c r="D29" s="0" t="s">
        <v>29</v>
      </c>
      <c r="E29" s="0" t="n">
        <v>1</v>
      </c>
      <c r="F29" s="0" t="n">
        <v>0</v>
      </c>
      <c r="G29" s="0" t="n">
        <v>7</v>
      </c>
      <c r="H29" s="0" t="n">
        <v>74</v>
      </c>
      <c r="I29" s="0" t="n">
        <v>0</v>
      </c>
      <c r="J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3" t="n">
        <v>0</v>
      </c>
      <c r="Q29" s="3"/>
      <c r="R29" s="0" t="n">
        <v>4</v>
      </c>
      <c r="S29" s="0" t="n">
        <v>25.7</v>
      </c>
      <c r="T29" s="0" t="n">
        <f aca="false">(S29/32)*2</f>
        <v>1.60625</v>
      </c>
      <c r="V29" s="0" t="n">
        <v>9</v>
      </c>
      <c r="W29" s="0" t="n">
        <v>4</v>
      </c>
      <c r="X29" s="3" t="n">
        <v>1.0341</v>
      </c>
      <c r="Y29" s="2" t="n">
        <f aca="false">(V29*((W29+T29)/1000)*X29)/((((W29+T29)/1000)*X29)-((W29/1000)*0.9982))</f>
        <v>28.9128557659373</v>
      </c>
      <c r="Z29" s="3" t="n">
        <f aca="false">X29*(V29/100)*((W29+T29)/1000)*1000</f>
        <v>0.52176808125</v>
      </c>
      <c r="AB29" s="0" t="n">
        <v>13</v>
      </c>
      <c r="AC29" s="0" t="n">
        <v>1.0507</v>
      </c>
    </row>
    <row r="30" customFormat="false" ht="15" hidden="false" customHeight="false" outlineLevel="0" collapsed="false">
      <c r="A30" s="0" t="s">
        <v>88</v>
      </c>
      <c r="B30" s="0" t="s">
        <v>89</v>
      </c>
      <c r="C30" s="0" t="s">
        <v>81</v>
      </c>
      <c r="D30" s="0" t="s">
        <v>29</v>
      </c>
      <c r="E30" s="0" t="n">
        <v>1</v>
      </c>
      <c r="F30" s="0" t="n">
        <v>0</v>
      </c>
      <c r="G30" s="0" t="n">
        <v>12</v>
      </c>
      <c r="H30" s="0" t="n">
        <v>79</v>
      </c>
      <c r="I30" s="0" t="n">
        <v>0</v>
      </c>
      <c r="J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3" t="n">
        <v>0</v>
      </c>
      <c r="Q30" s="3"/>
      <c r="R30" s="0" t="n">
        <v>5</v>
      </c>
      <c r="S30" s="0" t="n">
        <v>43</v>
      </c>
      <c r="T30" s="0" t="n">
        <f aca="false">(S30/32)*2</f>
        <v>2.6875</v>
      </c>
      <c r="V30" s="0" t="n">
        <v>19</v>
      </c>
      <c r="W30" s="0" t="n">
        <v>4</v>
      </c>
      <c r="X30" s="3" t="n">
        <v>1.0765</v>
      </c>
      <c r="Y30" s="2" t="n">
        <f aca="false">(V30*((W30+T30)/1000)*X30)/((((W30+T30)/1000)*X30)-((W30/1000)*0.9982))</f>
        <v>42.660714181288</v>
      </c>
      <c r="Z30" s="3" t="n">
        <f aca="false">X30*(V30/100)*((W30+T30)/1000)*1000</f>
        <v>1.3678278125</v>
      </c>
      <c r="AB30" s="0" t="n">
        <v>13.5</v>
      </c>
      <c r="AC30" s="0" t="n">
        <v>1.0528</v>
      </c>
    </row>
    <row r="31" customFormat="false" ht="15" hidden="false" customHeight="false" outlineLevel="0" collapsed="false">
      <c r="A31" s="0" t="s">
        <v>90</v>
      </c>
      <c r="B31" s="0" t="s">
        <v>91</v>
      </c>
      <c r="C31" s="0" t="s">
        <v>81</v>
      </c>
      <c r="D31" s="0" t="s">
        <v>29</v>
      </c>
      <c r="E31" s="0" t="n">
        <v>1</v>
      </c>
      <c r="F31" s="0" t="n">
        <v>0</v>
      </c>
      <c r="G31" s="0" t="n">
        <v>4</v>
      </c>
      <c r="H31" s="0" t="n">
        <v>37</v>
      </c>
      <c r="I31" s="0" t="n">
        <v>0</v>
      </c>
      <c r="J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3" t="n">
        <v>0</v>
      </c>
      <c r="Q31" s="3"/>
      <c r="R31" s="0" t="n">
        <v>6</v>
      </c>
      <c r="S31" s="0" t="n">
        <f aca="false">32+27.8</f>
        <v>59.8</v>
      </c>
      <c r="T31" s="0" t="n">
        <f aca="false">(S31/32)*2</f>
        <v>3.7375</v>
      </c>
      <c r="V31" s="0" t="n">
        <v>19</v>
      </c>
      <c r="W31" s="0" t="n">
        <v>4</v>
      </c>
      <c r="X31" s="3" t="n">
        <v>1.0765</v>
      </c>
      <c r="Y31" s="2" t="n">
        <f aca="false">(V31*((W31+T31)/1000)*X31)/((((W31+T31)/1000)*X31)-((W31/1000)*0.9982))</f>
        <v>36.4936291090841</v>
      </c>
      <c r="Z31" s="3" t="n">
        <f aca="false">X31*(V31/100)*((W31+T31)/1000)*1000</f>
        <v>1.5825895625</v>
      </c>
      <c r="AB31" s="0" t="n">
        <v>14</v>
      </c>
      <c r="AC31" s="0" t="n">
        <v>1.0549</v>
      </c>
    </row>
    <row r="32" customFormat="false" ht="15" hidden="false" customHeight="false" outlineLevel="0" collapsed="false">
      <c r="A32" s="0" t="s">
        <v>92</v>
      </c>
      <c r="B32" s="0" t="s">
        <v>93</v>
      </c>
      <c r="C32" s="0" t="s">
        <v>81</v>
      </c>
      <c r="D32" s="0" t="s">
        <v>29</v>
      </c>
      <c r="E32" s="0" t="n">
        <v>1</v>
      </c>
      <c r="F32" s="0" t="n">
        <v>0</v>
      </c>
      <c r="G32" s="0" t="n">
        <v>8</v>
      </c>
      <c r="H32" s="0" t="n">
        <v>80</v>
      </c>
      <c r="I32" s="0" t="n">
        <v>0</v>
      </c>
      <c r="J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3" t="n">
        <v>0</v>
      </c>
      <c r="Q32" s="3"/>
      <c r="R32" s="0" t="n">
        <v>4</v>
      </c>
      <c r="S32" s="0" t="n">
        <v>20.8</v>
      </c>
      <c r="T32" s="0" t="n">
        <f aca="false">(S32/32)*2</f>
        <v>1.3</v>
      </c>
      <c r="V32" s="0" t="n">
        <v>15</v>
      </c>
      <c r="W32" s="0" t="n">
        <v>4</v>
      </c>
      <c r="X32" s="3" t="n">
        <v>1.0592</v>
      </c>
      <c r="Y32" s="2" t="n">
        <f aca="false">(V32*((W32+T32)/1000)*X32)/((((W32+T32)/1000)*X32)-((W32/1000)*0.9982))</f>
        <v>51.9484749777909</v>
      </c>
      <c r="Z32" s="3" t="n">
        <f aca="false">X32*(V32/100)*((W32+T32)/1000)*1000</f>
        <v>0.842064</v>
      </c>
      <c r="AB32" s="0" t="n">
        <v>14.5</v>
      </c>
      <c r="AC32" s="0" t="n">
        <v>1.05705</v>
      </c>
    </row>
    <row r="33" customFormat="false" ht="15" hidden="false" customHeight="false" outlineLevel="0" collapsed="false">
      <c r="A33" s="0" t="s">
        <v>94</v>
      </c>
      <c r="B33" s="0" t="s">
        <v>95</v>
      </c>
      <c r="C33" s="0" t="s">
        <v>81</v>
      </c>
      <c r="D33" s="0" t="s">
        <v>29</v>
      </c>
      <c r="E33" s="0" t="n">
        <v>1</v>
      </c>
      <c r="F33" s="0" t="n">
        <v>0</v>
      </c>
      <c r="G33" s="0" t="n">
        <v>15</v>
      </c>
      <c r="H33" s="0" t="n">
        <v>85</v>
      </c>
      <c r="I33" s="0" t="n">
        <v>0</v>
      </c>
      <c r="J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3" t="n">
        <v>0</v>
      </c>
      <c r="Q33" s="3"/>
      <c r="R33" s="0" t="n">
        <v>4</v>
      </c>
      <c r="S33" s="0" t="n">
        <v>26.4</v>
      </c>
      <c r="T33" s="0" t="n">
        <f aca="false">(S33/32)*2</f>
        <v>1.65</v>
      </c>
      <c r="V33" s="0" t="n">
        <v>9.5</v>
      </c>
      <c r="W33" s="0" t="n">
        <v>4</v>
      </c>
      <c r="X33" s="3" t="n">
        <v>1.0361</v>
      </c>
      <c r="Y33" s="2" t="n">
        <f aca="false">(V33*((W33+T33)/1000)*X33)/((((W33+T33)/1000)*X33)-((W33/1000)*0.9982))</f>
        <v>29.8805680850435</v>
      </c>
      <c r="Z33" s="3" t="n">
        <f aca="false">X33*(V33/100)*((W33+T33)/1000)*1000</f>
        <v>0.556126675</v>
      </c>
      <c r="AB33" s="0" t="n">
        <v>15</v>
      </c>
      <c r="AC33" s="0" t="n">
        <v>1.0592</v>
      </c>
    </row>
    <row r="34" customFormat="false" ht="15" hidden="false" customHeight="false" outlineLevel="0" collapsed="false">
      <c r="A34" s="0" t="s">
        <v>96</v>
      </c>
      <c r="B34" s="0" t="s">
        <v>97</v>
      </c>
      <c r="C34" s="0" t="s">
        <v>81</v>
      </c>
      <c r="D34" s="0" t="s">
        <v>29</v>
      </c>
      <c r="E34" s="0" t="n">
        <v>1</v>
      </c>
      <c r="F34" s="0" t="n">
        <v>0</v>
      </c>
      <c r="G34" s="0" t="n">
        <v>9</v>
      </c>
      <c r="H34" s="0" t="n">
        <v>51</v>
      </c>
      <c r="I34" s="0" t="n">
        <v>0</v>
      </c>
      <c r="J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3" t="n">
        <v>0</v>
      </c>
      <c r="Q34" s="3"/>
      <c r="R34" s="0" t="n">
        <v>3</v>
      </c>
      <c r="S34" s="0" t="n">
        <v>16.9</v>
      </c>
      <c r="T34" s="0" t="n">
        <f aca="false">(S34/32)*2</f>
        <v>1.05625</v>
      </c>
      <c r="V34" s="0" t="n">
        <v>9</v>
      </c>
      <c r="W34" s="0" t="n">
        <v>4</v>
      </c>
      <c r="X34" s="3" t="n">
        <v>1.0341</v>
      </c>
      <c r="Y34" s="2" t="n">
        <f aca="false">(V34*((W34+T34)/1000)*X34)/((((W34+T34)/1000)*X34)-((W34/1000)*0.9982))</f>
        <v>38.0768887659434</v>
      </c>
      <c r="Z34" s="3" t="n">
        <f aca="false">X34*(V34/100)*((W34+T34)/1000)*1000</f>
        <v>0.47058013125</v>
      </c>
      <c r="AB34" s="0" t="n">
        <v>15.5</v>
      </c>
      <c r="AC34" s="0" t="n">
        <v>1.06135</v>
      </c>
    </row>
    <row r="35" customFormat="false" ht="15" hidden="false" customHeight="false" outlineLevel="0" collapsed="false">
      <c r="A35" s="0" t="s">
        <v>98</v>
      </c>
      <c r="B35" s="0" t="s">
        <v>99</v>
      </c>
      <c r="C35" s="0" t="s">
        <v>81</v>
      </c>
      <c r="D35" s="0" t="s">
        <v>29</v>
      </c>
      <c r="E35" s="0" t="n">
        <v>1</v>
      </c>
      <c r="F35" s="0" t="n">
        <v>0</v>
      </c>
      <c r="G35" s="0" t="n">
        <v>6</v>
      </c>
      <c r="H35" s="0" t="n">
        <v>57</v>
      </c>
      <c r="I35" s="0" t="n">
        <v>0</v>
      </c>
      <c r="J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3" t="n">
        <v>0</v>
      </c>
      <c r="Q35" s="3"/>
      <c r="R35" s="0" t="n">
        <v>3</v>
      </c>
      <c r="S35" s="0" t="n">
        <v>25.9</v>
      </c>
      <c r="T35" s="0" t="n">
        <f aca="false">(S35/32)*2</f>
        <v>1.61875</v>
      </c>
      <c r="V35" s="0" t="n">
        <v>12</v>
      </c>
      <c r="W35" s="0" t="n">
        <v>4</v>
      </c>
      <c r="X35" s="3" t="n">
        <v>1.0465</v>
      </c>
      <c r="Y35" s="2" t="n">
        <f aca="false">(V35*((W35+T35)/1000)*X35)/((((W35+T35)/1000)*X35)-((W35/1000)*0.9982))</f>
        <v>37.3884297520661</v>
      </c>
      <c r="Z35" s="3" t="n">
        <f aca="false">X35*(V35/100)*((W35+T35)/1000)*1000</f>
        <v>0.705602625</v>
      </c>
      <c r="AB35" s="0" t="n">
        <v>16</v>
      </c>
      <c r="AC35" s="0" t="n">
        <v>1.0635</v>
      </c>
    </row>
    <row r="36" customFormat="false" ht="15" hidden="false" customHeight="false" outlineLevel="0" collapsed="false">
      <c r="A36" s="0" t="s">
        <v>100</v>
      </c>
      <c r="B36" s="0" t="s">
        <v>101</v>
      </c>
      <c r="C36" s="0" t="s">
        <v>81</v>
      </c>
      <c r="D36" s="0" t="s">
        <v>29</v>
      </c>
      <c r="E36" s="0" t="n">
        <v>1</v>
      </c>
      <c r="F36" s="0" t="n">
        <v>0</v>
      </c>
      <c r="G36" s="0" t="n">
        <v>6</v>
      </c>
      <c r="H36" s="0" t="n">
        <v>45</v>
      </c>
      <c r="I36" s="0" t="n">
        <v>0</v>
      </c>
      <c r="J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3" t="n">
        <v>0</v>
      </c>
      <c r="Q36" s="3"/>
      <c r="R36" s="0" t="n">
        <v>2</v>
      </c>
      <c r="S36" s="0" t="n">
        <v>23</v>
      </c>
      <c r="T36" s="0" t="n">
        <f aca="false">(S36/32)*2</f>
        <v>1.4375</v>
      </c>
      <c r="V36" s="0" t="n">
        <v>7</v>
      </c>
      <c r="W36" s="0" t="n">
        <v>4</v>
      </c>
      <c r="X36" s="3" t="n">
        <v>1.0259</v>
      </c>
      <c r="Y36" s="2" t="n">
        <f aca="false">(V36*((W36+T36)/1000)*X36)/((((W36+T36)/1000)*X36)-((W36/1000)*0.9982))</f>
        <v>24.6279086268404</v>
      </c>
      <c r="Z36" s="3" t="n">
        <f aca="false">X36*(V36/100)*((W36+T36)/1000)*1000</f>
        <v>0.3904831875</v>
      </c>
      <c r="AB36" s="0" t="n">
        <v>16.5</v>
      </c>
      <c r="AC36" s="0" t="n">
        <v>1.06565</v>
      </c>
    </row>
    <row r="37" customFormat="false" ht="15" hidden="false" customHeight="false" outlineLevel="0" collapsed="false">
      <c r="A37" s="0" t="s">
        <v>102</v>
      </c>
      <c r="B37" s="0" t="s">
        <v>103</v>
      </c>
      <c r="C37" s="0" t="s">
        <v>81</v>
      </c>
      <c r="D37" s="0" t="s">
        <v>29</v>
      </c>
      <c r="E37" s="0" t="n">
        <v>1</v>
      </c>
      <c r="F37" s="0" t="n">
        <v>0</v>
      </c>
      <c r="G37" s="0" t="n">
        <v>9</v>
      </c>
      <c r="H37" s="0" t="n">
        <v>43</v>
      </c>
      <c r="I37" s="3" t="n">
        <v>0</v>
      </c>
      <c r="J37" s="3" t="n">
        <v>0</v>
      </c>
      <c r="K37" s="3"/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/>
      <c r="R37" s="0" t="n">
        <v>4</v>
      </c>
      <c r="S37" s="0" t="n">
        <v>31.4</v>
      </c>
      <c r="T37" s="0" t="n">
        <f aca="false">(S37/32)*2</f>
        <v>1.9625</v>
      </c>
      <c r="V37" s="0" t="n">
        <v>16</v>
      </c>
      <c r="W37" s="0" t="n">
        <v>4</v>
      </c>
      <c r="X37" s="3" t="n">
        <v>1.0635</v>
      </c>
      <c r="Y37" s="2" t="n">
        <f aca="false">(V37*((W37+T37)/1000)*X37)/((((W37+T37)/1000)*X37)-((W37/1000)*0.9982))</f>
        <v>43.2044840590742</v>
      </c>
      <c r="Z37" s="3" t="n">
        <f aca="false">X37*(V37/100)*((W37+T37)/1000)*1000</f>
        <v>1.014579</v>
      </c>
      <c r="AB37" s="0" t="n">
        <v>17</v>
      </c>
      <c r="AC37" s="0" t="n">
        <v>1.0678</v>
      </c>
    </row>
    <row r="38" customFormat="false" ht="15" hidden="false" customHeight="false" outlineLevel="0" collapsed="false">
      <c r="A38" s="0" t="s">
        <v>104</v>
      </c>
      <c r="B38" s="0" t="s">
        <v>105</v>
      </c>
      <c r="C38" s="0" t="s">
        <v>106</v>
      </c>
      <c r="D38" s="0" t="s">
        <v>29</v>
      </c>
      <c r="E38" s="0" t="n">
        <v>1</v>
      </c>
      <c r="F38" s="0" t="n">
        <v>0</v>
      </c>
      <c r="G38" s="0" t="n">
        <v>5</v>
      </c>
      <c r="H38" s="0" t="n">
        <v>46</v>
      </c>
      <c r="I38" s="1"/>
      <c r="J38" s="1"/>
      <c r="K38" s="1"/>
      <c r="L38" s="1"/>
      <c r="M38" s="1"/>
      <c r="N38" s="1"/>
      <c r="O38" s="1"/>
      <c r="P38" s="1"/>
      <c r="Q38" s="1"/>
      <c r="R38" s="0" t="n">
        <v>5</v>
      </c>
      <c r="S38" s="1"/>
      <c r="T38" s="1"/>
      <c r="U38" s="1"/>
      <c r="V38" s="1"/>
      <c r="W38" s="1"/>
      <c r="X38" s="1"/>
      <c r="Y38" s="5"/>
      <c r="Z38" s="1"/>
      <c r="AB38" s="0" t="n">
        <v>17.5</v>
      </c>
      <c r="AC38" s="0" t="n">
        <v>1.07</v>
      </c>
    </row>
    <row r="39" customFormat="false" ht="15" hidden="false" customHeight="false" outlineLevel="0" collapsed="false">
      <c r="A39" s="0" t="s">
        <v>107</v>
      </c>
      <c r="B39" s="0" t="s">
        <v>37</v>
      </c>
      <c r="C39" s="0" t="s">
        <v>106</v>
      </c>
      <c r="D39" s="0" t="s">
        <v>29</v>
      </c>
      <c r="E39" s="0" t="n">
        <v>1</v>
      </c>
      <c r="F39" s="0" t="n">
        <v>0</v>
      </c>
      <c r="G39" s="0" t="n">
        <v>5</v>
      </c>
      <c r="H39" s="0" t="n">
        <v>31</v>
      </c>
      <c r="I39" s="1"/>
      <c r="J39" s="1"/>
      <c r="K39" s="1"/>
      <c r="L39" s="1"/>
      <c r="M39" s="1"/>
      <c r="N39" s="1"/>
      <c r="O39" s="1"/>
      <c r="P39" s="1"/>
      <c r="Q39" s="1"/>
      <c r="R39" s="0" t="n">
        <v>3</v>
      </c>
      <c r="S39" s="1"/>
      <c r="T39" s="1"/>
      <c r="U39" s="1"/>
      <c r="V39" s="1"/>
      <c r="W39" s="1"/>
      <c r="X39" s="1"/>
      <c r="Y39" s="5"/>
      <c r="Z39" s="1"/>
      <c r="AB39" s="0" t="n">
        <v>18</v>
      </c>
      <c r="AC39" s="0" t="n">
        <v>1.0722</v>
      </c>
    </row>
    <row r="40" customFormat="false" ht="15" hidden="false" customHeight="false" outlineLevel="0" collapsed="false">
      <c r="A40" s="0" t="s">
        <v>108</v>
      </c>
      <c r="B40" s="0" t="s">
        <v>109</v>
      </c>
      <c r="C40" s="0" t="s">
        <v>106</v>
      </c>
      <c r="D40" s="0" t="s">
        <v>29</v>
      </c>
      <c r="E40" s="0" t="n">
        <v>1</v>
      </c>
      <c r="F40" s="0" t="n">
        <v>0</v>
      </c>
      <c r="G40" s="0" t="n">
        <v>7</v>
      </c>
      <c r="H40" s="0" t="n">
        <v>54</v>
      </c>
      <c r="I40" s="1"/>
      <c r="J40" s="1"/>
      <c r="K40" s="1"/>
      <c r="L40" s="1"/>
      <c r="M40" s="1"/>
      <c r="N40" s="1"/>
      <c r="O40" s="1"/>
      <c r="P40" s="1"/>
      <c r="Q40" s="1"/>
      <c r="R40" s="0" t="n">
        <v>7</v>
      </c>
      <c r="S40" s="1"/>
      <c r="T40" s="1"/>
      <c r="U40" s="1"/>
      <c r="V40" s="1"/>
      <c r="W40" s="1"/>
      <c r="X40" s="1"/>
      <c r="Y40" s="5"/>
      <c r="Z40" s="1"/>
      <c r="AB40" s="0" t="n">
        <v>18.5</v>
      </c>
      <c r="AC40" s="0" t="n">
        <v>1.07435</v>
      </c>
    </row>
    <row r="41" customFormat="false" ht="15" hidden="false" customHeight="false" outlineLevel="0" collapsed="false">
      <c r="A41" s="0" t="s">
        <v>110</v>
      </c>
      <c r="B41" s="0" t="s">
        <v>111</v>
      </c>
      <c r="C41" s="0" t="s">
        <v>106</v>
      </c>
      <c r="D41" s="0" t="s">
        <v>29</v>
      </c>
      <c r="E41" s="0" t="n">
        <v>1</v>
      </c>
      <c r="F41" s="0" t="n">
        <v>0</v>
      </c>
      <c r="G41" s="0" t="n">
        <v>4</v>
      </c>
      <c r="H41" s="0" t="n">
        <v>44</v>
      </c>
      <c r="I41" s="1"/>
      <c r="J41" s="1"/>
      <c r="K41" s="1"/>
      <c r="L41" s="1"/>
      <c r="M41" s="1"/>
      <c r="N41" s="1"/>
      <c r="O41" s="1"/>
      <c r="P41" s="1"/>
      <c r="Q41" s="1"/>
      <c r="R41" s="0" t="n">
        <v>8</v>
      </c>
      <c r="S41" s="1"/>
      <c r="T41" s="1"/>
      <c r="U41" s="1"/>
      <c r="V41" s="1"/>
      <c r="W41" s="1"/>
      <c r="X41" s="1"/>
      <c r="Y41" s="5"/>
      <c r="Z41" s="1"/>
      <c r="AB41" s="0" t="n">
        <v>19</v>
      </c>
      <c r="AC41" s="0" t="n">
        <v>1.0765</v>
      </c>
    </row>
    <row r="42" customFormat="false" ht="15" hidden="false" customHeight="false" outlineLevel="0" collapsed="false">
      <c r="A42" s="0" t="s">
        <v>112</v>
      </c>
      <c r="B42" s="0" t="s">
        <v>113</v>
      </c>
      <c r="C42" s="0" t="s">
        <v>106</v>
      </c>
      <c r="D42" s="0" t="s">
        <v>29</v>
      </c>
      <c r="E42" s="0" t="n">
        <v>1</v>
      </c>
      <c r="F42" s="0" t="n">
        <v>0</v>
      </c>
      <c r="G42" s="0" t="n">
        <v>4</v>
      </c>
      <c r="H42" s="0" t="n">
        <v>53</v>
      </c>
      <c r="I42" s="1"/>
      <c r="J42" s="1"/>
      <c r="K42" s="1"/>
      <c r="L42" s="1"/>
      <c r="M42" s="1"/>
      <c r="N42" s="1"/>
      <c r="O42" s="1"/>
      <c r="P42" s="1"/>
      <c r="Q42" s="1"/>
      <c r="R42" s="0" t="n">
        <v>5</v>
      </c>
      <c r="S42" s="1"/>
      <c r="T42" s="1"/>
      <c r="U42" s="1"/>
      <c r="V42" s="1"/>
      <c r="W42" s="1"/>
      <c r="X42" s="1"/>
      <c r="Y42" s="5"/>
      <c r="Z42" s="1"/>
      <c r="AB42" s="0" t="n">
        <v>19.5</v>
      </c>
      <c r="AC42" s="0" t="n">
        <v>1.07875</v>
      </c>
    </row>
    <row r="43" customFormat="false" ht="15" hidden="false" customHeight="false" outlineLevel="0" collapsed="false">
      <c r="A43" s="0" t="s">
        <v>114</v>
      </c>
      <c r="B43" s="0" t="s">
        <v>115</v>
      </c>
      <c r="C43" s="0" t="s">
        <v>106</v>
      </c>
      <c r="D43" s="0" t="s">
        <v>29</v>
      </c>
      <c r="E43" s="0" t="n">
        <v>1</v>
      </c>
      <c r="F43" s="0" t="n">
        <v>0</v>
      </c>
      <c r="G43" s="0" t="n">
        <v>3</v>
      </c>
      <c r="H43" s="0" t="n">
        <v>22</v>
      </c>
      <c r="I43" s="1"/>
      <c r="J43" s="1"/>
      <c r="K43" s="1"/>
      <c r="L43" s="1"/>
      <c r="M43" s="1"/>
      <c r="N43" s="1"/>
      <c r="O43" s="1"/>
      <c r="P43" s="1"/>
      <c r="Q43" s="1"/>
      <c r="R43" s="0" t="n">
        <v>4</v>
      </c>
      <c r="S43" s="1"/>
      <c r="T43" s="1"/>
      <c r="U43" s="1"/>
      <c r="V43" s="1"/>
      <c r="W43" s="1"/>
      <c r="X43" s="1"/>
      <c r="Y43" s="5"/>
      <c r="Z43" s="1"/>
      <c r="AB43" s="0" t="n">
        <v>20</v>
      </c>
      <c r="AC43" s="0" t="n">
        <v>1.081</v>
      </c>
    </row>
    <row r="44" customFormat="false" ht="15" hidden="false" customHeight="false" outlineLevel="0" collapsed="false">
      <c r="A44" s="0" t="s">
        <v>116</v>
      </c>
      <c r="B44" s="0" t="s">
        <v>117</v>
      </c>
      <c r="C44" s="0" t="s">
        <v>106</v>
      </c>
      <c r="D44" s="0" t="s">
        <v>29</v>
      </c>
      <c r="E44" s="0" t="n">
        <v>1</v>
      </c>
      <c r="F44" s="0" t="n">
        <v>0</v>
      </c>
      <c r="G44" s="0" t="n">
        <v>3</v>
      </c>
      <c r="H44" s="0" t="n">
        <v>37</v>
      </c>
      <c r="I44" s="1"/>
      <c r="J44" s="1"/>
      <c r="K44" s="1"/>
      <c r="L44" s="1"/>
      <c r="M44" s="1"/>
      <c r="N44" s="1"/>
      <c r="O44" s="1"/>
      <c r="P44" s="1"/>
      <c r="Q44" s="1"/>
      <c r="R44" s="0" t="n">
        <v>4</v>
      </c>
      <c r="S44" s="1"/>
      <c r="T44" s="1"/>
      <c r="U44" s="1"/>
      <c r="V44" s="1"/>
      <c r="W44" s="1"/>
      <c r="X44" s="1"/>
      <c r="Y44" s="5"/>
      <c r="Z44" s="1"/>
      <c r="AB44" s="0" t="n">
        <v>20.5</v>
      </c>
      <c r="AC44" s="0" t="n">
        <v>1.083225</v>
      </c>
    </row>
    <row r="45" customFormat="false" ht="15" hidden="false" customHeight="false" outlineLevel="0" collapsed="false">
      <c r="A45" s="0" t="s">
        <v>118</v>
      </c>
      <c r="B45" s="0" t="s">
        <v>119</v>
      </c>
      <c r="C45" s="0" t="s">
        <v>106</v>
      </c>
      <c r="D45" s="0" t="s">
        <v>29</v>
      </c>
      <c r="E45" s="0" t="n">
        <v>1</v>
      </c>
      <c r="F45" s="0" t="n">
        <v>0</v>
      </c>
      <c r="G45" s="0" t="n">
        <v>6</v>
      </c>
      <c r="H45" s="0" t="n">
        <v>36</v>
      </c>
      <c r="I45" s="1"/>
      <c r="J45" s="1"/>
      <c r="K45" s="1"/>
      <c r="L45" s="1"/>
      <c r="M45" s="1"/>
      <c r="N45" s="1"/>
      <c r="O45" s="1"/>
      <c r="P45" s="1"/>
      <c r="Q45" s="1"/>
      <c r="R45" s="0" t="n">
        <v>5</v>
      </c>
      <c r="S45" s="1"/>
      <c r="T45" s="1"/>
      <c r="U45" s="1"/>
      <c r="V45" s="1"/>
      <c r="W45" s="1"/>
      <c r="X45" s="1"/>
      <c r="Y45" s="5"/>
      <c r="Z45" s="1"/>
      <c r="AB45" s="0" t="n">
        <v>21</v>
      </c>
      <c r="AC45" s="0" t="n">
        <v>1.08545</v>
      </c>
    </row>
    <row r="46" customFormat="false" ht="15" hidden="false" customHeight="false" outlineLevel="0" collapsed="false">
      <c r="A46" s="0" t="s">
        <v>120</v>
      </c>
      <c r="B46" s="0" t="s">
        <v>121</v>
      </c>
      <c r="C46" s="0" t="s">
        <v>106</v>
      </c>
      <c r="D46" s="0" t="s">
        <v>29</v>
      </c>
      <c r="E46" s="0" t="n">
        <v>1</v>
      </c>
      <c r="F46" s="0" t="n">
        <v>0</v>
      </c>
      <c r="G46" s="0" t="n">
        <v>6</v>
      </c>
      <c r="H46" s="0" t="n">
        <v>44</v>
      </c>
      <c r="I46" s="1"/>
      <c r="J46" s="1"/>
      <c r="K46" s="1"/>
      <c r="L46" s="1"/>
      <c r="M46" s="1"/>
      <c r="N46" s="1"/>
      <c r="O46" s="1"/>
      <c r="P46" s="1"/>
      <c r="Q46" s="1"/>
      <c r="R46" s="0" t="n">
        <v>6</v>
      </c>
      <c r="S46" s="1"/>
      <c r="T46" s="1"/>
      <c r="U46" s="1"/>
      <c r="V46" s="1"/>
      <c r="W46" s="1"/>
      <c r="X46" s="1"/>
      <c r="Y46" s="5"/>
      <c r="Z46" s="1"/>
      <c r="AB46" s="0" t="n">
        <v>21.5</v>
      </c>
      <c r="AC46" s="0" t="n">
        <v>1.087675</v>
      </c>
    </row>
    <row r="47" customFormat="false" ht="15" hidden="false" customHeight="false" outlineLevel="0" collapsed="false">
      <c r="A47" s="0" t="s">
        <v>122</v>
      </c>
      <c r="B47" s="0" t="s">
        <v>123</v>
      </c>
      <c r="C47" s="0" t="s">
        <v>106</v>
      </c>
      <c r="D47" s="0" t="s">
        <v>29</v>
      </c>
      <c r="E47" s="0" t="n">
        <v>1</v>
      </c>
      <c r="F47" s="0" t="n">
        <v>0</v>
      </c>
      <c r="G47" s="0" t="n">
        <v>5</v>
      </c>
      <c r="H47" s="0" t="n">
        <v>51</v>
      </c>
      <c r="I47" s="1"/>
      <c r="J47" s="1"/>
      <c r="K47" s="1"/>
      <c r="L47" s="1"/>
      <c r="M47" s="1"/>
      <c r="N47" s="1"/>
      <c r="O47" s="1"/>
      <c r="P47" s="1"/>
      <c r="Q47" s="1"/>
      <c r="R47" s="0" t="n">
        <v>4</v>
      </c>
      <c r="S47" s="1"/>
      <c r="T47" s="1"/>
      <c r="U47" s="1"/>
      <c r="V47" s="1"/>
      <c r="W47" s="1"/>
      <c r="X47" s="1"/>
      <c r="Y47" s="5"/>
      <c r="Z47" s="1"/>
      <c r="AB47" s="0" t="n">
        <v>22</v>
      </c>
      <c r="AC47" s="0" t="n">
        <v>1.0899</v>
      </c>
    </row>
    <row r="48" customFormat="false" ht="15" hidden="false" customHeight="false" outlineLevel="0" collapsed="false">
      <c r="A48" s="0" t="s">
        <v>124</v>
      </c>
      <c r="B48" s="0" t="s">
        <v>125</v>
      </c>
      <c r="C48" s="0" t="s">
        <v>106</v>
      </c>
      <c r="D48" s="0" t="s">
        <v>29</v>
      </c>
      <c r="E48" s="0" t="n">
        <v>1</v>
      </c>
      <c r="F48" s="0" t="n">
        <v>0</v>
      </c>
      <c r="G48" s="0" t="n">
        <v>6</v>
      </c>
      <c r="H48" s="0" t="n">
        <v>45</v>
      </c>
      <c r="I48" s="1"/>
      <c r="J48" s="1"/>
      <c r="K48" s="1"/>
      <c r="L48" s="1"/>
      <c r="M48" s="1"/>
      <c r="N48" s="1"/>
      <c r="O48" s="1"/>
      <c r="P48" s="1"/>
      <c r="Q48" s="1"/>
      <c r="R48" s="0" t="n">
        <v>4</v>
      </c>
      <c r="S48" s="1"/>
      <c r="T48" s="1"/>
      <c r="U48" s="1"/>
      <c r="V48" s="1"/>
      <c r="W48" s="1"/>
      <c r="X48" s="1"/>
      <c r="Y48" s="5"/>
      <c r="Z48" s="1"/>
      <c r="AB48" s="0" t="n">
        <v>22.5</v>
      </c>
      <c r="AC48" s="0" t="n">
        <v>1.092175</v>
      </c>
    </row>
    <row r="49" customFormat="false" ht="15" hidden="false" customHeight="false" outlineLevel="0" collapsed="false">
      <c r="A49" s="0" t="s">
        <v>126</v>
      </c>
      <c r="B49" s="0" t="s">
        <v>127</v>
      </c>
      <c r="C49" s="0" t="s">
        <v>106</v>
      </c>
      <c r="D49" s="0" t="s">
        <v>29</v>
      </c>
      <c r="E49" s="0" t="n">
        <v>1</v>
      </c>
      <c r="F49" s="0" t="n">
        <v>0</v>
      </c>
      <c r="G49" s="0" t="n">
        <v>5</v>
      </c>
      <c r="H49" s="0" t="n">
        <v>45</v>
      </c>
      <c r="I49" s="1"/>
      <c r="J49" s="1"/>
      <c r="K49" s="1"/>
      <c r="L49" s="1"/>
      <c r="M49" s="1"/>
      <c r="N49" s="1"/>
      <c r="O49" s="1"/>
      <c r="P49" s="1"/>
      <c r="Q49" s="1"/>
      <c r="R49" s="0" t="n">
        <v>6</v>
      </c>
      <c r="S49" s="1"/>
      <c r="T49" s="1"/>
      <c r="U49" s="1"/>
      <c r="V49" s="1"/>
      <c r="W49" s="1"/>
      <c r="X49" s="1"/>
      <c r="Y49" s="5"/>
      <c r="Z49" s="1"/>
      <c r="AB49" s="0" t="n">
        <v>23</v>
      </c>
      <c r="AC49" s="0" t="n">
        <v>1.09445</v>
      </c>
    </row>
    <row r="50" customFormat="false" ht="15" hidden="false" customHeight="false" outlineLevel="0" collapsed="false">
      <c r="A50" s="0" t="s">
        <v>26</v>
      </c>
      <c r="B50" s="0" t="s">
        <v>27</v>
      </c>
      <c r="C50" s="0" t="s">
        <v>28</v>
      </c>
      <c r="D50" s="0" t="s">
        <v>128</v>
      </c>
      <c r="E50" s="0" t="n">
        <v>2</v>
      </c>
      <c r="F50" s="0" t="n">
        <v>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0" t="n">
        <v>0</v>
      </c>
      <c r="S50" s="0" t="n">
        <v>0</v>
      </c>
      <c r="T50" s="0" t="n">
        <f aca="false">(S50/55)*5</f>
        <v>0</v>
      </c>
      <c r="V50" s="0" t="n">
        <v>0</v>
      </c>
      <c r="W50" s="0" t="n">
        <v>4</v>
      </c>
      <c r="X50" s="3" t="n">
        <v>0</v>
      </c>
      <c r="Y50" s="2" t="n">
        <f aca="false">(V50*((W50+T50)/1000)*X50)/((((W50+T50)/1000)*X50)-((W50/1000)*0.9982))</f>
        <v>-0</v>
      </c>
      <c r="Z50" s="3" t="n">
        <f aca="false">X50*(V50/100)*((W50+T50)/1000)*1000</f>
        <v>0</v>
      </c>
      <c r="AB50" s="0" t="n">
        <v>23.5</v>
      </c>
      <c r="AC50" s="0" t="n">
        <v>1.096725</v>
      </c>
    </row>
    <row r="51" customFormat="false" ht="15" hidden="false" customHeight="false" outlineLevel="0" collapsed="false">
      <c r="A51" s="0" t="s">
        <v>32</v>
      </c>
      <c r="B51" s="0" t="s">
        <v>33</v>
      </c>
      <c r="C51" s="0" t="s">
        <v>28</v>
      </c>
      <c r="D51" s="0" t="s">
        <v>128</v>
      </c>
      <c r="E51" s="0" t="n">
        <v>2</v>
      </c>
      <c r="F51" s="0" t="n">
        <v>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0" t="n">
        <v>3</v>
      </c>
      <c r="S51" s="0" t="n">
        <v>13.3</v>
      </c>
      <c r="T51" s="0" t="n">
        <f aca="false">(S51/55)*5</f>
        <v>1.20909090909091</v>
      </c>
      <c r="V51" s="0" t="n">
        <v>10</v>
      </c>
      <c r="W51" s="0" t="n">
        <v>4</v>
      </c>
      <c r="X51" s="3" t="n">
        <v>1.0381</v>
      </c>
      <c r="Y51" s="2" t="n">
        <f aca="false">(V51*((W51+T51)/1000)*X51)/((((W51+T51)/1000)*X51)-((W51/1000)*0.9982))</f>
        <v>38.2225090972882</v>
      </c>
      <c r="Z51" s="3" t="n">
        <f aca="false">X51*(V51/100)*((W51+T51)/1000)*1000</f>
        <v>0.540755727272727</v>
      </c>
      <c r="AB51" s="0" t="n">
        <v>24</v>
      </c>
      <c r="AC51" s="0" t="n">
        <v>1.099</v>
      </c>
    </row>
    <row r="52" customFormat="false" ht="15" hidden="false" customHeight="false" outlineLevel="0" collapsed="false">
      <c r="A52" s="0" t="s">
        <v>34</v>
      </c>
      <c r="B52" s="0" t="s">
        <v>35</v>
      </c>
      <c r="C52" s="0" t="s">
        <v>28</v>
      </c>
      <c r="D52" s="0" t="s">
        <v>128</v>
      </c>
      <c r="E52" s="0" t="n">
        <v>2</v>
      </c>
      <c r="F52" s="0" t="n"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0" t="n">
        <v>2</v>
      </c>
      <c r="S52" s="0" t="n">
        <v>11.3</v>
      </c>
      <c r="T52" s="0" t="n">
        <f aca="false">(S52/55)*5</f>
        <v>1.02727272727273</v>
      </c>
      <c r="V52" s="0" t="n">
        <v>14.5</v>
      </c>
      <c r="W52" s="0" t="n">
        <v>4</v>
      </c>
      <c r="X52" s="3" t="n">
        <v>1.05705</v>
      </c>
      <c r="Y52" s="2" t="n">
        <f aca="false">(V52*((W52+T52)/1000)*X52)/((((W52+T52)/1000)*X52)-((W52/1000)*0.9982))</f>
        <v>58.3178582523196</v>
      </c>
      <c r="Z52" s="3" t="n">
        <f aca="false">X52*(V52/100)*((W52+T52)/1000)*1000</f>
        <v>0.770541402272727</v>
      </c>
      <c r="AB52" s="0" t="n">
        <v>24.5</v>
      </c>
      <c r="AC52" s="0" t="n">
        <v>1.101275</v>
      </c>
    </row>
    <row r="53" customFormat="false" ht="15" hidden="false" customHeight="false" outlineLevel="0" collapsed="false">
      <c r="A53" s="0" t="s">
        <v>36</v>
      </c>
      <c r="B53" s="0" t="s">
        <v>37</v>
      </c>
      <c r="C53" s="0" t="s">
        <v>28</v>
      </c>
      <c r="D53" s="0" t="s">
        <v>128</v>
      </c>
      <c r="E53" s="0" t="n">
        <v>2</v>
      </c>
      <c r="F53" s="0" t="n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0" t="n">
        <v>1</v>
      </c>
      <c r="S53" s="0" t="n">
        <v>3.5</v>
      </c>
      <c r="T53" s="0" t="n">
        <f aca="false">(S53/55)*5</f>
        <v>0.318181818181818</v>
      </c>
      <c r="V53" s="0" t="n">
        <v>6.5</v>
      </c>
      <c r="W53" s="0" t="n">
        <v>1</v>
      </c>
      <c r="X53" s="3" t="n">
        <v>1.02385</v>
      </c>
      <c r="Y53" s="2" t="n">
        <f aca="false">(V53*((W53+T53)/1000)*X53)/((((W53+T53)/1000)*X53)-((W53/1000)*0.9982))</f>
        <v>24.9630687146322</v>
      </c>
      <c r="Z53" s="3" t="n">
        <f aca="false">X53*(V53/100)*((W53+T53)/1000)*1000</f>
        <v>0.0877253295454545</v>
      </c>
      <c r="AB53" s="0" t="n">
        <v>25</v>
      </c>
      <c r="AC53" s="0" t="n">
        <v>1.10355</v>
      </c>
    </row>
    <row r="54" customFormat="false" ht="15" hidden="false" customHeight="false" outlineLevel="0" collapsed="false">
      <c r="A54" s="0" t="s">
        <v>38</v>
      </c>
      <c r="B54" s="0" t="s">
        <v>39</v>
      </c>
      <c r="C54" s="0" t="s">
        <v>28</v>
      </c>
      <c r="D54" s="0" t="s">
        <v>128</v>
      </c>
      <c r="E54" s="0" t="n">
        <v>2</v>
      </c>
      <c r="F54" s="0" t="n">
        <v>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0" t="n">
        <v>4</v>
      </c>
      <c r="S54" s="0" t="n">
        <v>15.8</v>
      </c>
      <c r="T54" s="0" t="n">
        <f aca="false">(S54/55)*5</f>
        <v>1.43636363636364</v>
      </c>
      <c r="V54" s="0" t="n">
        <v>10</v>
      </c>
      <c r="W54" s="0" t="n">
        <v>4</v>
      </c>
      <c r="X54" s="3" t="n">
        <v>1.0381</v>
      </c>
      <c r="Y54" s="2" t="n">
        <f aca="false">(V54*((W54+T54)/1000)*X54)/((((W54+T54)/1000)*X54)-((W54/1000)*0.9982))</f>
        <v>34.1886859372229</v>
      </c>
      <c r="Z54" s="3" t="n">
        <f aca="false">X54*(V54/100)*((W54+T54)/1000)*1000</f>
        <v>0.564348909090909</v>
      </c>
      <c r="AB54" s="0" t="n">
        <v>25.5</v>
      </c>
      <c r="AC54" s="0" t="n">
        <v>1.105825</v>
      </c>
    </row>
    <row r="55" customFormat="false" ht="15" hidden="false" customHeight="false" outlineLevel="0" collapsed="false">
      <c r="A55" s="0" t="s">
        <v>40</v>
      </c>
      <c r="B55" s="0" t="s">
        <v>41</v>
      </c>
      <c r="C55" s="0" t="s">
        <v>28</v>
      </c>
      <c r="D55" s="0" t="s">
        <v>128</v>
      </c>
      <c r="E55" s="0" t="n">
        <v>2</v>
      </c>
      <c r="F55" s="0" t="n">
        <v>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0" t="n">
        <v>1</v>
      </c>
      <c r="S55" s="0" t="n">
        <v>3.2</v>
      </c>
      <c r="T55" s="0" t="n">
        <f aca="false">(S55/55)*5</f>
        <v>0.290909090909091</v>
      </c>
      <c r="V55" s="0" t="n">
        <v>14</v>
      </c>
      <c r="W55" s="0" t="n">
        <v>1</v>
      </c>
      <c r="X55" s="3" t="n">
        <v>1.0549</v>
      </c>
      <c r="Y55" s="2" t="n">
        <f aca="false">(V55*((W55+T55)/1000)*X55)/((((W55+T55)/1000)*X55)-((W55/1000)*0.9982))</f>
        <v>52.4366576819407</v>
      </c>
      <c r="Z55" s="3" t="n">
        <f aca="false">X55*(V55/100)*((W55+T55)/1000)*1000</f>
        <v>0.1906492</v>
      </c>
      <c r="AB55" s="0" t="n">
        <v>26</v>
      </c>
      <c r="AC55" s="0" t="n">
        <v>1.1081</v>
      </c>
    </row>
    <row r="56" customFormat="false" ht="15" hidden="false" customHeight="false" outlineLevel="0" collapsed="false">
      <c r="A56" s="0" t="s">
        <v>42</v>
      </c>
      <c r="B56" s="0" t="s">
        <v>43</v>
      </c>
      <c r="C56" s="0" t="s">
        <v>28</v>
      </c>
      <c r="D56" s="0" t="s">
        <v>128</v>
      </c>
      <c r="E56" s="0" t="n">
        <v>2</v>
      </c>
      <c r="F56" s="0" t="n">
        <v>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0" t="n">
        <v>3</v>
      </c>
      <c r="S56" s="0" t="n">
        <v>23.8</v>
      </c>
      <c r="T56" s="0" t="n">
        <f aca="false">(S56/55)*5</f>
        <v>2.16363636363636</v>
      </c>
      <c r="V56" s="0" t="n">
        <v>14</v>
      </c>
      <c r="W56" s="0" t="n">
        <v>4</v>
      </c>
      <c r="X56" s="3" t="n">
        <v>1.0549</v>
      </c>
      <c r="Y56" s="2" t="n">
        <f aca="false">(V56*((W56+T56)/1000)*X56)/((((W56+T56)/1000)*X56)-((W56/1000)*0.9982))</f>
        <v>36.2775205043798</v>
      </c>
      <c r="Z56" s="3" t="n">
        <f aca="false">X56*(V56/100)*((W56+T56)/1000)*1000</f>
        <v>0.9102828</v>
      </c>
      <c r="AB56" s="0" t="n">
        <v>26.5</v>
      </c>
      <c r="AC56" s="0" t="n">
        <v>1.11045</v>
      </c>
    </row>
    <row r="57" customFormat="false" ht="15" hidden="false" customHeight="false" outlineLevel="0" collapsed="false">
      <c r="A57" s="0" t="s">
        <v>44</v>
      </c>
      <c r="B57" s="0" t="s">
        <v>45</v>
      </c>
      <c r="C57" s="0" t="s">
        <v>28</v>
      </c>
      <c r="D57" s="0" t="s">
        <v>128</v>
      </c>
      <c r="E57" s="0" t="n">
        <v>2</v>
      </c>
      <c r="F57" s="0" t="n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0" t="n">
        <v>4</v>
      </c>
      <c r="S57" s="0" t="n">
        <v>12</v>
      </c>
      <c r="T57" s="0" t="n">
        <f aca="false">(S57/55)*5</f>
        <v>1.09090909090909</v>
      </c>
      <c r="V57" s="0" t="n">
        <v>14</v>
      </c>
      <c r="W57" s="0" t="n">
        <v>4</v>
      </c>
      <c r="X57" s="3" t="n">
        <v>1.0549</v>
      </c>
      <c r="Y57" s="2" t="n">
        <f aca="false">(V57*((W57+T57)/1000)*X57)/((((W57+T57)/1000)*X57)-((W57/1000)*0.9982))</f>
        <v>54.5772357723577</v>
      </c>
      <c r="Z57" s="3" t="n">
        <f aca="false">X57*(V57/100)*((W57+T57)/1000)*1000</f>
        <v>0.751856</v>
      </c>
      <c r="AB57" s="0" t="n">
        <v>27</v>
      </c>
      <c r="AC57" s="0" t="n">
        <v>1.1128</v>
      </c>
    </row>
    <row r="58" customFormat="false" ht="15" hidden="false" customHeight="false" outlineLevel="0" collapsed="false">
      <c r="A58" s="0" t="s">
        <v>46</v>
      </c>
      <c r="B58" s="0" t="s">
        <v>47</v>
      </c>
      <c r="C58" s="0" t="s">
        <v>28</v>
      </c>
      <c r="D58" s="0" t="s">
        <v>128</v>
      </c>
      <c r="E58" s="0" t="n">
        <v>2</v>
      </c>
      <c r="F58" s="0" t="n">
        <v>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0" t="n">
        <v>3</v>
      </c>
      <c r="S58" s="0" t="n">
        <v>10.3</v>
      </c>
      <c r="T58" s="0" t="n">
        <f aca="false">(S58/55)*5</f>
        <v>0.936363636363636</v>
      </c>
      <c r="V58" s="0" t="n">
        <v>10</v>
      </c>
      <c r="W58" s="0" t="n">
        <v>4</v>
      </c>
      <c r="X58" s="3" t="n">
        <v>1.0381</v>
      </c>
      <c r="Y58" s="2" t="n">
        <f aca="false">(V58*((W58+T58)/1000)*X58)/((((W58+T58)/1000)*X58)-((W58/1000)*0.9982))</f>
        <v>45.2833339893944</v>
      </c>
      <c r="Z58" s="3" t="n">
        <f aca="false">X58*(V58/100)*((W58+T58)/1000)*1000</f>
        <v>0.512443909090909</v>
      </c>
      <c r="AB58" s="0" t="n">
        <v>27.5</v>
      </c>
      <c r="AC58" s="0" t="n">
        <v>1.11515</v>
      </c>
    </row>
    <row r="59" customFormat="false" ht="15" hidden="false" customHeight="false" outlineLevel="0" collapsed="false">
      <c r="A59" s="0" t="s">
        <v>48</v>
      </c>
      <c r="B59" s="0" t="s">
        <v>49</v>
      </c>
      <c r="C59" s="0" t="s">
        <v>28</v>
      </c>
      <c r="D59" s="0" t="s">
        <v>128</v>
      </c>
      <c r="E59" s="0" t="n">
        <v>2</v>
      </c>
      <c r="F59" s="0" t="n">
        <v>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0" t="n">
        <v>2</v>
      </c>
      <c r="S59" s="0" t="n">
        <v>13.7</v>
      </c>
      <c r="T59" s="0" t="n">
        <f aca="false">(S59/55)*5</f>
        <v>1.24545454545455</v>
      </c>
      <c r="V59" s="0" t="n">
        <v>3.5</v>
      </c>
      <c r="W59" s="0" t="n">
        <v>4</v>
      </c>
      <c r="X59" s="3" t="n">
        <v>1.0119</v>
      </c>
      <c r="Y59" s="2" t="n">
        <f aca="false">(V59*((W59+T59)/1000)*X59)/((((W59+T59)/1000)*X59)-((W59/1000)*0.9982))</f>
        <v>14.126614580705</v>
      </c>
      <c r="Z59" s="3" t="n">
        <f aca="false">X59*(V59/100)*((W59+T59)/1000)*1000</f>
        <v>0.185775640909091</v>
      </c>
      <c r="AB59" s="0" t="n">
        <v>28</v>
      </c>
      <c r="AC59" s="0" t="n">
        <v>1.1175</v>
      </c>
    </row>
    <row r="60" customFormat="false" ht="15" hidden="false" customHeight="false" outlineLevel="0" collapsed="false">
      <c r="A60" s="0" t="s">
        <v>50</v>
      </c>
      <c r="B60" s="0" t="s">
        <v>51</v>
      </c>
      <c r="C60" s="0" t="s">
        <v>28</v>
      </c>
      <c r="D60" s="0" t="s">
        <v>128</v>
      </c>
      <c r="E60" s="0" t="n">
        <v>2</v>
      </c>
      <c r="F60" s="0" t="n">
        <v>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0" t="n">
        <v>3</v>
      </c>
      <c r="S60" s="0" t="n">
        <v>16.1</v>
      </c>
      <c r="T60" s="0" t="n">
        <f aca="false">(S60/55)*5</f>
        <v>1.46363636363636</v>
      </c>
      <c r="V60" s="0" t="n">
        <v>13.5</v>
      </c>
      <c r="W60" s="0" t="n">
        <v>4</v>
      </c>
      <c r="X60" s="3" t="n">
        <v>1.0528</v>
      </c>
      <c r="Y60" s="2" t="n">
        <f aca="false">(V60*((W60+T60)/1000)*X60)/((((W60+T60)/1000)*X60)-((W60/1000)*0.9982))</f>
        <v>44.1384918108687</v>
      </c>
      <c r="Z60" s="3" t="n">
        <f aca="false">X60*(V60/100)*((W60+T60)/1000)*1000</f>
        <v>0.776535709090909</v>
      </c>
      <c r="AB60" s="0" t="n">
        <v>28.5</v>
      </c>
      <c r="AC60" s="0" t="n">
        <v>1.119875</v>
      </c>
    </row>
    <row r="61" customFormat="false" ht="15" hidden="false" customHeight="false" outlineLevel="0" collapsed="false">
      <c r="A61" s="0" t="s">
        <v>52</v>
      </c>
      <c r="B61" s="0" t="s">
        <v>53</v>
      </c>
      <c r="C61" s="0" t="s">
        <v>28</v>
      </c>
      <c r="D61" s="0" t="s">
        <v>128</v>
      </c>
      <c r="E61" s="0" t="n">
        <v>2</v>
      </c>
      <c r="F61" s="0" t="n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0" t="n">
        <v>6</v>
      </c>
      <c r="S61" s="0" t="n">
        <v>27.6</v>
      </c>
      <c r="T61" s="0" t="n">
        <f aca="false">(S61/55)*5</f>
        <v>2.50909090909091</v>
      </c>
      <c r="V61" s="0" t="n">
        <v>16</v>
      </c>
      <c r="W61" s="0" t="n">
        <v>4</v>
      </c>
      <c r="X61" s="3" t="n">
        <v>1.0635</v>
      </c>
      <c r="Y61" s="2" t="n">
        <f aca="false">(V61*((W61+T61)/1000)*X61)/((((W61+T61)/1000)*X61)-((W61/1000)*0.9982))</f>
        <v>37.8065276889945</v>
      </c>
      <c r="Z61" s="3" t="n">
        <f aca="false">X61*(V61/100)*((W61+T61)/1000)*1000</f>
        <v>1.10758690909091</v>
      </c>
      <c r="AB61" s="0" t="n">
        <v>29</v>
      </c>
      <c r="AC61" s="0" t="n">
        <v>1.12225</v>
      </c>
    </row>
    <row r="62" customFormat="false" ht="15" hidden="false" customHeight="false" outlineLevel="0" collapsed="false">
      <c r="A62" s="0" t="s">
        <v>54</v>
      </c>
      <c r="B62" s="0" t="s">
        <v>55</v>
      </c>
      <c r="C62" s="0" t="s">
        <v>56</v>
      </c>
      <c r="D62" s="0" t="s">
        <v>128</v>
      </c>
      <c r="E62" s="0" t="n">
        <v>2</v>
      </c>
      <c r="F62" s="0" t="n">
        <v>0</v>
      </c>
      <c r="G62" s="1"/>
      <c r="H62" s="1"/>
      <c r="I62" s="0" t="n">
        <v>0</v>
      </c>
      <c r="J62" s="0" t="n">
        <f aca="false">(I62/55)*5</f>
        <v>0</v>
      </c>
      <c r="L62" s="0" t="n">
        <v>0</v>
      </c>
      <c r="M62" s="0" t="n">
        <v>0</v>
      </c>
      <c r="N62" s="0" t="n">
        <f aca="false">L62</f>
        <v>0</v>
      </c>
      <c r="O62" s="3" t="n">
        <v>0</v>
      </c>
      <c r="P62" s="3" t="n">
        <f aca="false">(O62*(N62/100)*(J62/1000))*1000</f>
        <v>0</v>
      </c>
      <c r="Q62" s="3"/>
      <c r="R62" s="1"/>
      <c r="S62" s="1"/>
      <c r="T62" s="1"/>
      <c r="U62" s="1"/>
      <c r="V62" s="1"/>
      <c r="W62" s="1"/>
      <c r="X62" s="1"/>
      <c r="Y62" s="5"/>
      <c r="Z62" s="1"/>
      <c r="AB62" s="0" t="n">
        <v>29.5</v>
      </c>
      <c r="AC62" s="0" t="n">
        <v>1.124625</v>
      </c>
    </row>
    <row r="63" customFormat="false" ht="15" hidden="false" customHeight="false" outlineLevel="0" collapsed="false">
      <c r="A63" s="0" t="s">
        <v>57</v>
      </c>
      <c r="B63" s="0" t="s">
        <v>58</v>
      </c>
      <c r="C63" s="0" t="s">
        <v>56</v>
      </c>
      <c r="D63" s="0" t="s">
        <v>128</v>
      </c>
      <c r="E63" s="0" t="n">
        <v>2</v>
      </c>
      <c r="F63" s="0" t="n">
        <v>1</v>
      </c>
      <c r="G63" s="1"/>
      <c r="H63" s="1"/>
      <c r="I63" s="0" t="n">
        <v>59.7</v>
      </c>
      <c r="J63" s="0" t="n">
        <f aca="false">(I63/55)*5</f>
        <v>5.42727272727273</v>
      </c>
      <c r="L63" s="0" t="n">
        <v>3</v>
      </c>
      <c r="M63" s="0" t="n">
        <v>0</v>
      </c>
      <c r="N63" s="0" t="n">
        <f aca="false">L63</f>
        <v>3</v>
      </c>
      <c r="O63" s="3" t="n">
        <v>1.0099</v>
      </c>
      <c r="P63" s="3" t="n">
        <f aca="false">(O63*(N63/100)*(J63/1000))*1000</f>
        <v>0.164430081818182</v>
      </c>
      <c r="Q63" s="3"/>
      <c r="R63" s="1"/>
      <c r="S63" s="1"/>
      <c r="T63" s="1"/>
      <c r="U63" s="1"/>
      <c r="V63" s="1"/>
      <c r="W63" s="1"/>
      <c r="X63" s="1"/>
      <c r="Y63" s="5"/>
      <c r="Z63" s="1"/>
      <c r="AB63" s="0" t="n">
        <v>30</v>
      </c>
      <c r="AC63" s="0" t="n">
        <v>1.127</v>
      </c>
    </row>
    <row r="64" customFormat="false" ht="15" hidden="false" customHeight="false" outlineLevel="0" collapsed="false">
      <c r="A64" s="0" t="s">
        <v>59</v>
      </c>
      <c r="B64" s="0" t="s">
        <v>60</v>
      </c>
      <c r="C64" s="0" t="s">
        <v>56</v>
      </c>
      <c r="D64" s="0" t="s">
        <v>128</v>
      </c>
      <c r="E64" s="0" t="n">
        <v>2</v>
      </c>
      <c r="F64" s="0" t="n">
        <v>4</v>
      </c>
      <c r="G64" s="1"/>
      <c r="H64" s="1"/>
      <c r="I64" s="0" t="n">
        <f aca="false">31.5+68.9</f>
        <v>100.4</v>
      </c>
      <c r="J64" s="0" t="n">
        <f aca="false">(I64/55)*5</f>
        <v>9.12727272727273</v>
      </c>
      <c r="L64" s="0" t="n">
        <v>21.5</v>
      </c>
      <c r="M64" s="0" t="n">
        <v>0</v>
      </c>
      <c r="N64" s="0" t="n">
        <f aca="false">L64</f>
        <v>21.5</v>
      </c>
      <c r="O64" s="3" t="n">
        <v>1.087675</v>
      </c>
      <c r="P64" s="3" t="n">
        <f aca="false">(O64*(N64/100)*(J64/1000))*1000</f>
        <v>2.13441386818182</v>
      </c>
      <c r="Q64" s="3"/>
      <c r="R64" s="1"/>
      <c r="S64" s="1"/>
      <c r="T64" s="1"/>
      <c r="U64" s="1"/>
      <c r="V64" s="1"/>
      <c r="W64" s="1"/>
      <c r="X64" s="1"/>
      <c r="Y64" s="5"/>
      <c r="Z64" s="1"/>
      <c r="AB64" s="0" t="n">
        <v>30.5</v>
      </c>
      <c r="AC64" s="0" t="n">
        <v>1.1294</v>
      </c>
    </row>
    <row r="65" customFormat="false" ht="15" hidden="false" customHeight="false" outlineLevel="0" collapsed="false">
      <c r="A65" s="0" t="s">
        <v>61</v>
      </c>
      <c r="B65" s="0" t="s">
        <v>62</v>
      </c>
      <c r="C65" s="0" t="s">
        <v>56</v>
      </c>
      <c r="D65" s="0" t="s">
        <v>128</v>
      </c>
      <c r="E65" s="0" t="n">
        <v>2</v>
      </c>
      <c r="F65" s="0" t="n">
        <v>3</v>
      </c>
      <c r="G65" s="1"/>
      <c r="H65" s="1"/>
      <c r="I65" s="0" t="n">
        <v>57.8</v>
      </c>
      <c r="J65" s="0" t="n">
        <f aca="false">(I65/55)*5</f>
        <v>5.25454545454545</v>
      </c>
      <c r="L65" s="0" t="n">
        <v>21.5</v>
      </c>
      <c r="M65" s="0" t="n">
        <v>0</v>
      </c>
      <c r="N65" s="0" t="n">
        <f aca="false">L65</f>
        <v>21.5</v>
      </c>
      <c r="O65" s="3" t="n">
        <v>1.087675</v>
      </c>
      <c r="P65" s="3" t="n">
        <f aca="false">(O65*(N65/100)*(J65/1000))*1000</f>
        <v>1.22877611136364</v>
      </c>
      <c r="Q65" s="3"/>
      <c r="R65" s="1"/>
      <c r="S65" s="1"/>
      <c r="T65" s="1"/>
      <c r="U65" s="1"/>
      <c r="V65" s="1"/>
      <c r="W65" s="1"/>
      <c r="X65" s="1"/>
      <c r="Y65" s="5"/>
      <c r="Z65" s="1"/>
      <c r="AB65" s="0" t="n">
        <v>31</v>
      </c>
      <c r="AC65" s="0" t="n">
        <v>1.1318</v>
      </c>
    </row>
    <row r="66" customFormat="false" ht="15" hidden="false" customHeight="false" outlineLevel="0" collapsed="false">
      <c r="A66" s="0" t="s">
        <v>63</v>
      </c>
      <c r="B66" s="0" t="s">
        <v>64</v>
      </c>
      <c r="C66" s="0" t="s">
        <v>56</v>
      </c>
      <c r="D66" s="0" t="s">
        <v>128</v>
      </c>
      <c r="E66" s="0" t="n">
        <v>2</v>
      </c>
      <c r="F66" s="0" t="n">
        <v>1</v>
      </c>
      <c r="G66" s="1"/>
      <c r="H66" s="1"/>
      <c r="I66" s="0" t="n">
        <v>60.2</v>
      </c>
      <c r="J66" s="0" t="n">
        <f aca="false">(I66/55)*5</f>
        <v>5.47272727272727</v>
      </c>
      <c r="L66" s="0" t="n">
        <v>13.5</v>
      </c>
      <c r="M66" s="0" t="n">
        <v>0</v>
      </c>
      <c r="N66" s="0" t="n">
        <f aca="false">L66</f>
        <v>13.5</v>
      </c>
      <c r="O66" s="3" t="n">
        <v>1.0528</v>
      </c>
      <c r="P66" s="3" t="n">
        <f aca="false">(O66*(N66/100)*(J66/1000))*1000</f>
        <v>0.777827781818182</v>
      </c>
      <c r="Q66" s="3"/>
      <c r="R66" s="1"/>
      <c r="S66" s="1"/>
      <c r="T66" s="1"/>
      <c r="U66" s="1"/>
      <c r="V66" s="1"/>
      <c r="W66" s="1"/>
      <c r="X66" s="1"/>
      <c r="Y66" s="5"/>
      <c r="Z66" s="1"/>
      <c r="AB66" s="0" t="n">
        <v>31.5</v>
      </c>
      <c r="AC66" s="0" t="n">
        <v>1.1342</v>
      </c>
    </row>
    <row r="67" customFormat="false" ht="15" hidden="false" customHeight="false" outlineLevel="0" collapsed="false">
      <c r="A67" s="0" t="s">
        <v>65</v>
      </c>
      <c r="B67" s="0" t="s">
        <v>66</v>
      </c>
      <c r="C67" s="0" t="s">
        <v>56</v>
      </c>
      <c r="D67" s="0" t="s">
        <v>128</v>
      </c>
      <c r="E67" s="0" t="n">
        <v>2</v>
      </c>
      <c r="F67" s="0" t="n">
        <v>7</v>
      </c>
      <c r="G67" s="1"/>
      <c r="H67" s="1"/>
      <c r="I67" s="0" t="n">
        <f aca="false">77.1+81.8</f>
        <v>158.9</v>
      </c>
      <c r="J67" s="0" t="n">
        <f aca="false">(I67/55)*5</f>
        <v>14.4454545454545</v>
      </c>
      <c r="L67" s="0" t="n">
        <v>21</v>
      </c>
      <c r="M67" s="0" t="n">
        <v>0</v>
      </c>
      <c r="N67" s="0" t="n">
        <f aca="false">L67</f>
        <v>21</v>
      </c>
      <c r="O67" s="3" t="n">
        <v>1.08545</v>
      </c>
      <c r="P67" s="3" t="n">
        <f aca="false">(O67*(N67/100)*(J67/1000))*1000</f>
        <v>3.29276191363636</v>
      </c>
      <c r="Q67" s="3"/>
      <c r="R67" s="1"/>
      <c r="S67" s="1"/>
      <c r="T67" s="1"/>
      <c r="U67" s="1"/>
      <c r="V67" s="1"/>
      <c r="W67" s="1"/>
      <c r="X67" s="1"/>
      <c r="Y67" s="5"/>
      <c r="Z67" s="1"/>
      <c r="AB67" s="0" t="n">
        <v>32</v>
      </c>
      <c r="AC67" s="0" t="n">
        <v>1.1366</v>
      </c>
    </row>
    <row r="68" customFormat="false" ht="15" hidden="false" customHeight="false" outlineLevel="0" collapsed="false">
      <c r="A68" s="0" t="s">
        <v>67</v>
      </c>
      <c r="B68" s="0" t="s">
        <v>68</v>
      </c>
      <c r="C68" s="0" t="s">
        <v>56</v>
      </c>
      <c r="D68" s="0" t="s">
        <v>128</v>
      </c>
      <c r="E68" s="0" t="n">
        <v>2</v>
      </c>
      <c r="F68" s="0" t="n">
        <v>2</v>
      </c>
      <c r="G68" s="1"/>
      <c r="H68" s="1"/>
      <c r="I68" s="0" t="n">
        <v>71.3</v>
      </c>
      <c r="J68" s="0" t="n">
        <f aca="false">(I68/55)*5</f>
        <v>6.48181818181818</v>
      </c>
      <c r="L68" s="0" t="n">
        <v>5</v>
      </c>
      <c r="M68" s="0" t="n">
        <v>0</v>
      </c>
      <c r="N68" s="0" t="n">
        <f aca="false">L68</f>
        <v>5</v>
      </c>
      <c r="O68" s="3" t="n">
        <v>1.0179</v>
      </c>
      <c r="P68" s="3" t="n">
        <f aca="false">(O68*(N68/100)*(J68/1000))*1000</f>
        <v>0.329892136363636</v>
      </c>
      <c r="Q68" s="3"/>
      <c r="R68" s="1"/>
      <c r="S68" s="1"/>
      <c r="T68" s="1"/>
      <c r="U68" s="1"/>
      <c r="V68" s="1"/>
      <c r="W68" s="1"/>
      <c r="X68" s="1"/>
      <c r="Y68" s="5"/>
      <c r="Z68" s="1"/>
      <c r="AB68" s="0" t="n">
        <v>32.5</v>
      </c>
      <c r="AC68" s="0" t="n">
        <v>1.13905</v>
      </c>
    </row>
    <row r="69" customFormat="false" ht="15" hidden="false" customHeight="false" outlineLevel="0" collapsed="false">
      <c r="A69" s="0" t="s">
        <v>69</v>
      </c>
      <c r="B69" s="0" t="s">
        <v>70</v>
      </c>
      <c r="C69" s="0" t="s">
        <v>56</v>
      </c>
      <c r="D69" s="0" t="s">
        <v>128</v>
      </c>
      <c r="E69" s="0" t="n">
        <v>2</v>
      </c>
      <c r="F69" s="0" t="n">
        <v>2</v>
      </c>
      <c r="G69" s="1"/>
      <c r="H69" s="1"/>
      <c r="I69" s="0" t="n">
        <v>48.5</v>
      </c>
      <c r="J69" s="0" t="n">
        <f aca="false">(I69/55)*5</f>
        <v>4.40909090909091</v>
      </c>
      <c r="L69" s="0" t="n">
        <v>16</v>
      </c>
      <c r="M69" s="0" t="n">
        <v>0</v>
      </c>
      <c r="N69" s="0" t="n">
        <f aca="false">L69</f>
        <v>16</v>
      </c>
      <c r="O69" s="3" t="n">
        <v>1.0635</v>
      </c>
      <c r="P69" s="3" t="n">
        <f aca="false">(O69*(N69/100)*(J69/1000))*1000</f>
        <v>0.750250909090909</v>
      </c>
      <c r="Q69" s="3"/>
      <c r="R69" s="1"/>
      <c r="S69" s="1"/>
      <c r="T69" s="1"/>
      <c r="U69" s="1"/>
      <c r="V69" s="1"/>
      <c r="W69" s="1"/>
      <c r="X69" s="1"/>
      <c r="Y69" s="5"/>
      <c r="Z69" s="1"/>
      <c r="AB69" s="0" t="n">
        <v>33</v>
      </c>
      <c r="AC69" s="0" t="n">
        <v>1.1415</v>
      </c>
    </row>
    <row r="70" customFormat="false" ht="15" hidden="false" customHeight="false" outlineLevel="0" collapsed="false">
      <c r="A70" s="0" t="s">
        <v>71</v>
      </c>
      <c r="B70" s="0" t="s">
        <v>72</v>
      </c>
      <c r="C70" s="0" t="s">
        <v>56</v>
      </c>
      <c r="D70" s="0" t="s">
        <v>128</v>
      </c>
      <c r="E70" s="0" t="n">
        <v>2</v>
      </c>
      <c r="F70" s="0" t="n">
        <v>3</v>
      </c>
      <c r="G70" s="1"/>
      <c r="H70" s="1"/>
      <c r="I70" s="0" t="n">
        <v>54.5</v>
      </c>
      <c r="J70" s="0" t="n">
        <f aca="false">(I70/55)*5</f>
        <v>4.95454545454546</v>
      </c>
      <c r="L70" s="0" t="n">
        <v>16</v>
      </c>
      <c r="M70" s="0" t="n">
        <v>0</v>
      </c>
      <c r="N70" s="0" t="n">
        <f aca="false">L70</f>
        <v>16</v>
      </c>
      <c r="O70" s="3" t="n">
        <v>1.0635</v>
      </c>
      <c r="P70" s="3" t="n">
        <f aca="false">(O70*(N70/100)*(J70/1000))*1000</f>
        <v>0.843065454545454</v>
      </c>
      <c r="Q70" s="3"/>
      <c r="R70" s="1"/>
      <c r="S70" s="1"/>
      <c r="T70" s="1"/>
      <c r="U70" s="1"/>
      <c r="V70" s="1"/>
      <c r="W70" s="1"/>
      <c r="X70" s="1"/>
      <c r="Y70" s="5"/>
      <c r="Z70" s="1"/>
      <c r="AB70" s="0" t="n">
        <v>33.5</v>
      </c>
      <c r="AC70" s="0" t="n">
        <v>1.14395</v>
      </c>
    </row>
    <row r="71" customFormat="false" ht="15" hidden="false" customHeight="false" outlineLevel="0" collapsed="false">
      <c r="A71" s="0" t="s">
        <v>73</v>
      </c>
      <c r="B71" s="0" t="s">
        <v>74</v>
      </c>
      <c r="C71" s="0" t="s">
        <v>56</v>
      </c>
      <c r="D71" s="0" t="s">
        <v>128</v>
      </c>
      <c r="E71" s="0" t="n">
        <v>2</v>
      </c>
      <c r="F71" s="0" t="n">
        <v>2</v>
      </c>
      <c r="G71" s="1"/>
      <c r="H71" s="1"/>
      <c r="I71" s="0" t="n">
        <f aca="false">58.1+35.6</f>
        <v>93.7</v>
      </c>
      <c r="J71" s="0" t="n">
        <f aca="false">(I71/55)*5</f>
        <v>8.51818181818182</v>
      </c>
      <c r="L71" s="0" t="n">
        <v>26</v>
      </c>
      <c r="M71" s="0" t="n">
        <v>0</v>
      </c>
      <c r="N71" s="0" t="n">
        <f aca="false">L71</f>
        <v>26</v>
      </c>
      <c r="O71" s="3" t="n">
        <v>1.1081</v>
      </c>
      <c r="P71" s="3" t="n">
        <f aca="false">(O71*(N71/100)*(J71/1000))*1000</f>
        <v>2.45413929090909</v>
      </c>
      <c r="Q71" s="3"/>
      <c r="R71" s="1"/>
      <c r="S71" s="1"/>
      <c r="T71" s="1"/>
      <c r="U71" s="1"/>
      <c r="V71" s="1"/>
      <c r="W71" s="1"/>
      <c r="X71" s="1"/>
      <c r="Y71" s="5"/>
      <c r="Z71" s="1"/>
      <c r="AB71" s="0" t="n">
        <v>34</v>
      </c>
      <c r="AC71" s="0" t="n">
        <v>1.1464</v>
      </c>
    </row>
    <row r="72" customFormat="false" ht="15" hidden="false" customHeight="false" outlineLevel="0" collapsed="false">
      <c r="A72" s="0" t="s">
        <v>75</v>
      </c>
      <c r="B72" s="0" t="s">
        <v>76</v>
      </c>
      <c r="C72" s="0" t="s">
        <v>56</v>
      </c>
      <c r="D72" s="0" t="s">
        <v>128</v>
      </c>
      <c r="E72" s="0" t="n">
        <v>2</v>
      </c>
      <c r="F72" s="0" t="n">
        <v>2</v>
      </c>
      <c r="G72" s="1"/>
      <c r="H72" s="1"/>
      <c r="I72" s="0" t="n">
        <v>48.9</v>
      </c>
      <c r="J72" s="0" t="n">
        <f aca="false">(I72/55)*5</f>
        <v>4.44545454545455</v>
      </c>
      <c r="L72" s="0" t="n">
        <v>15</v>
      </c>
      <c r="M72" s="0" t="n">
        <v>0</v>
      </c>
      <c r="N72" s="0" t="n">
        <f aca="false">L72</f>
        <v>15</v>
      </c>
      <c r="O72" s="3" t="n">
        <v>1.0592</v>
      </c>
      <c r="P72" s="3" t="n">
        <f aca="false">(O72*(N72/100)*(J72/1000))*1000</f>
        <v>0.706293818181818</v>
      </c>
      <c r="Q72" s="3"/>
      <c r="R72" s="1"/>
      <c r="S72" s="1"/>
      <c r="T72" s="1"/>
      <c r="U72" s="1"/>
      <c r="V72" s="1"/>
      <c r="W72" s="1"/>
      <c r="X72" s="1"/>
      <c r="Y72" s="5"/>
      <c r="Z72" s="1"/>
      <c r="AB72" s="0" t="n">
        <v>34.5</v>
      </c>
      <c r="AC72" s="0" t="n">
        <v>1.14885</v>
      </c>
    </row>
    <row r="73" customFormat="false" ht="15" hidden="false" customHeight="false" outlineLevel="0" collapsed="false">
      <c r="A73" s="0" t="s">
        <v>77</v>
      </c>
      <c r="B73" s="0" t="s">
        <v>78</v>
      </c>
      <c r="C73" s="0" t="s">
        <v>56</v>
      </c>
      <c r="D73" s="0" t="s">
        <v>128</v>
      </c>
      <c r="E73" s="0" t="n">
        <v>2</v>
      </c>
      <c r="F73" s="0" t="n">
        <v>2</v>
      </c>
      <c r="G73" s="1"/>
      <c r="H73" s="1"/>
      <c r="I73" s="0" t="n">
        <v>63.2</v>
      </c>
      <c r="J73" s="0" t="n">
        <f aca="false">(I73/55)*5</f>
        <v>5.74545454545455</v>
      </c>
      <c r="L73" s="0" t="n">
        <v>13.5</v>
      </c>
      <c r="M73" s="0" t="n">
        <v>0</v>
      </c>
      <c r="N73" s="0" t="n">
        <f aca="false">L73</f>
        <v>13.5</v>
      </c>
      <c r="O73" s="3" t="n">
        <v>1.0528</v>
      </c>
      <c r="P73" s="3" t="n">
        <f aca="false">(O73*(N73/100)*(J73/1000))*1000</f>
        <v>0.816589963636364</v>
      </c>
      <c r="Q73" s="3"/>
      <c r="R73" s="1"/>
      <c r="S73" s="1"/>
      <c r="T73" s="1"/>
      <c r="U73" s="1"/>
      <c r="V73" s="1"/>
      <c r="W73" s="1"/>
      <c r="X73" s="1"/>
      <c r="Y73" s="5"/>
      <c r="Z73" s="1"/>
      <c r="AB73" s="0" t="n">
        <v>35</v>
      </c>
      <c r="AC73" s="0" t="n">
        <v>1.1513</v>
      </c>
    </row>
    <row r="74" customFormat="false" ht="15" hidden="false" customHeight="false" outlineLevel="0" collapsed="false">
      <c r="A74" s="0" t="s">
        <v>79</v>
      </c>
      <c r="B74" s="0" t="s">
        <v>80</v>
      </c>
      <c r="C74" s="0" t="s">
        <v>81</v>
      </c>
      <c r="D74" s="0" t="s">
        <v>128</v>
      </c>
      <c r="E74" s="0" t="n">
        <v>2</v>
      </c>
      <c r="F74" s="0" t="n">
        <v>1</v>
      </c>
      <c r="G74" s="1"/>
      <c r="H74" s="1"/>
      <c r="I74" s="0" t="n">
        <v>33.1</v>
      </c>
      <c r="J74" s="0" t="n">
        <f aca="false">(I74/55)*5</f>
        <v>3.00909090909091</v>
      </c>
      <c r="L74" s="0" t="n">
        <v>21</v>
      </c>
      <c r="M74" s="0" t="n">
        <v>0</v>
      </c>
      <c r="N74" s="0" t="n">
        <f aca="false">L74</f>
        <v>21</v>
      </c>
      <c r="O74" s="3" t="n">
        <v>1.08545</v>
      </c>
      <c r="P74" s="3" t="n">
        <f aca="false">(O74*(N74/100)*(J74/1000))*1000</f>
        <v>0.685905722727273</v>
      </c>
      <c r="Q74" s="3"/>
      <c r="R74" s="0" t="n">
        <v>3</v>
      </c>
      <c r="S74" s="0" t="n">
        <v>22</v>
      </c>
      <c r="T74" s="0" t="n">
        <f aca="false">(S74/55)*5</f>
        <v>2</v>
      </c>
      <c r="V74" s="0" t="n">
        <v>15</v>
      </c>
      <c r="W74" s="0" t="n">
        <v>4</v>
      </c>
      <c r="X74" s="3" t="n">
        <v>1.0592</v>
      </c>
      <c r="Y74" s="2" t="n">
        <f aca="false">(V74*((W74+T74)/1000)*X74)/((((W74+T74)/1000)*X74)-((W74/1000)*0.9982))</f>
        <v>40.3521842194379</v>
      </c>
      <c r="Z74" s="3" t="n">
        <f aca="false">X74*(V74/100)*((W74+T74)/1000)*1000</f>
        <v>0.95328</v>
      </c>
      <c r="AB74" s="0" t="n">
        <v>35.5</v>
      </c>
      <c r="AC74" s="0" t="n">
        <v>1.15375</v>
      </c>
    </row>
    <row r="75" customFormat="false" ht="15" hidden="false" customHeight="false" outlineLevel="0" collapsed="false">
      <c r="A75" s="0" t="s">
        <v>82</v>
      </c>
      <c r="B75" s="0" t="s">
        <v>83</v>
      </c>
      <c r="C75" s="0" t="s">
        <v>81</v>
      </c>
      <c r="D75" s="0" t="s">
        <v>128</v>
      </c>
      <c r="E75" s="0" t="n">
        <v>2</v>
      </c>
      <c r="F75" s="0" t="n">
        <v>1</v>
      </c>
      <c r="G75" s="1"/>
      <c r="H75" s="1"/>
      <c r="I75" s="0" t="n">
        <v>25.9</v>
      </c>
      <c r="J75" s="0" t="n">
        <f aca="false">(I75/55)*5</f>
        <v>2.35454545454545</v>
      </c>
      <c r="L75" s="0" t="n">
        <v>23</v>
      </c>
      <c r="M75" s="0" t="n">
        <v>0</v>
      </c>
      <c r="N75" s="0" t="n">
        <f aca="false">L75</f>
        <v>23</v>
      </c>
      <c r="O75" s="3" t="n">
        <v>1.09445</v>
      </c>
      <c r="P75" s="3" t="n">
        <f aca="false">(O75*(N75/100)*(J75/1000))*1000</f>
        <v>0.592694422727273</v>
      </c>
      <c r="Q75" s="3"/>
      <c r="R75" s="0" t="n">
        <v>3</v>
      </c>
      <c r="S75" s="0" t="n">
        <v>13.7</v>
      </c>
      <c r="T75" s="0" t="n">
        <f aca="false">(S75/55)*5</f>
        <v>1.24545454545455</v>
      </c>
      <c r="V75" s="0" t="n">
        <v>12.5</v>
      </c>
      <c r="W75" s="0" t="n">
        <v>4</v>
      </c>
      <c r="X75" s="3" t="n">
        <v>1.0486</v>
      </c>
      <c r="Y75" s="2" t="n">
        <f aca="false">(V75*((W75+T75)/1000)*X75)/((((W75+T75)/1000)*X75)-((W75/1000)*0.9982))</f>
        <v>45.6059576372063</v>
      </c>
      <c r="Z75" s="3" t="n">
        <f aca="false">X75*(V75/100)*((W75+T75)/1000)*1000</f>
        <v>0.687547954545455</v>
      </c>
      <c r="AB75" s="0" t="n">
        <v>36</v>
      </c>
      <c r="AC75" s="0" t="n">
        <v>1.1562</v>
      </c>
    </row>
    <row r="76" customFormat="false" ht="15" hidden="false" customHeight="false" outlineLevel="0" collapsed="false">
      <c r="A76" s="0" t="s">
        <v>84</v>
      </c>
      <c r="B76" s="0" t="s">
        <v>85</v>
      </c>
      <c r="C76" s="0" t="s">
        <v>81</v>
      </c>
      <c r="D76" s="0" t="s">
        <v>128</v>
      </c>
      <c r="E76" s="0" t="n">
        <v>2</v>
      </c>
      <c r="F76" s="0" t="n">
        <v>2</v>
      </c>
      <c r="G76" s="1"/>
      <c r="H76" s="1"/>
      <c r="I76" s="0" t="n">
        <v>83</v>
      </c>
      <c r="J76" s="0" t="n">
        <f aca="false">(I76/55)*5</f>
        <v>7.54545454545455</v>
      </c>
      <c r="L76" s="0" t="n">
        <v>26</v>
      </c>
      <c r="M76" s="0" t="n">
        <v>0</v>
      </c>
      <c r="N76" s="0" t="n">
        <f aca="false">L76</f>
        <v>26</v>
      </c>
      <c r="O76" s="3" t="n">
        <v>1.1081</v>
      </c>
      <c r="P76" s="3" t="n">
        <f aca="false">(O76*(N76/100)*(J76/1000))*1000</f>
        <v>2.17389072727273</v>
      </c>
      <c r="Q76" s="3"/>
      <c r="R76" s="0" t="n">
        <v>3</v>
      </c>
      <c r="S76" s="0" t="n">
        <v>15.5</v>
      </c>
      <c r="T76" s="0" t="n">
        <f aca="false">(S76/55)*5</f>
        <v>1.40909090909091</v>
      </c>
      <c r="V76" s="0" t="n">
        <v>10</v>
      </c>
      <c r="W76" s="0" t="n">
        <v>4</v>
      </c>
      <c r="X76" s="3" t="n">
        <v>1.0381</v>
      </c>
      <c r="Y76" s="2" t="n">
        <f aca="false">(V76*((W76+T76)/1000)*X76)/((((W76+T76)/1000)*X76)-((W76/1000)*0.9982))</f>
        <v>34.6107984074997</v>
      </c>
      <c r="Z76" s="3" t="n">
        <f aca="false">X76*(V76/100)*((W76+T76)/1000)*1000</f>
        <v>0.561517727272727</v>
      </c>
      <c r="AB76" s="0" t="n">
        <v>36.5</v>
      </c>
      <c r="AC76" s="0" t="n">
        <v>1.158725</v>
      </c>
    </row>
    <row r="77" customFormat="false" ht="15" hidden="false" customHeight="false" outlineLevel="0" collapsed="false">
      <c r="A77" s="0" t="s">
        <v>86</v>
      </c>
      <c r="B77" s="0" t="s">
        <v>87</v>
      </c>
      <c r="C77" s="0" t="s">
        <v>81</v>
      </c>
      <c r="D77" s="0" t="s">
        <v>128</v>
      </c>
      <c r="E77" s="0" t="n">
        <v>2</v>
      </c>
      <c r="F77" s="0" t="n">
        <v>2</v>
      </c>
      <c r="G77" s="1"/>
      <c r="H77" s="1"/>
      <c r="I77" s="0" t="n">
        <v>81.5</v>
      </c>
      <c r="J77" s="0" t="n">
        <f aca="false">(I77/55)*5</f>
        <v>7.40909090909091</v>
      </c>
      <c r="L77" s="0" t="n">
        <v>19</v>
      </c>
      <c r="M77" s="0" t="n">
        <v>0</v>
      </c>
      <c r="N77" s="0" t="n">
        <f aca="false">L77</f>
        <v>19</v>
      </c>
      <c r="O77" s="3" t="n">
        <v>1.0765</v>
      </c>
      <c r="P77" s="3" t="n">
        <f aca="false">(O77*(N77/100)*(J77/1000))*1000</f>
        <v>1.51541840909091</v>
      </c>
      <c r="Q77" s="3"/>
      <c r="R77" s="0" t="n">
        <v>4</v>
      </c>
      <c r="S77" s="0" t="n">
        <v>11.4</v>
      </c>
      <c r="T77" s="0" t="n">
        <f aca="false">(S77/55)*5</f>
        <v>1.03636363636364</v>
      </c>
      <c r="V77" s="0" t="n">
        <v>9.5</v>
      </c>
      <c r="W77" s="0" t="n">
        <v>4</v>
      </c>
      <c r="X77" s="3" t="n">
        <v>1.0361</v>
      </c>
      <c r="Y77" s="2" t="n">
        <f aca="false">(V77*((W77+T77)/1000)*X77)/((((W77+T77)/1000)*X77)-((W77/1000)*0.9982))</f>
        <v>40.455060931187</v>
      </c>
      <c r="Z77" s="3" t="n">
        <f aca="false">X77*(V77/100)*((W77+T77)/1000)*1000</f>
        <v>0.495726754545454</v>
      </c>
      <c r="AB77" s="0" t="n">
        <v>37</v>
      </c>
      <c r="AC77" s="0" t="n">
        <v>1.16125</v>
      </c>
    </row>
    <row r="78" customFormat="false" ht="15" hidden="false" customHeight="false" outlineLevel="0" collapsed="false">
      <c r="A78" s="0" t="s">
        <v>88</v>
      </c>
      <c r="B78" s="0" t="s">
        <v>89</v>
      </c>
      <c r="C78" s="0" t="s">
        <v>81</v>
      </c>
      <c r="D78" s="0" t="s">
        <v>128</v>
      </c>
      <c r="E78" s="0" t="n">
        <v>2</v>
      </c>
      <c r="F78" s="0" t="n">
        <v>1</v>
      </c>
      <c r="G78" s="1"/>
      <c r="H78" s="1"/>
      <c r="I78" s="0" t="n">
        <v>51</v>
      </c>
      <c r="J78" s="0" t="n">
        <f aca="false">(I78/55)*5</f>
        <v>4.63636363636364</v>
      </c>
      <c r="L78" s="0" t="n">
        <v>21</v>
      </c>
      <c r="M78" s="0" t="n">
        <v>0</v>
      </c>
      <c r="N78" s="0" t="n">
        <f aca="false">L78</f>
        <v>21</v>
      </c>
      <c r="O78" s="3" t="n">
        <v>1.08545</v>
      </c>
      <c r="P78" s="3" t="n">
        <f aca="false">(O78*(N78/100)*(J78/1000))*1000</f>
        <v>1.05683359090909</v>
      </c>
      <c r="Q78" s="3"/>
      <c r="R78" s="0" t="n">
        <v>5</v>
      </c>
      <c r="S78" s="0" t="n">
        <v>22.4</v>
      </c>
      <c r="T78" s="0" t="n">
        <f aca="false">(S78/55)*5</f>
        <v>2.03636363636364</v>
      </c>
      <c r="V78" s="0" t="n">
        <v>20</v>
      </c>
      <c r="W78" s="0" t="n">
        <v>4</v>
      </c>
      <c r="X78" s="3" t="n">
        <v>1.081</v>
      </c>
      <c r="Y78" s="2" t="n">
        <f aca="false">(V78*((W78+T78)/1000)*X78)/((((W78+T78)/1000)*X78)-((W78/1000)*0.9982))</f>
        <v>51.5323645970938</v>
      </c>
      <c r="Z78" s="3" t="n">
        <f aca="false">X78*(V78/100)*((W78+T78)/1000)*1000</f>
        <v>1.30506181818182</v>
      </c>
      <c r="AB78" s="0" t="n">
        <v>37.5</v>
      </c>
      <c r="AC78" s="0" t="n">
        <v>1.163775</v>
      </c>
    </row>
    <row r="79" customFormat="false" ht="15" hidden="false" customHeight="false" outlineLevel="0" collapsed="false">
      <c r="A79" s="0" t="s">
        <v>90</v>
      </c>
      <c r="B79" s="0" t="s">
        <v>91</v>
      </c>
      <c r="C79" s="0" t="s">
        <v>81</v>
      </c>
      <c r="D79" s="0" t="s">
        <v>128</v>
      </c>
      <c r="E79" s="0" t="n">
        <v>2</v>
      </c>
      <c r="F79" s="0" t="n">
        <v>1</v>
      </c>
      <c r="G79" s="1"/>
      <c r="H79" s="1"/>
      <c r="I79" s="0" t="n">
        <v>52.3</v>
      </c>
      <c r="J79" s="0" t="n">
        <f aca="false">(I79/55)*5</f>
        <v>4.75454545454545</v>
      </c>
      <c r="L79" s="0" t="n">
        <v>20.5</v>
      </c>
      <c r="M79" s="0" t="n">
        <v>0</v>
      </c>
      <c r="N79" s="0" t="n">
        <f aca="false">L79</f>
        <v>20.5</v>
      </c>
      <c r="O79" s="3" t="n">
        <v>1.083225</v>
      </c>
      <c r="P79" s="3" t="n">
        <f aca="false">(O79*(N79/100)*(J79/1000))*1000</f>
        <v>1.0557997125</v>
      </c>
      <c r="Q79" s="3"/>
      <c r="R79" s="0" t="n">
        <v>1</v>
      </c>
      <c r="S79" s="0" t="n">
        <v>2.4</v>
      </c>
      <c r="T79" s="0" t="n">
        <f aca="false">(S79/55)*5</f>
        <v>0.218181818181818</v>
      </c>
      <c r="V79" s="0" t="n">
        <v>8</v>
      </c>
      <c r="W79" s="0" t="n">
        <v>1</v>
      </c>
      <c r="X79" s="3" t="n">
        <v>1.0299</v>
      </c>
      <c r="Y79" s="2" t="n">
        <f aca="false">(V79*((W79+T79)/1000)*X79)/((((W79+T79)/1000)*X79)-((W79/1000)*0.9982))</f>
        <v>39.1444232501081</v>
      </c>
      <c r="Z79" s="3" t="n">
        <f aca="false">X79*(V79/100)*((W79+T79)/1000)*1000</f>
        <v>0.100368436363636</v>
      </c>
      <c r="AB79" s="0" t="n">
        <v>38</v>
      </c>
      <c r="AC79" s="0" t="n">
        <v>1.1663</v>
      </c>
    </row>
    <row r="80" customFormat="false" ht="15" hidden="false" customHeight="false" outlineLevel="0" collapsed="false">
      <c r="A80" s="0" t="s">
        <v>92</v>
      </c>
      <c r="B80" s="0" t="s">
        <v>93</v>
      </c>
      <c r="C80" s="0" t="s">
        <v>81</v>
      </c>
      <c r="D80" s="0" t="s">
        <v>128</v>
      </c>
      <c r="E80" s="0" t="n">
        <v>2</v>
      </c>
      <c r="F80" s="0" t="n">
        <v>1</v>
      </c>
      <c r="G80" s="1"/>
      <c r="H80" s="1"/>
      <c r="I80" s="0" t="n">
        <v>37.1</v>
      </c>
      <c r="J80" s="0" t="n">
        <f aca="false">(I80/55)*5</f>
        <v>3.37272727272727</v>
      </c>
      <c r="L80" s="0" t="n">
        <v>23</v>
      </c>
      <c r="M80" s="0" t="n">
        <v>0</v>
      </c>
      <c r="N80" s="0" t="n">
        <f aca="false">L80</f>
        <v>23</v>
      </c>
      <c r="O80" s="3" t="n">
        <v>1.09445</v>
      </c>
      <c r="P80" s="3" t="n">
        <f aca="false">(O80*(N80/100)*(J80/1000))*1000</f>
        <v>0.848994713636364</v>
      </c>
      <c r="Q80" s="3"/>
      <c r="R80" s="0" t="n">
        <v>3</v>
      </c>
      <c r="S80" s="0" t="n">
        <v>15</v>
      </c>
      <c r="T80" s="0" t="n">
        <f aca="false">(S80/55)*5</f>
        <v>1.36363636363636</v>
      </c>
      <c r="V80" s="0" t="n">
        <v>19.5</v>
      </c>
      <c r="W80" s="0" t="n">
        <v>4</v>
      </c>
      <c r="X80" s="3" t="n">
        <v>1.07875</v>
      </c>
      <c r="Y80" s="2" t="n">
        <f aca="false">(V80*((W80+T80)/1000)*X80)/((((W80+T80)/1000)*X80)-((W80/1000)*0.9982))</f>
        <v>62.9188117381353</v>
      </c>
      <c r="Z80" s="3" t="n">
        <f aca="false">X80*(V80/100)*((W80+T80)/1000)*1000</f>
        <v>1.12827443181818</v>
      </c>
      <c r="AB80" s="0" t="n">
        <v>38.5</v>
      </c>
      <c r="AC80" s="0" t="n">
        <v>1.16885</v>
      </c>
    </row>
    <row r="81" customFormat="false" ht="15" hidden="false" customHeight="false" outlineLevel="0" collapsed="false">
      <c r="A81" s="0" t="s">
        <v>94</v>
      </c>
      <c r="B81" s="0" t="s">
        <v>95</v>
      </c>
      <c r="C81" s="0" t="s">
        <v>81</v>
      </c>
      <c r="D81" s="0" t="s">
        <v>128</v>
      </c>
      <c r="E81" s="0" t="n">
        <v>2</v>
      </c>
      <c r="F81" s="0" t="n">
        <v>5</v>
      </c>
      <c r="G81" s="1"/>
      <c r="H81" s="1"/>
      <c r="I81" s="0" t="n">
        <f aca="false">69.3+64+83.3</f>
        <v>216.6</v>
      </c>
      <c r="J81" s="0" t="n">
        <f aca="false">(I81/55)*5</f>
        <v>19.6909090909091</v>
      </c>
      <c r="L81" s="0" t="n">
        <v>19.5</v>
      </c>
      <c r="M81" s="0" t="n">
        <v>0</v>
      </c>
      <c r="N81" s="0" t="n">
        <f aca="false">L81</f>
        <v>19.5</v>
      </c>
      <c r="O81" s="3" t="n">
        <v>1.07875</v>
      </c>
      <c r="P81" s="3" t="n">
        <f aca="false">(O81*(N81/100)*(J81/1000))*1000</f>
        <v>4.14210579545455</v>
      </c>
      <c r="Q81" s="3"/>
      <c r="R81" s="0" t="n">
        <v>3</v>
      </c>
      <c r="S81" s="0" t="n">
        <v>7</v>
      </c>
      <c r="T81" s="0" t="n">
        <f aca="false">(S81/55)*5</f>
        <v>0.636363636363636</v>
      </c>
      <c r="V81" s="0" t="n">
        <v>8</v>
      </c>
      <c r="W81" s="0" t="n">
        <v>4</v>
      </c>
      <c r="X81" s="3" t="n">
        <v>1.0299</v>
      </c>
      <c r="Y81" s="2" t="n">
        <f aca="false">(V81*((W81+T81)/1000)*X81)/((((W81+T81)/1000)*X81)-((W81/1000)*0.9982))</f>
        <v>48.8370892946386</v>
      </c>
      <c r="Z81" s="3" t="n">
        <f aca="false">X81*(V81/100)*((W81+T81)/1000)*1000</f>
        <v>0.381999272727273</v>
      </c>
      <c r="AB81" s="0" t="n">
        <v>39</v>
      </c>
      <c r="AC81" s="0" t="n">
        <v>1.1714</v>
      </c>
    </row>
    <row r="82" customFormat="false" ht="15" hidden="false" customHeight="false" outlineLevel="0" collapsed="false">
      <c r="A82" s="0" t="s">
        <v>96</v>
      </c>
      <c r="B82" s="0" t="s">
        <v>97</v>
      </c>
      <c r="C82" s="0" t="s">
        <v>81</v>
      </c>
      <c r="D82" s="0" t="s">
        <v>128</v>
      </c>
      <c r="E82" s="0" t="n">
        <v>2</v>
      </c>
      <c r="F82" s="0" t="n">
        <v>1</v>
      </c>
      <c r="G82" s="1"/>
      <c r="H82" s="1"/>
      <c r="I82" s="0" t="n">
        <v>62.5</v>
      </c>
      <c r="J82" s="0" t="n">
        <f aca="false">(I82/55)*5</f>
        <v>5.68181818181818</v>
      </c>
      <c r="L82" s="0" t="n">
        <v>21.5</v>
      </c>
      <c r="M82" s="0" t="n">
        <v>0</v>
      </c>
      <c r="N82" s="0" t="n">
        <f aca="false">L82</f>
        <v>21.5</v>
      </c>
      <c r="O82" s="3" t="n">
        <v>1.087675</v>
      </c>
      <c r="P82" s="3" t="n">
        <f aca="false">(O82*(N82/100)*(J82/1000))*1000</f>
        <v>1.32869389204545</v>
      </c>
      <c r="Q82" s="3"/>
      <c r="R82" s="0" t="n">
        <v>2</v>
      </c>
      <c r="S82" s="0" t="n">
        <v>12.8</v>
      </c>
      <c r="T82" s="0" t="n">
        <f aca="false">(S82/55)*5</f>
        <v>1.16363636363636</v>
      </c>
      <c r="V82" s="0" t="n">
        <v>9.5</v>
      </c>
      <c r="W82" s="0" t="n">
        <v>4</v>
      </c>
      <c r="X82" s="3" t="n">
        <v>1.0361</v>
      </c>
      <c r="Y82" s="2" t="n">
        <f aca="false">(V82*((W82+T82)/1000)*X82)/((((W82+T82)/1000)*X82)-((W82/1000)*0.9982))</f>
        <v>37.4475246622835</v>
      </c>
      <c r="Z82" s="3" t="n">
        <f aca="false">X82*(V82/100)*((W82+T82)/1000)*1000</f>
        <v>0.508254145454545</v>
      </c>
      <c r="AB82" s="0" t="n">
        <v>39.5</v>
      </c>
      <c r="AC82" s="0" t="n">
        <v>1.17395</v>
      </c>
    </row>
    <row r="83" customFormat="false" ht="15" hidden="false" customHeight="false" outlineLevel="0" collapsed="false">
      <c r="A83" s="0" t="s">
        <v>98</v>
      </c>
      <c r="B83" s="0" t="s">
        <v>99</v>
      </c>
      <c r="C83" s="0" t="s">
        <v>81</v>
      </c>
      <c r="D83" s="0" t="s">
        <v>128</v>
      </c>
      <c r="E83" s="0" t="n">
        <v>2</v>
      </c>
      <c r="F83" s="0" t="n">
        <v>0</v>
      </c>
      <c r="G83" s="1"/>
      <c r="H83" s="1"/>
      <c r="I83" s="0" t="n">
        <v>0</v>
      </c>
      <c r="J83" s="0" t="n">
        <f aca="false">(I83/55)*5</f>
        <v>0</v>
      </c>
      <c r="L83" s="0" t="n">
        <v>0</v>
      </c>
      <c r="M83" s="0" t="n">
        <v>0</v>
      </c>
      <c r="N83" s="0" t="n">
        <f aca="false">L83</f>
        <v>0</v>
      </c>
      <c r="O83" s="3" t="n">
        <v>0</v>
      </c>
      <c r="P83" s="3" t="n">
        <f aca="false">(O83*(N83/100)*(J83/1000))*1000</f>
        <v>0</v>
      </c>
      <c r="Q83" s="3"/>
      <c r="R83" s="0" t="n">
        <v>3</v>
      </c>
      <c r="S83" s="0" t="n">
        <v>6</v>
      </c>
      <c r="T83" s="0" t="n">
        <f aca="false">(S83/55)*5</f>
        <v>0.545454545454545</v>
      </c>
      <c r="V83" s="0" t="n">
        <v>5</v>
      </c>
      <c r="W83" s="0" t="n">
        <v>4</v>
      </c>
      <c r="X83" s="3" t="n">
        <v>1.0179</v>
      </c>
      <c r="Y83" s="2" t="n">
        <f aca="false">(V83*((W83+T83)/1000)*X83)/((((W83+T83)/1000)*X83)-((W83/1000)*0.9982))</f>
        <v>36.4880559777466</v>
      </c>
      <c r="Z83" s="3" t="n">
        <f aca="false">X83*(V83/100)*((W83+T83)/1000)*1000</f>
        <v>0.231340909090909</v>
      </c>
      <c r="AB83" s="0" t="n">
        <v>40</v>
      </c>
      <c r="AC83" s="0" t="n">
        <v>1.1765</v>
      </c>
    </row>
    <row r="84" customFormat="false" ht="15" hidden="false" customHeight="false" outlineLevel="0" collapsed="false">
      <c r="A84" s="0" t="s">
        <v>100</v>
      </c>
      <c r="B84" s="0" t="s">
        <v>101</v>
      </c>
      <c r="C84" s="0" t="s">
        <v>81</v>
      </c>
      <c r="D84" s="0" t="s">
        <v>128</v>
      </c>
      <c r="E84" s="0" t="n">
        <v>2</v>
      </c>
      <c r="F84" s="0" t="n">
        <v>2</v>
      </c>
      <c r="G84" s="1"/>
      <c r="H84" s="1"/>
      <c r="I84" s="0" t="n">
        <f aca="false">53.8+17.5</f>
        <v>71.3</v>
      </c>
      <c r="J84" s="0" t="n">
        <f aca="false">(I84/55)*5</f>
        <v>6.48181818181818</v>
      </c>
      <c r="L84" s="0" t="n">
        <v>15</v>
      </c>
      <c r="M84" s="0" t="n">
        <v>0</v>
      </c>
      <c r="N84" s="0" t="n">
        <f aca="false">L84</f>
        <v>15</v>
      </c>
      <c r="O84" s="3" t="n">
        <v>1.0592</v>
      </c>
      <c r="P84" s="3" t="n">
        <f aca="false">(O84*(N84/100)*(J84/1000))*1000</f>
        <v>1.02983127272727</v>
      </c>
      <c r="Q84" s="3"/>
      <c r="R84" s="0" t="n">
        <v>2</v>
      </c>
      <c r="S84" s="0" t="n">
        <v>10.7</v>
      </c>
      <c r="T84" s="0" t="n">
        <f aca="false">(S84/55)*5</f>
        <v>0.972727272727273</v>
      </c>
      <c r="V84" s="0" t="n">
        <v>9</v>
      </c>
      <c r="W84" s="0" t="n">
        <v>4</v>
      </c>
      <c r="X84" s="3" t="n">
        <v>1.0341</v>
      </c>
      <c r="Y84" s="2" t="n">
        <f aca="false">(V84*((W84+T84)/1000)*X84)/((((W84+T84)/1000)*X84)-((W84/1000)*0.9982))</f>
        <v>40.2616661671071</v>
      </c>
      <c r="Z84" s="3" t="n">
        <f aca="false">X84*(V84/100)*((W84+T84)/1000)*1000</f>
        <v>0.462806754545455</v>
      </c>
      <c r="AB84" s="0" t="n">
        <v>40.5</v>
      </c>
      <c r="AC84" s="0" t="n">
        <v>1.17905</v>
      </c>
    </row>
    <row r="85" customFormat="false" ht="15" hidden="false" customHeight="false" outlineLevel="0" collapsed="false">
      <c r="A85" s="0" t="s">
        <v>102</v>
      </c>
      <c r="B85" s="0" t="s">
        <v>103</v>
      </c>
      <c r="C85" s="0" t="s">
        <v>81</v>
      </c>
      <c r="D85" s="0" t="s">
        <v>128</v>
      </c>
      <c r="E85" s="0" t="n">
        <v>2</v>
      </c>
      <c r="F85" s="0" t="n">
        <v>2</v>
      </c>
      <c r="G85" s="1"/>
      <c r="H85" s="1"/>
      <c r="I85" s="0" t="n">
        <f aca="false">49.5+25</f>
        <v>74.5</v>
      </c>
      <c r="J85" s="0" t="n">
        <f aca="false">(I85/55)*5</f>
        <v>6.77272727272727</v>
      </c>
      <c r="L85" s="0" t="n">
        <v>26</v>
      </c>
      <c r="M85" s="0" t="n">
        <v>0</v>
      </c>
      <c r="N85" s="0" t="n">
        <f aca="false">L85</f>
        <v>26</v>
      </c>
      <c r="O85" s="3" t="n">
        <v>1.1081</v>
      </c>
      <c r="P85" s="3" t="n">
        <f aca="false">(O85*(N85/100)*(J85/1000))*1000</f>
        <v>1.95126336363636</v>
      </c>
      <c r="Q85" s="3"/>
      <c r="R85" s="0" t="n">
        <v>2</v>
      </c>
      <c r="S85" s="0" t="n">
        <v>4.6</v>
      </c>
      <c r="T85" s="0" t="n">
        <f aca="false">(S85/55)*5</f>
        <v>0.418181818181818</v>
      </c>
      <c r="V85" s="0" t="n">
        <v>6.5</v>
      </c>
      <c r="W85" s="0" t="n">
        <v>4</v>
      </c>
      <c r="X85" s="3" t="n">
        <v>1.02385</v>
      </c>
      <c r="Y85" s="2" t="n">
        <f aca="false">(V85*((W85+T85)/1000)*X85)/((((W85+T85)/1000)*X85)-((W85/1000)*0.9982))</f>
        <v>55.3986025065474</v>
      </c>
      <c r="Z85" s="3" t="n">
        <f aca="false">X85*(V85/100)*((W85+T85)/1000)*1000</f>
        <v>0.294031104545454</v>
      </c>
      <c r="AB85" s="0" t="n">
        <v>41</v>
      </c>
      <c r="AC85" s="0" t="n">
        <v>1.1816</v>
      </c>
    </row>
    <row r="86" customFormat="false" ht="15" hidden="false" customHeight="false" outlineLevel="0" collapsed="false">
      <c r="A86" s="0" t="s">
        <v>104</v>
      </c>
      <c r="B86" s="0" t="s">
        <v>105</v>
      </c>
      <c r="C86" s="0" t="s">
        <v>106</v>
      </c>
      <c r="D86" s="0" t="s">
        <v>128</v>
      </c>
      <c r="E86" s="0" t="n">
        <v>2</v>
      </c>
      <c r="F86" s="0" t="n"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0" t="n">
        <v>2</v>
      </c>
      <c r="S86" s="1"/>
      <c r="T86" s="1"/>
      <c r="U86" s="1"/>
      <c r="V86" s="1"/>
      <c r="W86" s="1"/>
      <c r="X86" s="1"/>
      <c r="Y86" s="5"/>
      <c r="Z86" s="1"/>
      <c r="AB86" s="0" t="n">
        <v>41.5</v>
      </c>
      <c r="AC86" s="0" t="n">
        <v>1.18415</v>
      </c>
    </row>
    <row r="87" customFormat="false" ht="15" hidden="false" customHeight="false" outlineLevel="0" collapsed="false">
      <c r="A87" s="0" t="s">
        <v>107</v>
      </c>
      <c r="B87" s="0" t="s">
        <v>37</v>
      </c>
      <c r="C87" s="0" t="s">
        <v>106</v>
      </c>
      <c r="D87" s="0" t="s">
        <v>128</v>
      </c>
      <c r="E87" s="0" t="n">
        <v>2</v>
      </c>
      <c r="F87" s="0" t="n">
        <v>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0" t="n">
        <v>2</v>
      </c>
      <c r="S87" s="1"/>
      <c r="T87" s="1"/>
      <c r="U87" s="1"/>
      <c r="V87" s="1"/>
      <c r="W87" s="1"/>
      <c r="X87" s="1"/>
      <c r="Y87" s="5"/>
      <c r="Z87" s="1"/>
      <c r="AB87" s="0" t="n">
        <v>42</v>
      </c>
      <c r="AC87" s="0" t="n">
        <v>1.1867</v>
      </c>
    </row>
    <row r="88" customFormat="false" ht="15" hidden="false" customHeight="false" outlineLevel="0" collapsed="false">
      <c r="A88" s="0" t="s">
        <v>108</v>
      </c>
      <c r="B88" s="0" t="s">
        <v>109</v>
      </c>
      <c r="C88" s="0" t="s">
        <v>106</v>
      </c>
      <c r="D88" s="0" t="s">
        <v>128</v>
      </c>
      <c r="E88" s="0" t="n">
        <v>2</v>
      </c>
      <c r="F88" s="0" t="n">
        <v>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0" t="n">
        <v>3</v>
      </c>
      <c r="S88" s="1"/>
      <c r="T88" s="1"/>
      <c r="U88" s="1"/>
      <c r="V88" s="1"/>
      <c r="W88" s="1"/>
      <c r="X88" s="1"/>
      <c r="Y88" s="5"/>
      <c r="Z88" s="1"/>
      <c r="AB88" s="0" t="n">
        <v>42.5</v>
      </c>
      <c r="AC88" s="0" t="n">
        <v>1.18935</v>
      </c>
    </row>
    <row r="89" customFormat="false" ht="15" hidden="false" customHeight="false" outlineLevel="0" collapsed="false">
      <c r="A89" s="0" t="s">
        <v>110</v>
      </c>
      <c r="B89" s="0" t="s">
        <v>111</v>
      </c>
      <c r="C89" s="0" t="s">
        <v>106</v>
      </c>
      <c r="D89" s="0" t="s">
        <v>128</v>
      </c>
      <c r="E89" s="0" t="n">
        <v>2</v>
      </c>
      <c r="F89" s="0" t="n">
        <v>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0" t="n">
        <v>5</v>
      </c>
      <c r="S89" s="1"/>
      <c r="T89" s="1"/>
      <c r="U89" s="1"/>
      <c r="V89" s="1"/>
      <c r="W89" s="1"/>
      <c r="X89" s="1"/>
      <c r="Y89" s="5"/>
      <c r="Z89" s="1"/>
      <c r="AB89" s="0" t="n">
        <v>43</v>
      </c>
      <c r="AC89" s="0" t="n">
        <v>1.192</v>
      </c>
    </row>
    <row r="90" customFormat="false" ht="15" hidden="false" customHeight="false" outlineLevel="0" collapsed="false">
      <c r="A90" s="0" t="s">
        <v>112</v>
      </c>
      <c r="B90" s="0" t="s">
        <v>113</v>
      </c>
      <c r="C90" s="0" t="s">
        <v>106</v>
      </c>
      <c r="D90" s="0" t="s">
        <v>128</v>
      </c>
      <c r="E90" s="0" t="n">
        <v>2</v>
      </c>
      <c r="F90" s="0" t="n">
        <v>2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0" t="n">
        <v>2</v>
      </c>
      <c r="S90" s="1"/>
      <c r="T90" s="1"/>
      <c r="U90" s="1"/>
      <c r="V90" s="1"/>
      <c r="W90" s="1"/>
      <c r="X90" s="1"/>
      <c r="Y90" s="5"/>
      <c r="Z90" s="1"/>
      <c r="AB90" s="0" t="n">
        <v>43.5</v>
      </c>
      <c r="AC90" s="0" t="n">
        <v>1.19465</v>
      </c>
    </row>
    <row r="91" customFormat="false" ht="15" hidden="false" customHeight="false" outlineLevel="0" collapsed="false">
      <c r="A91" s="0" t="s">
        <v>114</v>
      </c>
      <c r="B91" s="0" t="s">
        <v>115</v>
      </c>
      <c r="C91" s="0" t="s">
        <v>106</v>
      </c>
      <c r="D91" s="0" t="s">
        <v>128</v>
      </c>
      <c r="E91" s="0" t="n">
        <v>2</v>
      </c>
      <c r="F91" s="0" t="n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0" t="n">
        <v>5</v>
      </c>
      <c r="S91" s="1"/>
      <c r="T91" s="1"/>
      <c r="U91" s="1"/>
      <c r="V91" s="1"/>
      <c r="W91" s="1"/>
      <c r="X91" s="1"/>
      <c r="Y91" s="5"/>
      <c r="Z91" s="1"/>
      <c r="AB91" s="0" t="n">
        <v>44</v>
      </c>
      <c r="AC91" s="0" t="n">
        <v>1.1973</v>
      </c>
    </row>
    <row r="92" customFormat="false" ht="15" hidden="false" customHeight="false" outlineLevel="0" collapsed="false">
      <c r="A92" s="0" t="s">
        <v>116</v>
      </c>
      <c r="B92" s="0" t="s">
        <v>117</v>
      </c>
      <c r="C92" s="0" t="s">
        <v>106</v>
      </c>
      <c r="D92" s="0" t="s">
        <v>128</v>
      </c>
      <c r="E92" s="0" t="n">
        <v>2</v>
      </c>
      <c r="F92" s="0" t="n">
        <v>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0" t="n">
        <v>2</v>
      </c>
      <c r="S92" s="1"/>
      <c r="T92" s="1"/>
      <c r="U92" s="1"/>
      <c r="V92" s="1"/>
      <c r="W92" s="1"/>
      <c r="X92" s="1"/>
      <c r="Y92" s="5"/>
      <c r="Z92" s="1"/>
      <c r="AB92" s="0" t="n">
        <v>44.5</v>
      </c>
      <c r="AC92" s="0" t="n">
        <v>1.199925</v>
      </c>
    </row>
    <row r="93" customFormat="false" ht="15" hidden="false" customHeight="false" outlineLevel="0" collapsed="false">
      <c r="A93" s="0" t="s">
        <v>118</v>
      </c>
      <c r="B93" s="0" t="s">
        <v>119</v>
      </c>
      <c r="C93" s="0" t="s">
        <v>106</v>
      </c>
      <c r="D93" s="0" t="s">
        <v>128</v>
      </c>
      <c r="E93" s="0" t="n">
        <v>2</v>
      </c>
      <c r="F93" s="0" t="n">
        <v>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0" t="n">
        <v>4</v>
      </c>
      <c r="S93" s="1"/>
      <c r="T93" s="1"/>
      <c r="U93" s="1"/>
      <c r="V93" s="1"/>
      <c r="W93" s="1"/>
      <c r="X93" s="1"/>
      <c r="Y93" s="5"/>
      <c r="Z93" s="1"/>
      <c r="AB93" s="0" t="n">
        <v>45</v>
      </c>
      <c r="AC93" s="0" t="n">
        <v>1.20255</v>
      </c>
    </row>
    <row r="94" customFormat="false" ht="15" hidden="false" customHeight="false" outlineLevel="0" collapsed="false">
      <c r="A94" s="0" t="s">
        <v>120</v>
      </c>
      <c r="B94" s="0" t="s">
        <v>121</v>
      </c>
      <c r="C94" s="0" t="s">
        <v>106</v>
      </c>
      <c r="D94" s="0" t="s">
        <v>128</v>
      </c>
      <c r="E94" s="0" t="n">
        <v>2</v>
      </c>
      <c r="F94" s="0" t="n">
        <v>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0" t="n">
        <v>3</v>
      </c>
      <c r="S94" s="1"/>
      <c r="T94" s="1"/>
      <c r="U94" s="1"/>
      <c r="V94" s="1"/>
      <c r="W94" s="1"/>
      <c r="X94" s="1"/>
      <c r="Y94" s="5"/>
      <c r="Z94" s="1"/>
      <c r="AB94" s="0" t="n">
        <v>45.5</v>
      </c>
      <c r="AC94" s="0" t="n">
        <v>1.205175</v>
      </c>
    </row>
    <row r="95" customFormat="false" ht="15" hidden="false" customHeight="false" outlineLevel="0" collapsed="false">
      <c r="A95" s="0" t="s">
        <v>122</v>
      </c>
      <c r="B95" s="0" t="s">
        <v>123</v>
      </c>
      <c r="C95" s="0" t="s">
        <v>106</v>
      </c>
      <c r="D95" s="0" t="s">
        <v>128</v>
      </c>
      <c r="E95" s="0" t="n">
        <v>2</v>
      </c>
      <c r="F95" s="0" t="n">
        <v>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0" t="n">
        <v>2</v>
      </c>
      <c r="S95" s="1"/>
      <c r="T95" s="1"/>
      <c r="U95" s="1"/>
      <c r="V95" s="1"/>
      <c r="W95" s="1"/>
      <c r="X95" s="1"/>
      <c r="Y95" s="5"/>
      <c r="Z95" s="1"/>
      <c r="AB95" s="0" t="n">
        <v>46</v>
      </c>
      <c r="AC95" s="0" t="n">
        <v>1.2078</v>
      </c>
    </row>
    <row r="96" customFormat="false" ht="15" hidden="false" customHeight="false" outlineLevel="0" collapsed="false">
      <c r="A96" s="0" t="s">
        <v>124</v>
      </c>
      <c r="B96" s="0" t="s">
        <v>125</v>
      </c>
      <c r="C96" s="0" t="s">
        <v>106</v>
      </c>
      <c r="D96" s="0" t="s">
        <v>128</v>
      </c>
      <c r="E96" s="0" t="n">
        <v>2</v>
      </c>
      <c r="F96" s="0" t="n">
        <v>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0" t="n">
        <v>6</v>
      </c>
      <c r="S96" s="1"/>
      <c r="T96" s="1"/>
      <c r="U96" s="1"/>
      <c r="V96" s="1"/>
      <c r="W96" s="1"/>
      <c r="X96" s="1"/>
      <c r="Y96" s="5"/>
      <c r="Z96" s="1"/>
      <c r="AB96" s="0" t="n">
        <v>46.5</v>
      </c>
      <c r="AC96" s="0" t="n">
        <v>1.2105</v>
      </c>
    </row>
    <row r="97" customFormat="false" ht="15" hidden="false" customHeight="false" outlineLevel="0" collapsed="false">
      <c r="A97" s="0" t="s">
        <v>126</v>
      </c>
      <c r="B97" s="0" t="s">
        <v>127</v>
      </c>
      <c r="C97" s="0" t="s">
        <v>106</v>
      </c>
      <c r="D97" s="0" t="s">
        <v>128</v>
      </c>
      <c r="E97" s="0" t="n">
        <v>2</v>
      </c>
      <c r="F97" s="0" t="n">
        <v>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0" t="n">
        <v>3</v>
      </c>
      <c r="S97" s="1"/>
      <c r="T97" s="1"/>
      <c r="U97" s="1"/>
      <c r="V97" s="1"/>
      <c r="W97" s="1"/>
      <c r="X97" s="1"/>
      <c r="Y97" s="5"/>
      <c r="Z97" s="1"/>
      <c r="AB97" s="0" t="n">
        <v>47</v>
      </c>
      <c r="AC97" s="0" t="n">
        <v>1.2132</v>
      </c>
    </row>
    <row r="98" customFormat="false" ht="15" hidden="false" customHeight="false" outlineLevel="0" collapsed="false">
      <c r="A98" s="0" t="s">
        <v>26</v>
      </c>
      <c r="B98" s="0" t="s">
        <v>27</v>
      </c>
      <c r="C98" s="0" t="s">
        <v>28</v>
      </c>
      <c r="D98" s="0" t="s">
        <v>129</v>
      </c>
      <c r="E98" s="0" t="n">
        <v>3</v>
      </c>
      <c r="F98" s="0" t="n">
        <v>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0" t="n">
        <v>0</v>
      </c>
      <c r="S98" s="0" t="n">
        <v>0</v>
      </c>
      <c r="T98" s="0" t="n">
        <f aca="false">(S98/55)*5</f>
        <v>0</v>
      </c>
      <c r="V98" s="0" t="n">
        <v>0</v>
      </c>
      <c r="W98" s="0" t="n">
        <v>4</v>
      </c>
      <c r="X98" s="3" t="n">
        <v>0</v>
      </c>
      <c r="Y98" s="2" t="n">
        <f aca="false">(V98*((W98+T98)/1000)*X98)/((((W98+T98)/1000)*X98)-((W98/1000)*0.9982))</f>
        <v>-0</v>
      </c>
      <c r="Z98" s="3" t="n">
        <f aca="false">X98*(V98/100)*((W98+T98)/1000)*1000</f>
        <v>0</v>
      </c>
      <c r="AB98" s="0" t="n">
        <v>47.5</v>
      </c>
      <c r="AC98" s="0" t="n">
        <v>1.2159</v>
      </c>
    </row>
    <row r="99" customFormat="false" ht="15" hidden="false" customHeight="false" outlineLevel="0" collapsed="false">
      <c r="A99" s="0" t="s">
        <v>32</v>
      </c>
      <c r="B99" s="0" t="s">
        <v>33</v>
      </c>
      <c r="C99" s="0" t="s">
        <v>28</v>
      </c>
      <c r="D99" s="0" t="s">
        <v>129</v>
      </c>
      <c r="E99" s="0" t="n">
        <v>3</v>
      </c>
      <c r="F99" s="0" t="n">
        <v>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0" t="n">
        <v>6</v>
      </c>
      <c r="S99" s="0" t="n">
        <v>23.9</v>
      </c>
      <c r="T99" s="0" t="n">
        <f aca="false">(S99/55)*5</f>
        <v>2.17272727272727</v>
      </c>
      <c r="V99" s="0" t="n">
        <v>25.5</v>
      </c>
      <c r="W99" s="0" t="n">
        <v>4</v>
      </c>
      <c r="X99" s="3" t="n">
        <v>1.105825</v>
      </c>
      <c r="Y99" s="2" t="n">
        <f aca="false">(V99*((W99+T99)/1000)*X99)/((((W99+T99)/1000)*X99)-((W99/1000)*0.9982))</f>
        <v>61.4374475318123</v>
      </c>
      <c r="Z99" s="3" t="n">
        <f aca="false">X99*(V99/100)*((W99+T99)/1000)*1000</f>
        <v>1.74061881477273</v>
      </c>
      <c r="AB99" s="0" t="n">
        <v>48</v>
      </c>
      <c r="AC99" s="0" t="n">
        <v>1.2186</v>
      </c>
    </row>
    <row r="100" customFormat="false" ht="15" hidden="false" customHeight="false" outlineLevel="0" collapsed="false">
      <c r="A100" s="0" t="s">
        <v>34</v>
      </c>
      <c r="B100" s="0" t="s">
        <v>35</v>
      </c>
      <c r="C100" s="0" t="s">
        <v>28</v>
      </c>
      <c r="D100" s="0" t="s">
        <v>129</v>
      </c>
      <c r="E100" s="0" t="n">
        <v>3</v>
      </c>
      <c r="F100" s="0" t="n">
        <v>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0" t="n">
        <v>3</v>
      </c>
      <c r="S100" s="0" t="n">
        <v>10.6</v>
      </c>
      <c r="T100" s="0" t="n">
        <f aca="false">(S100/55)*5</f>
        <v>0.963636363636364</v>
      </c>
      <c r="V100" s="0" t="n">
        <v>14.5</v>
      </c>
      <c r="W100" s="0" t="n">
        <v>4</v>
      </c>
      <c r="X100" s="3" t="n">
        <v>1.05705</v>
      </c>
      <c r="Y100" s="2" t="n">
        <f aca="false">(V100*((W100+T100)/1000)*X100)/((((W100+T100)/1000)*X100)-((W100/1000)*0.9982))</f>
        <v>60.668304923906</v>
      </c>
      <c r="Z100" s="3" t="n">
        <f aca="false">X100*(V100/100)*((W100+T100)/1000)*1000</f>
        <v>0.760787713636364</v>
      </c>
      <c r="AB100" s="0" t="n">
        <v>48.5</v>
      </c>
      <c r="AC100" s="0" t="n">
        <v>1.22135</v>
      </c>
    </row>
    <row r="101" customFormat="false" ht="15" hidden="false" customHeight="false" outlineLevel="0" collapsed="false">
      <c r="A101" s="0" t="s">
        <v>36</v>
      </c>
      <c r="B101" s="0" t="s">
        <v>37</v>
      </c>
      <c r="C101" s="0" t="s">
        <v>28</v>
      </c>
      <c r="D101" s="0" t="s">
        <v>129</v>
      </c>
      <c r="E101" s="0" t="n">
        <v>3</v>
      </c>
      <c r="F101" s="0" t="n">
        <v>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0" t="n">
        <v>1</v>
      </c>
      <c r="S101" s="0" t="n">
        <v>3.5</v>
      </c>
      <c r="T101" s="0" t="n">
        <f aca="false">(S101/55)*5</f>
        <v>0.318181818181818</v>
      </c>
      <c r="V101" s="0" t="n">
        <v>5</v>
      </c>
      <c r="W101" s="0" t="n">
        <v>2</v>
      </c>
      <c r="X101" s="3" t="n">
        <v>1.0179</v>
      </c>
      <c r="Y101" s="2" t="n">
        <f aca="false">(V101*((W101+T101)/1000)*X101)/((((W101+T101)/1000)*X101)-((W101/1000)*0.9982))</f>
        <v>32.4776341637367</v>
      </c>
      <c r="Z101" s="3" t="n">
        <f aca="false">X101*(V101/100)*((W101+T101)/1000)*1000</f>
        <v>0.117983863636364</v>
      </c>
      <c r="AB101" s="0" t="n">
        <v>49</v>
      </c>
      <c r="AC101" s="0" t="n">
        <v>1.2241</v>
      </c>
    </row>
    <row r="102" customFormat="false" ht="15" hidden="false" customHeight="false" outlineLevel="0" collapsed="false">
      <c r="A102" s="0" t="s">
        <v>38</v>
      </c>
      <c r="B102" s="0" t="s">
        <v>39</v>
      </c>
      <c r="C102" s="0" t="s">
        <v>28</v>
      </c>
      <c r="D102" s="0" t="s">
        <v>129</v>
      </c>
      <c r="E102" s="0" t="n">
        <v>3</v>
      </c>
      <c r="F102" s="0" t="n">
        <v>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0" t="n">
        <v>2</v>
      </c>
      <c r="S102" s="0" t="n">
        <v>6.2</v>
      </c>
      <c r="T102" s="0" t="n">
        <f aca="false">(S102/55)*5</f>
        <v>0.563636363636364</v>
      </c>
      <c r="V102" s="0" t="n">
        <v>8</v>
      </c>
      <c r="W102" s="0" t="n">
        <v>4</v>
      </c>
      <c r="X102" s="3" t="n">
        <v>1.0299</v>
      </c>
      <c r="Y102" s="2" t="n">
        <f aca="false">(V102*((W102+T102)/1000)*X102)/((((W102+T102)/1000)*X102)-((W102/1000)*0.9982))</f>
        <v>53.1617314766497</v>
      </c>
      <c r="Z102" s="3" t="n">
        <f aca="false">X102*(V102/100)*((W102+T102)/1000)*1000</f>
        <v>0.376007127272727</v>
      </c>
      <c r="AB102" s="0" t="n">
        <v>49.5</v>
      </c>
      <c r="AC102" s="0" t="n">
        <v>1.22685</v>
      </c>
    </row>
    <row r="103" customFormat="false" ht="15" hidden="false" customHeight="false" outlineLevel="0" collapsed="false">
      <c r="A103" s="0" t="s">
        <v>40</v>
      </c>
      <c r="B103" s="0" t="s">
        <v>41</v>
      </c>
      <c r="C103" s="0" t="s">
        <v>28</v>
      </c>
      <c r="D103" s="0" t="s">
        <v>129</v>
      </c>
      <c r="E103" s="0" t="n">
        <v>3</v>
      </c>
      <c r="F103" s="0" t="n">
        <v>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0" t="n">
        <v>3</v>
      </c>
      <c r="S103" s="0" t="n">
        <v>9.5</v>
      </c>
      <c r="T103" s="0" t="n">
        <f aca="false">(S103/55)*5</f>
        <v>0.863636363636364</v>
      </c>
      <c r="V103" s="0" t="n">
        <v>12</v>
      </c>
      <c r="W103" s="0" t="n">
        <v>4</v>
      </c>
      <c r="X103" s="3" t="n">
        <v>1.0465</v>
      </c>
      <c r="Y103" s="2" t="n">
        <f aca="false">(V103*((W103+T103)/1000)*X103)/((((W103+T103)/1000)*X103)-((W103/1000)*0.9982))</f>
        <v>55.6771180787192</v>
      </c>
      <c r="Z103" s="3" t="n">
        <f aca="false">X103*(V103/100)*((W103+T103)/1000)*1000</f>
        <v>0.610775454545454</v>
      </c>
      <c r="AB103" s="0" t="n">
        <v>50</v>
      </c>
      <c r="AC103" s="0" t="n">
        <v>1.2296</v>
      </c>
    </row>
    <row r="104" customFormat="false" ht="15" hidden="false" customHeight="false" outlineLevel="0" collapsed="false">
      <c r="A104" s="0" t="s">
        <v>42</v>
      </c>
      <c r="B104" s="0" t="s">
        <v>43</v>
      </c>
      <c r="C104" s="0" t="s">
        <v>28</v>
      </c>
      <c r="D104" s="0" t="s">
        <v>129</v>
      </c>
      <c r="E104" s="0" t="n">
        <v>3</v>
      </c>
      <c r="F104" s="0" t="n">
        <v>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0" t="n">
        <v>5</v>
      </c>
      <c r="S104" s="0" t="n">
        <v>17.1</v>
      </c>
      <c r="T104" s="0" t="n">
        <f aca="false">(S104/55)*5</f>
        <v>1.55454545454545</v>
      </c>
      <c r="V104" s="0" t="n">
        <v>21.5</v>
      </c>
      <c r="W104" s="0" t="n">
        <v>4</v>
      </c>
      <c r="X104" s="3" t="n">
        <v>1.087675</v>
      </c>
      <c r="Y104" s="2" t="n">
        <f aca="false">(V104*((W104+T104)/1000)*X104)/((((W104+T104)/1000)*X104)-((W104/1000)*0.9982))</f>
        <v>63.4014567377714</v>
      </c>
      <c r="Z104" s="3" t="n">
        <f aca="false">X104*(V104/100)*((W104+T104)/1000)*1000</f>
        <v>1.29893114886364</v>
      </c>
      <c r="AB104" s="0" t="n">
        <v>50.5</v>
      </c>
      <c r="AC104" s="0" t="n">
        <v>1.23235</v>
      </c>
    </row>
    <row r="105" customFormat="false" ht="15" hidden="false" customHeight="false" outlineLevel="0" collapsed="false">
      <c r="A105" s="0" t="s">
        <v>44</v>
      </c>
      <c r="B105" s="0" t="s">
        <v>45</v>
      </c>
      <c r="C105" s="0" t="s">
        <v>28</v>
      </c>
      <c r="D105" s="0" t="s">
        <v>129</v>
      </c>
      <c r="E105" s="0" t="n">
        <v>3</v>
      </c>
      <c r="F105" s="0" t="n">
        <v>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0" t="n">
        <v>3</v>
      </c>
      <c r="S105" s="0" t="n">
        <v>15.7</v>
      </c>
      <c r="T105" s="0" t="n">
        <f aca="false">(S105/55)*5</f>
        <v>1.42727272727273</v>
      </c>
      <c r="V105" s="0" t="n">
        <v>12.5</v>
      </c>
      <c r="W105" s="0" t="n">
        <v>4</v>
      </c>
      <c r="X105" s="3" t="n">
        <v>1.0486</v>
      </c>
      <c r="Y105" s="2" t="n">
        <f aca="false">(V105*((W105+T105)/1000)*X105)/((((W105+T105)/1000)*X105)-((W105/1000)*0.9982))</f>
        <v>41.8892815120697</v>
      </c>
      <c r="Z105" s="3" t="n">
        <f aca="false">X105*(V105/100)*((W105+T105)/1000)*1000</f>
        <v>0.711379772727273</v>
      </c>
      <c r="AB105" s="0" t="n">
        <v>51</v>
      </c>
      <c r="AC105" s="0" t="n">
        <v>1.2351</v>
      </c>
    </row>
    <row r="106" customFormat="false" ht="15" hidden="false" customHeight="false" outlineLevel="0" collapsed="false">
      <c r="A106" s="0" t="s">
        <v>46</v>
      </c>
      <c r="B106" s="0" t="s">
        <v>47</v>
      </c>
      <c r="C106" s="0" t="s">
        <v>28</v>
      </c>
      <c r="D106" s="0" t="s">
        <v>129</v>
      </c>
      <c r="E106" s="0" t="n">
        <v>3</v>
      </c>
      <c r="F106" s="0" t="n">
        <v>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0" t="n">
        <v>3</v>
      </c>
      <c r="S106" s="0" t="n">
        <v>6.1</v>
      </c>
      <c r="T106" s="0" t="n">
        <f aca="false">(S106/55)*5</f>
        <v>0.554545454545454</v>
      </c>
      <c r="V106" s="0" t="n">
        <v>10</v>
      </c>
      <c r="W106" s="0" t="n">
        <v>4</v>
      </c>
      <c r="X106" s="3" t="n">
        <v>1.0381</v>
      </c>
      <c r="Y106" s="2" t="n">
        <f aca="false">(V106*((W106+T106)/1000)*X106)/((((W106+T106)/1000)*X106)-((W106/1000)*0.9982))</f>
        <v>64.3035926018886</v>
      </c>
      <c r="Z106" s="3" t="n">
        <f aca="false">X106*(V106/100)*((W106+T106)/1000)*1000</f>
        <v>0.472807363636364</v>
      </c>
      <c r="AB106" s="0" t="n">
        <v>51.5</v>
      </c>
      <c r="AC106" s="0" t="n">
        <v>1.23785</v>
      </c>
    </row>
    <row r="107" customFormat="false" ht="15" hidden="false" customHeight="false" outlineLevel="0" collapsed="false">
      <c r="A107" s="0" t="s">
        <v>48</v>
      </c>
      <c r="B107" s="0" t="s">
        <v>49</v>
      </c>
      <c r="C107" s="0" t="s">
        <v>28</v>
      </c>
      <c r="D107" s="0" t="s">
        <v>129</v>
      </c>
      <c r="E107" s="0" t="n">
        <v>3</v>
      </c>
      <c r="F107" s="0" t="n">
        <v>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0" t="n">
        <v>3</v>
      </c>
      <c r="S107" s="0" t="n">
        <v>5.6</v>
      </c>
      <c r="T107" s="0" t="n">
        <f aca="false">(S107/55)*5</f>
        <v>0.509090909090909</v>
      </c>
      <c r="V107" s="0" t="n">
        <v>8</v>
      </c>
      <c r="W107" s="0" t="n">
        <v>4</v>
      </c>
      <c r="X107" s="3" t="n">
        <v>1.0299</v>
      </c>
      <c r="Y107" s="2" t="n">
        <f aca="false">(V107*((W107+T107)/1000)*X107)/((((W107+T107)/1000)*X107)-((W107/1000)*0.9982))</f>
        <v>57.0581717451524</v>
      </c>
      <c r="Z107" s="3" t="n">
        <f aca="false">X107*(V107/100)*((W107+T107)/1000)*1000</f>
        <v>0.371513018181818</v>
      </c>
      <c r="AB107" s="0" t="n">
        <v>52</v>
      </c>
      <c r="AC107" s="0" t="n">
        <v>1.2406</v>
      </c>
    </row>
    <row r="108" customFormat="false" ht="15" hidden="false" customHeight="false" outlineLevel="0" collapsed="false">
      <c r="A108" s="0" t="s">
        <v>50</v>
      </c>
      <c r="B108" s="0" t="s">
        <v>51</v>
      </c>
      <c r="C108" s="0" t="s">
        <v>28</v>
      </c>
      <c r="D108" s="0" t="s">
        <v>129</v>
      </c>
      <c r="E108" s="0" t="n">
        <v>3</v>
      </c>
      <c r="F108" s="0" t="n">
        <v>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0" t="n">
        <v>3</v>
      </c>
      <c r="S108" s="0" t="n">
        <v>11.2</v>
      </c>
      <c r="T108" s="0" t="n">
        <f aca="false">(S108/55)*5</f>
        <v>1.01818181818182</v>
      </c>
      <c r="V108" s="0" t="n">
        <v>11</v>
      </c>
      <c r="W108" s="0" t="n">
        <v>4</v>
      </c>
      <c r="X108" s="3" t="n">
        <v>1.0423</v>
      </c>
      <c r="Y108" s="2" t="n">
        <f aca="false">(V108*((W108+T108)/1000)*X108)/((((W108+T108)/1000)*X108)-((W108/1000)*0.9982))</f>
        <v>46.4872280037843</v>
      </c>
      <c r="Z108" s="3" t="n">
        <f aca="false">X108*(V108/100)*((W108+T108)/1000)*1000</f>
        <v>0.5753496</v>
      </c>
      <c r="AB108" s="0" t="n">
        <v>52.5</v>
      </c>
      <c r="AC108" s="0" t="n">
        <v>1.243425</v>
      </c>
    </row>
    <row r="109" customFormat="false" ht="15" hidden="false" customHeight="false" outlineLevel="0" collapsed="false">
      <c r="A109" s="0" t="s">
        <v>52</v>
      </c>
      <c r="B109" s="0" t="s">
        <v>53</v>
      </c>
      <c r="C109" s="0" t="s">
        <v>28</v>
      </c>
      <c r="D109" s="0" t="s">
        <v>129</v>
      </c>
      <c r="E109" s="0" t="n">
        <v>3</v>
      </c>
      <c r="F109" s="0" t="n">
        <v>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0" t="n">
        <v>1</v>
      </c>
      <c r="S109" s="0" t="n">
        <v>2.2</v>
      </c>
      <c r="T109" s="0" t="n">
        <f aca="false">(S109/55)*5</f>
        <v>0.2</v>
      </c>
      <c r="V109" s="0" t="n">
        <v>2</v>
      </c>
      <c r="W109" s="0" t="n">
        <v>1</v>
      </c>
      <c r="X109" s="0" t="n">
        <f aca="false">(20.1+985.9)/1000</f>
        <v>1.006</v>
      </c>
      <c r="Y109" s="2" t="n">
        <f aca="false">(V109*((W109+T109)/1000)*X109)/((((W109+T109)/1000)*X109)-((W109/1000)*0.9982))</f>
        <v>11.5521531100479</v>
      </c>
      <c r="Z109" s="3" t="n">
        <f aca="false">X109*(V109/100)*((W109+T109)/1000)*1000</f>
        <v>0.024144</v>
      </c>
      <c r="AB109" s="0" t="n">
        <v>53</v>
      </c>
      <c r="AC109" s="0" t="n">
        <v>1.24625</v>
      </c>
    </row>
    <row r="110" customFormat="false" ht="15" hidden="false" customHeight="false" outlineLevel="0" collapsed="false">
      <c r="A110" s="0" t="s">
        <v>54</v>
      </c>
      <c r="B110" s="0" t="s">
        <v>55</v>
      </c>
      <c r="C110" s="0" t="s">
        <v>56</v>
      </c>
      <c r="D110" s="0" t="s">
        <v>129</v>
      </c>
      <c r="E110" s="0" t="n">
        <v>3</v>
      </c>
      <c r="F110" s="0" t="n">
        <v>1</v>
      </c>
      <c r="G110" s="1"/>
      <c r="H110" s="1"/>
      <c r="I110" s="0" t="n">
        <v>41.3</v>
      </c>
      <c r="J110" s="0" t="n">
        <f aca="false">(I110/55)*5</f>
        <v>3.75454545454545</v>
      </c>
      <c r="L110" s="0" t="n">
        <v>15</v>
      </c>
      <c r="M110" s="0" t="n">
        <v>0</v>
      </c>
      <c r="N110" s="0" t="n">
        <f aca="false">L110</f>
        <v>15</v>
      </c>
      <c r="O110" s="3" t="n">
        <v>1.0592</v>
      </c>
      <c r="P110" s="3" t="n">
        <f aca="false">(O110*(N110/100)*(J110/1000))*1000</f>
        <v>0.596522181818182</v>
      </c>
      <c r="Q110" s="3"/>
      <c r="R110" s="1"/>
      <c r="S110" s="1"/>
      <c r="T110" s="1"/>
      <c r="U110" s="1"/>
      <c r="V110" s="1"/>
      <c r="W110" s="1"/>
      <c r="X110" s="1"/>
      <c r="Y110" s="5"/>
      <c r="Z110" s="1"/>
      <c r="AB110" s="0" t="n">
        <v>53.5</v>
      </c>
      <c r="AC110" s="0" t="n">
        <v>1.249075</v>
      </c>
    </row>
    <row r="111" customFormat="false" ht="15" hidden="false" customHeight="false" outlineLevel="0" collapsed="false">
      <c r="A111" s="0" t="s">
        <v>57</v>
      </c>
      <c r="B111" s="0" t="s">
        <v>58</v>
      </c>
      <c r="C111" s="0" t="s">
        <v>56</v>
      </c>
      <c r="D111" s="0" t="s">
        <v>129</v>
      </c>
      <c r="E111" s="0" t="n">
        <v>3</v>
      </c>
      <c r="F111" s="0" t="n">
        <v>1</v>
      </c>
      <c r="G111" s="1"/>
      <c r="H111" s="1"/>
      <c r="I111" s="0" t="n">
        <v>65.1</v>
      </c>
      <c r="J111" s="0" t="n">
        <f aca="false">(I111/55)*5</f>
        <v>5.91818181818182</v>
      </c>
      <c r="L111" s="0" t="n">
        <v>15</v>
      </c>
      <c r="M111" s="0" t="n">
        <v>0</v>
      </c>
      <c r="N111" s="0" t="n">
        <f aca="false">L111</f>
        <v>15</v>
      </c>
      <c r="O111" s="3" t="n">
        <v>1.0592</v>
      </c>
      <c r="P111" s="3" t="n">
        <f aca="false">(O111*(N111/100)*(J111/1000))*1000</f>
        <v>0.940280727272728</v>
      </c>
      <c r="Q111" s="3"/>
      <c r="R111" s="1"/>
      <c r="S111" s="1"/>
      <c r="T111" s="1"/>
      <c r="U111" s="1"/>
      <c r="V111" s="1"/>
      <c r="W111" s="1"/>
      <c r="X111" s="1"/>
      <c r="Y111" s="5"/>
      <c r="Z111" s="1"/>
      <c r="AB111" s="0" t="n">
        <v>54</v>
      </c>
      <c r="AC111" s="0" t="n">
        <v>1.2519</v>
      </c>
    </row>
    <row r="112" customFormat="false" ht="15" hidden="false" customHeight="false" outlineLevel="0" collapsed="false">
      <c r="A112" s="0" t="s">
        <v>59</v>
      </c>
      <c r="B112" s="0" t="s">
        <v>60</v>
      </c>
      <c r="C112" s="0" t="s">
        <v>56</v>
      </c>
      <c r="D112" s="0" t="s">
        <v>129</v>
      </c>
      <c r="E112" s="0" t="n">
        <v>3</v>
      </c>
      <c r="F112" s="0" t="n">
        <v>0</v>
      </c>
      <c r="G112" s="1"/>
      <c r="H112" s="1"/>
      <c r="I112" s="0" t="n">
        <v>0</v>
      </c>
      <c r="J112" s="0" t="n">
        <f aca="false">(I112/55)*5</f>
        <v>0</v>
      </c>
      <c r="L112" s="0" t="n">
        <v>0</v>
      </c>
      <c r="M112" s="0" t="n">
        <v>0</v>
      </c>
      <c r="N112" s="0" t="n">
        <f aca="false">L112</f>
        <v>0</v>
      </c>
      <c r="O112" s="3" t="n">
        <v>0</v>
      </c>
      <c r="P112" s="3" t="n">
        <f aca="false">(O112*(N112/100)*(J112/1000))*1000</f>
        <v>0</v>
      </c>
      <c r="Q112" s="3"/>
      <c r="R112" s="1"/>
      <c r="S112" s="1"/>
      <c r="T112" s="1"/>
      <c r="U112" s="1"/>
      <c r="V112" s="1"/>
      <c r="W112" s="1"/>
      <c r="X112" s="1"/>
      <c r="Y112" s="5"/>
      <c r="Z112" s="1"/>
      <c r="AB112" s="0" t="n">
        <v>54.5</v>
      </c>
      <c r="AC112" s="0" t="n">
        <v>1.254725</v>
      </c>
    </row>
    <row r="113" customFormat="false" ht="15" hidden="false" customHeight="false" outlineLevel="0" collapsed="false">
      <c r="A113" s="0" t="s">
        <v>61</v>
      </c>
      <c r="B113" s="0" t="s">
        <v>62</v>
      </c>
      <c r="C113" s="0" t="s">
        <v>56</v>
      </c>
      <c r="D113" s="0" t="s">
        <v>129</v>
      </c>
      <c r="E113" s="0" t="n">
        <v>3</v>
      </c>
      <c r="F113" s="0" t="n">
        <v>2</v>
      </c>
      <c r="G113" s="1"/>
      <c r="H113" s="1"/>
      <c r="I113" s="0" t="n">
        <v>56.3</v>
      </c>
      <c r="J113" s="0" t="n">
        <f aca="false">(I113/55)*5</f>
        <v>5.11818181818182</v>
      </c>
      <c r="L113" s="0" t="n">
        <v>22</v>
      </c>
      <c r="M113" s="0" t="n">
        <v>0</v>
      </c>
      <c r="N113" s="0" t="n">
        <f aca="false">L113</f>
        <v>22</v>
      </c>
      <c r="O113" s="3" t="n">
        <v>1.0899</v>
      </c>
      <c r="P113" s="3" t="n">
        <f aca="false">(O113*(N113/100)*(J113/1000))*1000</f>
        <v>1.2272274</v>
      </c>
      <c r="Q113" s="3"/>
      <c r="R113" s="1"/>
      <c r="S113" s="1"/>
      <c r="T113" s="1"/>
      <c r="U113" s="1"/>
      <c r="V113" s="1"/>
      <c r="W113" s="1"/>
      <c r="X113" s="1"/>
      <c r="Y113" s="5"/>
      <c r="Z113" s="1"/>
      <c r="AB113" s="0" t="n">
        <v>55</v>
      </c>
      <c r="AC113" s="0" t="n">
        <v>1.25755</v>
      </c>
    </row>
    <row r="114" customFormat="false" ht="15" hidden="false" customHeight="false" outlineLevel="0" collapsed="false">
      <c r="A114" s="0" t="s">
        <v>63</v>
      </c>
      <c r="B114" s="0" t="s">
        <v>64</v>
      </c>
      <c r="C114" s="0" t="s">
        <v>56</v>
      </c>
      <c r="D114" s="0" t="s">
        <v>129</v>
      </c>
      <c r="E114" s="0" t="n">
        <v>3</v>
      </c>
      <c r="F114" s="0" t="n">
        <v>1</v>
      </c>
      <c r="G114" s="1"/>
      <c r="H114" s="1"/>
      <c r="I114" s="0" t="n">
        <v>43.2</v>
      </c>
      <c r="J114" s="0" t="n">
        <f aca="false">(I114/55)*5</f>
        <v>3.92727272727273</v>
      </c>
      <c r="L114" s="0" t="n">
        <v>24</v>
      </c>
      <c r="M114" s="0" t="n">
        <v>0</v>
      </c>
      <c r="N114" s="0" t="n">
        <f aca="false">L114</f>
        <v>24</v>
      </c>
      <c r="O114" s="3" t="n">
        <v>1.099</v>
      </c>
      <c r="P114" s="3" t="n">
        <f aca="false">(O114*(N114/100)*(J114/1000))*1000</f>
        <v>1.03585745454545</v>
      </c>
      <c r="Q114" s="3"/>
      <c r="R114" s="1"/>
      <c r="S114" s="1"/>
      <c r="T114" s="1"/>
      <c r="U114" s="1"/>
      <c r="V114" s="1"/>
      <c r="W114" s="1"/>
      <c r="X114" s="1"/>
      <c r="Y114" s="5"/>
      <c r="Z114" s="1"/>
      <c r="AB114" s="0" t="n">
        <v>55.5</v>
      </c>
      <c r="AC114" s="0" t="n">
        <v>1.260375</v>
      </c>
    </row>
    <row r="115" customFormat="false" ht="15" hidden="false" customHeight="false" outlineLevel="0" collapsed="false">
      <c r="A115" s="0" t="s">
        <v>65</v>
      </c>
      <c r="B115" s="0" t="s">
        <v>66</v>
      </c>
      <c r="C115" s="0" t="s">
        <v>56</v>
      </c>
      <c r="D115" s="0" t="s">
        <v>129</v>
      </c>
      <c r="E115" s="0" t="n">
        <v>3</v>
      </c>
      <c r="F115" s="0" t="n">
        <v>1</v>
      </c>
      <c r="G115" s="1"/>
      <c r="H115" s="1"/>
      <c r="I115" s="0" t="n">
        <v>28.5</v>
      </c>
      <c r="J115" s="0" t="n">
        <f aca="false">(I115/55)*5</f>
        <v>2.59090909090909</v>
      </c>
      <c r="L115" s="0" t="n">
        <v>23</v>
      </c>
      <c r="M115" s="0" t="n">
        <v>0</v>
      </c>
      <c r="N115" s="0" t="n">
        <f aca="false">L115</f>
        <v>23</v>
      </c>
      <c r="O115" s="3" t="n">
        <v>1.09445</v>
      </c>
      <c r="P115" s="3" t="n">
        <f aca="false">(O115*(N115/100)*(J115/1000))*1000</f>
        <v>0.652192704545455</v>
      </c>
      <c r="Q115" s="3"/>
      <c r="R115" s="1"/>
      <c r="S115" s="1"/>
      <c r="T115" s="1"/>
      <c r="U115" s="1"/>
      <c r="V115" s="1"/>
      <c r="W115" s="1"/>
      <c r="X115" s="1"/>
      <c r="Y115" s="5"/>
      <c r="Z115" s="1"/>
      <c r="AB115" s="0" t="n">
        <v>56</v>
      </c>
      <c r="AC115" s="0" t="n">
        <v>1.2632</v>
      </c>
    </row>
    <row r="116" customFormat="false" ht="15" hidden="false" customHeight="false" outlineLevel="0" collapsed="false">
      <c r="A116" s="0" t="s">
        <v>67</v>
      </c>
      <c r="B116" s="0" t="s">
        <v>68</v>
      </c>
      <c r="C116" s="0" t="s">
        <v>56</v>
      </c>
      <c r="D116" s="0" t="s">
        <v>129</v>
      </c>
      <c r="E116" s="0" t="n">
        <v>3</v>
      </c>
      <c r="F116" s="0" t="n">
        <v>2</v>
      </c>
      <c r="G116" s="1"/>
      <c r="H116" s="1"/>
      <c r="I116" s="0" t="n">
        <v>52.4</v>
      </c>
      <c r="J116" s="0" t="n">
        <f aca="false">(I116/55)*5</f>
        <v>4.76363636363636</v>
      </c>
      <c r="L116" s="0" t="n">
        <v>26.5</v>
      </c>
      <c r="M116" s="0" t="n">
        <v>0</v>
      </c>
      <c r="N116" s="0" t="n">
        <f aca="false">L116</f>
        <v>26.5</v>
      </c>
      <c r="O116" s="3" t="n">
        <v>1.11045</v>
      </c>
      <c r="P116" s="3" t="n">
        <f aca="false">(O116*(N116/100)*(J116/1000))*1000</f>
        <v>1.4017917</v>
      </c>
      <c r="Q116" s="3"/>
      <c r="R116" s="1"/>
      <c r="S116" s="1"/>
      <c r="T116" s="1"/>
      <c r="U116" s="1"/>
      <c r="V116" s="1"/>
      <c r="W116" s="1"/>
      <c r="X116" s="1"/>
      <c r="Y116" s="5"/>
      <c r="Z116" s="1"/>
      <c r="AB116" s="0" t="n">
        <v>56.5</v>
      </c>
      <c r="AC116" s="0" t="n">
        <v>1.2661</v>
      </c>
    </row>
    <row r="117" customFormat="false" ht="15" hidden="false" customHeight="false" outlineLevel="0" collapsed="false">
      <c r="A117" s="0" t="s">
        <v>69</v>
      </c>
      <c r="B117" s="0" t="s">
        <v>70</v>
      </c>
      <c r="C117" s="0" t="s">
        <v>56</v>
      </c>
      <c r="D117" s="0" t="s">
        <v>129</v>
      </c>
      <c r="E117" s="0" t="n">
        <v>3</v>
      </c>
      <c r="F117" s="0" t="n">
        <v>0</v>
      </c>
      <c r="G117" s="1"/>
      <c r="H117" s="1"/>
      <c r="I117" s="0" t="n">
        <v>0</v>
      </c>
      <c r="J117" s="0" t="n">
        <f aca="false">(I117/55)*5</f>
        <v>0</v>
      </c>
      <c r="L117" s="0" t="n">
        <v>0</v>
      </c>
      <c r="M117" s="0" t="n">
        <v>0</v>
      </c>
      <c r="N117" s="0" t="n">
        <f aca="false">L117</f>
        <v>0</v>
      </c>
      <c r="O117" s="3" t="n">
        <v>0</v>
      </c>
      <c r="P117" s="3" t="n">
        <f aca="false">(O117*(N117/100)*(J117/1000))*1000</f>
        <v>0</v>
      </c>
      <c r="Q117" s="3"/>
      <c r="R117" s="1"/>
      <c r="S117" s="1"/>
      <c r="T117" s="1"/>
      <c r="U117" s="1"/>
      <c r="V117" s="1"/>
      <c r="W117" s="1"/>
      <c r="X117" s="1"/>
      <c r="Y117" s="5"/>
      <c r="Z117" s="1"/>
      <c r="AB117" s="0" t="n">
        <v>57</v>
      </c>
      <c r="AC117" s="0" t="n">
        <v>1.269</v>
      </c>
    </row>
    <row r="118" customFormat="false" ht="15" hidden="false" customHeight="false" outlineLevel="0" collapsed="false">
      <c r="A118" s="0" t="s">
        <v>71</v>
      </c>
      <c r="B118" s="0" t="s">
        <v>72</v>
      </c>
      <c r="C118" s="0" t="s">
        <v>56</v>
      </c>
      <c r="D118" s="0" t="s">
        <v>129</v>
      </c>
      <c r="E118" s="0" t="n">
        <v>3</v>
      </c>
      <c r="F118" s="0" t="n">
        <v>1</v>
      </c>
      <c r="G118" s="1"/>
      <c r="H118" s="1"/>
      <c r="I118" s="0" t="n">
        <v>27</v>
      </c>
      <c r="J118" s="0" t="n">
        <f aca="false">(I118/55)*5</f>
        <v>2.45454545454545</v>
      </c>
      <c r="L118" s="0" t="n">
        <v>24</v>
      </c>
      <c r="M118" s="0" t="n">
        <v>0</v>
      </c>
      <c r="N118" s="0" t="n">
        <f aca="false">L118</f>
        <v>24</v>
      </c>
      <c r="O118" s="3" t="n">
        <v>1.099</v>
      </c>
      <c r="P118" s="3" t="n">
        <f aca="false">(O118*(N118/100)*(J118/1000))*1000</f>
        <v>0.647410909090909</v>
      </c>
      <c r="Q118" s="3"/>
      <c r="R118" s="1"/>
      <c r="S118" s="1"/>
      <c r="T118" s="1"/>
      <c r="U118" s="1"/>
      <c r="V118" s="1"/>
      <c r="W118" s="1"/>
      <c r="X118" s="1"/>
      <c r="Y118" s="5"/>
      <c r="Z118" s="1"/>
      <c r="AB118" s="0" t="n">
        <v>57.5</v>
      </c>
      <c r="AC118" s="0" t="n">
        <v>1.2719</v>
      </c>
    </row>
    <row r="119" customFormat="false" ht="15" hidden="false" customHeight="false" outlineLevel="0" collapsed="false">
      <c r="A119" s="0" t="s">
        <v>73</v>
      </c>
      <c r="B119" s="0" t="s">
        <v>74</v>
      </c>
      <c r="C119" s="0" t="s">
        <v>56</v>
      </c>
      <c r="D119" s="0" t="s">
        <v>129</v>
      </c>
      <c r="E119" s="0" t="n">
        <v>3</v>
      </c>
      <c r="F119" s="0" t="n">
        <v>0</v>
      </c>
      <c r="G119" s="1"/>
      <c r="H119" s="1"/>
      <c r="I119" s="0" t="n">
        <v>0</v>
      </c>
      <c r="J119" s="0" t="n">
        <f aca="false">(I119/55)*5</f>
        <v>0</v>
      </c>
      <c r="L119" s="0" t="n">
        <v>0</v>
      </c>
      <c r="M119" s="0" t="n">
        <v>0</v>
      </c>
      <c r="N119" s="0" t="n">
        <f aca="false">L119</f>
        <v>0</v>
      </c>
      <c r="O119" s="3" t="n">
        <v>0</v>
      </c>
      <c r="P119" s="3" t="n">
        <f aca="false">(O119*(N119/100)*(J119/1000))*1000</f>
        <v>0</v>
      </c>
      <c r="Q119" s="3"/>
      <c r="R119" s="1"/>
      <c r="S119" s="1"/>
      <c r="T119" s="1"/>
      <c r="U119" s="1"/>
      <c r="V119" s="1"/>
      <c r="W119" s="1"/>
      <c r="X119" s="1"/>
      <c r="Y119" s="5"/>
      <c r="Z119" s="1"/>
      <c r="AB119" s="0" t="n">
        <v>58</v>
      </c>
      <c r="AC119" s="0" t="n">
        <v>1.2748</v>
      </c>
    </row>
    <row r="120" customFormat="false" ht="15" hidden="false" customHeight="false" outlineLevel="0" collapsed="false">
      <c r="A120" s="0" t="s">
        <v>75</v>
      </c>
      <c r="B120" s="0" t="s">
        <v>76</v>
      </c>
      <c r="C120" s="0" t="s">
        <v>56</v>
      </c>
      <c r="D120" s="0" t="s">
        <v>129</v>
      </c>
      <c r="E120" s="0" t="n">
        <v>3</v>
      </c>
      <c r="F120" s="0" t="n">
        <v>1</v>
      </c>
      <c r="G120" s="1"/>
      <c r="H120" s="1"/>
      <c r="I120" s="0" t="n">
        <v>42.6</v>
      </c>
      <c r="J120" s="0" t="n">
        <f aca="false">(I120/55)*5</f>
        <v>3.87272727272727</v>
      </c>
      <c r="L120" s="0" t="n">
        <v>25.5</v>
      </c>
      <c r="M120" s="0" t="n">
        <v>0</v>
      </c>
      <c r="N120" s="0" t="n">
        <f aca="false">L120</f>
        <v>25.5</v>
      </c>
      <c r="O120" s="3" t="n">
        <v>1.105825</v>
      </c>
      <c r="P120" s="3" t="n">
        <f aca="false">(O120*(N120/100)*(J120/1000))*1000</f>
        <v>1.09205245227273</v>
      </c>
      <c r="Q120" s="3"/>
      <c r="R120" s="1"/>
      <c r="S120" s="1"/>
      <c r="T120" s="1"/>
      <c r="U120" s="1"/>
      <c r="V120" s="1"/>
      <c r="W120" s="1"/>
      <c r="X120" s="1"/>
      <c r="Y120" s="5"/>
      <c r="Z120" s="1"/>
      <c r="AB120" s="0" t="n">
        <v>58.5</v>
      </c>
      <c r="AC120" s="0" t="n">
        <v>1.277725</v>
      </c>
    </row>
    <row r="121" customFormat="false" ht="15" hidden="false" customHeight="false" outlineLevel="0" collapsed="false">
      <c r="A121" s="0" t="s">
        <v>77</v>
      </c>
      <c r="B121" s="0" t="s">
        <v>78</v>
      </c>
      <c r="C121" s="0" t="s">
        <v>56</v>
      </c>
      <c r="D121" s="0" t="s">
        <v>129</v>
      </c>
      <c r="E121" s="0" t="n">
        <v>3</v>
      </c>
      <c r="F121" s="0" t="n">
        <v>1</v>
      </c>
      <c r="G121" s="1"/>
      <c r="H121" s="1"/>
      <c r="I121" s="0" t="n">
        <v>36.8</v>
      </c>
      <c r="J121" s="0" t="n">
        <f aca="false">(I121/55)*5</f>
        <v>3.34545454545455</v>
      </c>
      <c r="L121" s="0" t="n">
        <v>24</v>
      </c>
      <c r="M121" s="0" t="n">
        <v>0</v>
      </c>
      <c r="N121" s="0" t="n">
        <f aca="false">L121</f>
        <v>24</v>
      </c>
      <c r="O121" s="3" t="n">
        <v>1.099</v>
      </c>
      <c r="P121" s="3" t="n">
        <f aca="false">(O121*(N121/100)*(J121/1000))*1000</f>
        <v>0.882397090909091</v>
      </c>
      <c r="Q121" s="3"/>
      <c r="R121" s="1"/>
      <c r="S121" s="1"/>
      <c r="T121" s="1"/>
      <c r="U121" s="1"/>
      <c r="V121" s="1"/>
      <c r="W121" s="1"/>
      <c r="X121" s="1"/>
      <c r="Y121" s="5"/>
      <c r="Z121" s="1"/>
      <c r="AB121" s="0" t="n">
        <v>59</v>
      </c>
      <c r="AC121" s="0" t="n">
        <v>1.28065</v>
      </c>
    </row>
    <row r="122" customFormat="false" ht="15" hidden="false" customHeight="false" outlineLevel="0" collapsed="false">
      <c r="A122" s="0" t="s">
        <v>79</v>
      </c>
      <c r="B122" s="0" t="s">
        <v>80</v>
      </c>
      <c r="C122" s="0" t="s">
        <v>81</v>
      </c>
      <c r="D122" s="0" t="s">
        <v>129</v>
      </c>
      <c r="E122" s="0" t="n">
        <v>3</v>
      </c>
      <c r="F122" s="0" t="n">
        <v>2</v>
      </c>
      <c r="G122" s="1"/>
      <c r="H122" s="1"/>
      <c r="I122" s="0" t="n">
        <v>45.3</v>
      </c>
      <c r="J122" s="0" t="n">
        <f aca="false">(I122/55)*5</f>
        <v>4.11818181818182</v>
      </c>
      <c r="L122" s="0" t="n">
        <v>22.5</v>
      </c>
      <c r="M122" s="0" t="n">
        <v>0</v>
      </c>
      <c r="N122" s="0" t="n">
        <f aca="false">L122</f>
        <v>22.5</v>
      </c>
      <c r="O122" s="3" t="n">
        <v>1.092175</v>
      </c>
      <c r="P122" s="3" t="n">
        <f aca="false">(O122*(N122/100)*(J122/1000))*1000</f>
        <v>1.01199942613636</v>
      </c>
      <c r="Q122" s="3"/>
      <c r="R122" s="0" t="n">
        <v>3</v>
      </c>
      <c r="S122" s="0" t="n">
        <v>11.7</v>
      </c>
      <c r="T122" s="0" t="n">
        <f aca="false">(S122/55)*5</f>
        <v>1.06363636363636</v>
      </c>
      <c r="V122" s="0" t="n">
        <v>14</v>
      </c>
      <c r="W122" s="0" t="n">
        <v>4</v>
      </c>
      <c r="X122" s="3" t="n">
        <v>1.0549</v>
      </c>
      <c r="Y122" s="2" t="n">
        <f aca="false">(V122*((W122+T122)/1000)*X122)/((((W122+T122)/1000)*X122)-((W122/1000)*0.9982))</f>
        <v>55.442731849084</v>
      </c>
      <c r="Z122" s="3" t="n">
        <f aca="false">X122*(V122/100)*((W122+T122)/1000)*1000</f>
        <v>0.7478282</v>
      </c>
      <c r="AB122" s="0" t="n">
        <v>59.5</v>
      </c>
      <c r="AC122" s="0" t="n">
        <v>1.283575</v>
      </c>
    </row>
    <row r="123" customFormat="false" ht="15" hidden="false" customHeight="false" outlineLevel="0" collapsed="false">
      <c r="A123" s="0" t="s">
        <v>82</v>
      </c>
      <c r="B123" s="0" t="s">
        <v>83</v>
      </c>
      <c r="C123" s="0" t="s">
        <v>81</v>
      </c>
      <c r="D123" s="0" t="s">
        <v>129</v>
      </c>
      <c r="E123" s="0" t="n">
        <v>3</v>
      </c>
      <c r="F123" s="0" t="n">
        <v>1</v>
      </c>
      <c r="G123" s="1"/>
      <c r="H123" s="1"/>
      <c r="I123" s="0" t="n">
        <v>45.6</v>
      </c>
      <c r="J123" s="0" t="n">
        <f aca="false">(I123/55)*5</f>
        <v>4.14545454545455</v>
      </c>
      <c r="L123" s="0" t="n">
        <v>18.5</v>
      </c>
      <c r="M123" s="0" t="n">
        <v>0</v>
      </c>
      <c r="N123" s="0" t="n">
        <f aca="false">L123</f>
        <v>18.5</v>
      </c>
      <c r="O123" s="3" t="n">
        <v>1.07435</v>
      </c>
      <c r="P123" s="3" t="n">
        <f aca="false">(O123*(N123/100)*(J123/1000))*1000</f>
        <v>0.823928781818182</v>
      </c>
      <c r="Q123" s="3"/>
      <c r="R123" s="0" t="n">
        <v>2</v>
      </c>
      <c r="S123" s="0" t="n">
        <v>17.9</v>
      </c>
      <c r="T123" s="0" t="n">
        <f aca="false">(S123/55)*5</f>
        <v>1.62727272727273</v>
      </c>
      <c r="V123" s="0" t="n">
        <v>18</v>
      </c>
      <c r="W123" s="0" t="n">
        <v>4</v>
      </c>
      <c r="X123" s="3" t="n">
        <v>1.0722</v>
      </c>
      <c r="Y123" s="2" t="n">
        <f aca="false">(V123*((W123+T123)/1000)*X123)/((((W123+T123)/1000)*X123)-((W123/1000)*0.9982))</f>
        <v>53.2174366257164</v>
      </c>
      <c r="Z123" s="3" t="n">
        <f aca="false">X123*(V123/100)*((W123+T123)/1000)*1000</f>
        <v>1.08604112727273</v>
      </c>
      <c r="AB123" s="0" t="n">
        <v>60</v>
      </c>
      <c r="AC123" s="0" t="n">
        <v>1.2865</v>
      </c>
    </row>
    <row r="124" customFormat="false" ht="15" hidden="false" customHeight="false" outlineLevel="0" collapsed="false">
      <c r="A124" s="0" t="s">
        <v>84</v>
      </c>
      <c r="B124" s="0" t="s">
        <v>85</v>
      </c>
      <c r="C124" s="0" t="s">
        <v>81</v>
      </c>
      <c r="D124" s="0" t="s">
        <v>129</v>
      </c>
      <c r="E124" s="0" t="n">
        <v>3</v>
      </c>
      <c r="F124" s="0" t="n">
        <v>0</v>
      </c>
      <c r="G124" s="1"/>
      <c r="H124" s="1"/>
      <c r="I124" s="0" t="n">
        <v>0</v>
      </c>
      <c r="J124" s="0" t="n">
        <f aca="false">(I124/55)*5</f>
        <v>0</v>
      </c>
      <c r="L124" s="0" t="n">
        <v>0</v>
      </c>
      <c r="M124" s="0" t="n">
        <v>0</v>
      </c>
      <c r="N124" s="0" t="n">
        <f aca="false">L124</f>
        <v>0</v>
      </c>
      <c r="O124" s="3" t="n">
        <v>0</v>
      </c>
      <c r="P124" s="3" t="n">
        <f aca="false">(O124*(N124/100)*(J124/1000))*1000</f>
        <v>0</v>
      </c>
      <c r="Q124" s="3"/>
      <c r="R124" s="0" t="n">
        <v>3</v>
      </c>
      <c r="S124" s="0" t="n">
        <v>10.4</v>
      </c>
      <c r="T124" s="0" t="n">
        <f aca="false">(S124/55)*5</f>
        <v>0.945454545454545</v>
      </c>
      <c r="V124" s="0" t="n">
        <v>11</v>
      </c>
      <c r="W124" s="0" t="n">
        <v>4</v>
      </c>
      <c r="X124" s="3" t="n">
        <v>1.0423</v>
      </c>
      <c r="Y124" s="2" t="n">
        <f aca="false">(V124*((W124+T124)/1000)*X124)/((((W124+T124)/1000)*X124)-((W124/1000)*0.9982))</f>
        <v>48.8025589343616</v>
      </c>
      <c r="Z124" s="3" t="n">
        <f aca="false">X124*(V124/100)*((W124+T124)/1000)*1000</f>
        <v>0.5670112</v>
      </c>
    </row>
    <row r="125" customFormat="false" ht="15" hidden="false" customHeight="false" outlineLevel="0" collapsed="false">
      <c r="A125" s="0" t="s">
        <v>86</v>
      </c>
      <c r="B125" s="0" t="s">
        <v>87</v>
      </c>
      <c r="C125" s="0" t="s">
        <v>81</v>
      </c>
      <c r="D125" s="0" t="s">
        <v>129</v>
      </c>
      <c r="E125" s="0" t="n">
        <v>3</v>
      </c>
      <c r="F125" s="0" t="n">
        <v>1</v>
      </c>
      <c r="G125" s="1"/>
      <c r="H125" s="1"/>
      <c r="I125" s="0" t="n">
        <v>71.4</v>
      </c>
      <c r="J125" s="0" t="n">
        <f aca="false">(I125/55)*5</f>
        <v>6.49090909090909</v>
      </c>
      <c r="L125" s="0" t="n">
        <v>26</v>
      </c>
      <c r="M125" s="0" t="n">
        <v>0</v>
      </c>
      <c r="N125" s="0" t="n">
        <f aca="false">L125</f>
        <v>26</v>
      </c>
      <c r="O125" s="3" t="n">
        <v>1.1081</v>
      </c>
      <c r="P125" s="3" t="n">
        <f aca="false">(O125*(N125/100)*(J125/1000))*1000</f>
        <v>1.87006985454545</v>
      </c>
      <c r="Q125" s="3"/>
      <c r="R125" s="0" t="n">
        <v>2</v>
      </c>
      <c r="S125" s="0" t="n">
        <v>5.7</v>
      </c>
      <c r="T125" s="0" t="n">
        <f aca="false">(S125/55)*5</f>
        <v>0.518181818181818</v>
      </c>
      <c r="V125" s="0" t="n">
        <v>4</v>
      </c>
      <c r="W125" s="0" t="n">
        <v>4</v>
      </c>
      <c r="X125" s="3" t="n">
        <v>1.0139</v>
      </c>
      <c r="Y125" s="2" t="n">
        <f aca="false">(V125*((W125+T125)/1000)*X125)/((((W125+T125)/1000)*X125)-((W125/1000)*0.9982))</f>
        <v>31.1533825963713</v>
      </c>
      <c r="Z125" s="3" t="n">
        <f aca="false">X125*(V125/100)*((W125+T125)/1000)*1000</f>
        <v>0.183239381818182</v>
      </c>
    </row>
    <row r="126" customFormat="false" ht="15" hidden="false" customHeight="false" outlineLevel="0" collapsed="false">
      <c r="A126" s="0" t="s">
        <v>88</v>
      </c>
      <c r="B126" s="0" t="s">
        <v>89</v>
      </c>
      <c r="C126" s="0" t="s">
        <v>81</v>
      </c>
      <c r="D126" s="0" t="s">
        <v>129</v>
      </c>
      <c r="E126" s="0" t="n">
        <v>3</v>
      </c>
      <c r="F126" s="0" t="n">
        <v>1</v>
      </c>
      <c r="G126" s="1"/>
      <c r="H126" s="1"/>
      <c r="I126" s="0" t="n">
        <v>41.1</v>
      </c>
      <c r="J126" s="0" t="n">
        <f aca="false">(I126/55)*5</f>
        <v>3.73636363636364</v>
      </c>
      <c r="L126" s="0" t="n">
        <v>26</v>
      </c>
      <c r="M126" s="0" t="n">
        <v>0</v>
      </c>
      <c r="N126" s="0" t="n">
        <f aca="false">L126</f>
        <v>26</v>
      </c>
      <c r="O126" s="3" t="n">
        <v>1.1081</v>
      </c>
      <c r="P126" s="3" t="n">
        <f aca="false">(O126*(N126/100)*(J126/1000))*1000</f>
        <v>1.07646878181818</v>
      </c>
      <c r="Q126" s="3"/>
      <c r="R126" s="0" t="n">
        <v>1</v>
      </c>
      <c r="S126" s="0" t="n">
        <v>7.4</v>
      </c>
      <c r="T126" s="0" t="n">
        <f aca="false">(S126/55)*5</f>
        <v>0.672727272727273</v>
      </c>
      <c r="V126" s="0" t="n">
        <v>8.5</v>
      </c>
      <c r="W126" s="0" t="n">
        <v>4</v>
      </c>
      <c r="X126" s="3" t="n">
        <v>1.032</v>
      </c>
      <c r="Y126" s="2" t="n">
        <f aca="false">(V126*((W126+T126)/1000)*X126)/((((W126+T126)/1000)*X126)-((W126/1000)*0.9982))</f>
        <v>49.4170100832968</v>
      </c>
      <c r="Z126" s="3" t="n">
        <f aca="false">X126*(V126/100)*((W126+T126)/1000)*1000</f>
        <v>0.409891636363636</v>
      </c>
    </row>
    <row r="127" customFormat="false" ht="15" hidden="false" customHeight="false" outlineLevel="0" collapsed="false">
      <c r="A127" s="0" t="s">
        <v>90</v>
      </c>
      <c r="B127" s="0" t="s">
        <v>91</v>
      </c>
      <c r="C127" s="0" t="s">
        <v>81</v>
      </c>
      <c r="D127" s="0" t="s">
        <v>129</v>
      </c>
      <c r="E127" s="0" t="n">
        <v>3</v>
      </c>
      <c r="F127" s="0" t="n">
        <v>0</v>
      </c>
      <c r="G127" s="1"/>
      <c r="H127" s="1"/>
      <c r="I127" s="0" t="n">
        <v>0</v>
      </c>
      <c r="J127" s="0" t="n">
        <f aca="false">(I127/55)*5</f>
        <v>0</v>
      </c>
      <c r="L127" s="0" t="n">
        <v>0</v>
      </c>
      <c r="M127" s="0" t="n">
        <v>0</v>
      </c>
      <c r="N127" s="0" t="n">
        <f aca="false">L127</f>
        <v>0</v>
      </c>
      <c r="O127" s="3" t="n">
        <v>0</v>
      </c>
      <c r="P127" s="3" t="n">
        <f aca="false">(O127*(N127/100)*(J127/1000))*1000</f>
        <v>0</v>
      </c>
      <c r="Q127" s="3"/>
      <c r="R127" s="0" t="n">
        <v>1</v>
      </c>
      <c r="S127" s="0" t="n">
        <v>3.6</v>
      </c>
      <c r="T127" s="0" t="n">
        <f aca="false">(S127/55)*5</f>
        <v>0.327272727272727</v>
      </c>
      <c r="V127" s="0" t="n">
        <v>9</v>
      </c>
      <c r="W127" s="0" t="n">
        <v>2</v>
      </c>
      <c r="X127" s="3" t="n">
        <v>1.0341</v>
      </c>
      <c r="Y127" s="2" t="n">
        <f aca="false">(V127*((W127+T127)/1000)*X127)/((((W127+T127)/1000)*X127)-((W127/1000)*0.9982))</f>
        <v>52.7985533710355</v>
      </c>
      <c r="Z127" s="3" t="n">
        <f aca="false">X127*(V127/100)*((W127+T127)/1000)*1000</f>
        <v>0.216596945454545</v>
      </c>
    </row>
    <row r="128" customFormat="false" ht="15" hidden="false" customHeight="false" outlineLevel="0" collapsed="false">
      <c r="A128" s="0" t="s">
        <v>92</v>
      </c>
      <c r="B128" s="0" t="s">
        <v>93</v>
      </c>
      <c r="C128" s="0" t="s">
        <v>81</v>
      </c>
      <c r="D128" s="0" t="s">
        <v>129</v>
      </c>
      <c r="E128" s="0" t="n">
        <v>3</v>
      </c>
      <c r="F128" s="0" t="n">
        <v>2</v>
      </c>
      <c r="G128" s="1"/>
      <c r="H128" s="1"/>
      <c r="I128" s="0" t="n">
        <v>44</v>
      </c>
      <c r="J128" s="0" t="n">
        <f aca="false">(I128/55)*5</f>
        <v>4</v>
      </c>
      <c r="L128" s="0" t="n">
        <v>25</v>
      </c>
      <c r="M128" s="0" t="n">
        <v>0</v>
      </c>
      <c r="N128" s="0" t="n">
        <f aca="false">L128</f>
        <v>25</v>
      </c>
      <c r="O128" s="3" t="n">
        <v>1.10355</v>
      </c>
      <c r="P128" s="3" t="n">
        <f aca="false">(O128*(N128/100)*(J128/1000))*1000</f>
        <v>1.10355</v>
      </c>
      <c r="Q128" s="3"/>
      <c r="R128" s="0" t="n">
        <v>4</v>
      </c>
      <c r="S128" s="0" t="n">
        <v>21</v>
      </c>
      <c r="T128" s="0" t="n">
        <f aca="false">(S128/55)*5</f>
        <v>1.90909090909091</v>
      </c>
      <c r="V128" s="0" t="n">
        <v>22</v>
      </c>
      <c r="W128" s="0" t="n">
        <v>4</v>
      </c>
      <c r="X128" s="3" t="n">
        <v>1.0899</v>
      </c>
      <c r="Y128" s="2" t="n">
        <f aca="false">(V128*((W128+T128)/1000)*X128)/((((W128+T128)/1000)*X128)-((W128/1000)*0.9982))</f>
        <v>57.8900704609865</v>
      </c>
      <c r="Z128" s="3" t="n">
        <f aca="false">X128*(V128/100)*((W128+T128)/1000)*1000</f>
        <v>1.41687</v>
      </c>
    </row>
    <row r="129" customFormat="false" ht="15" hidden="false" customHeight="false" outlineLevel="0" collapsed="false">
      <c r="A129" s="0" t="s">
        <v>94</v>
      </c>
      <c r="B129" s="0" t="s">
        <v>95</v>
      </c>
      <c r="C129" s="0" t="s">
        <v>81</v>
      </c>
      <c r="D129" s="0" t="s">
        <v>129</v>
      </c>
      <c r="E129" s="0" t="n">
        <v>3</v>
      </c>
      <c r="F129" s="0" t="n">
        <v>0</v>
      </c>
      <c r="G129" s="1"/>
      <c r="H129" s="1"/>
      <c r="I129" s="0" t="n">
        <v>0</v>
      </c>
      <c r="J129" s="0" t="n">
        <f aca="false">(I129/55)*5</f>
        <v>0</v>
      </c>
      <c r="L129" s="0" t="n">
        <v>0</v>
      </c>
      <c r="M129" s="0" t="n">
        <v>0</v>
      </c>
      <c r="N129" s="0" t="n">
        <f aca="false">L129</f>
        <v>0</v>
      </c>
      <c r="O129" s="3" t="n">
        <v>0</v>
      </c>
      <c r="P129" s="3" t="n">
        <f aca="false">(O129*(N129/100)*(J129/1000))*1000</f>
        <v>0</v>
      </c>
      <c r="Q129" s="3"/>
      <c r="R129" s="0" t="n">
        <v>4</v>
      </c>
      <c r="S129" s="0" t="n">
        <v>27.4</v>
      </c>
      <c r="T129" s="0" t="n">
        <f aca="false">(S129/55)*5</f>
        <v>2.49090909090909</v>
      </c>
      <c r="V129" s="0" t="n">
        <v>29</v>
      </c>
      <c r="W129" s="0" t="n">
        <v>4</v>
      </c>
      <c r="X129" s="3" t="n">
        <v>1.12225</v>
      </c>
      <c r="Y129" s="2" t="n">
        <f aca="false">(V129*((W129+T129)/1000)*X129)/((((W129+T129)/1000)*X129)-((W129/1000)*0.9982))</f>
        <v>64.1775429913679</v>
      </c>
      <c r="Z129" s="3" t="n">
        <f aca="false">X129*(V129/100)*((W129+T129)/1000)*1000</f>
        <v>2.11248259090909</v>
      </c>
    </row>
    <row r="130" customFormat="false" ht="15" hidden="false" customHeight="false" outlineLevel="0" collapsed="false">
      <c r="A130" s="0" t="s">
        <v>96</v>
      </c>
      <c r="B130" s="0" t="s">
        <v>97</v>
      </c>
      <c r="C130" s="0" t="s">
        <v>81</v>
      </c>
      <c r="D130" s="0" t="s">
        <v>129</v>
      </c>
      <c r="E130" s="0" t="n">
        <v>3</v>
      </c>
      <c r="F130" s="0" t="n">
        <v>3</v>
      </c>
      <c r="G130" s="1"/>
      <c r="H130" s="1"/>
      <c r="I130" s="0" t="n">
        <v>63.1</v>
      </c>
      <c r="J130" s="0" t="n">
        <f aca="false">(I130/55)*5</f>
        <v>5.73636363636364</v>
      </c>
      <c r="L130" s="0" t="n">
        <v>20.5</v>
      </c>
      <c r="M130" s="0" t="n">
        <v>0</v>
      </c>
      <c r="N130" s="0" t="n">
        <f aca="false">L130</f>
        <v>20.5</v>
      </c>
      <c r="O130" s="3" t="n">
        <v>1.083225</v>
      </c>
      <c r="P130" s="3" t="n">
        <f aca="false">(O130*(N130/100)*(J130/1000))*1000</f>
        <v>1.2738233625</v>
      </c>
      <c r="Q130" s="3"/>
      <c r="R130" s="0" t="n">
        <v>2</v>
      </c>
      <c r="S130" s="0" t="n">
        <v>7.5</v>
      </c>
      <c r="T130" s="0" t="n">
        <f aca="false">(S130/55)*5</f>
        <v>0.681818181818182</v>
      </c>
      <c r="V130" s="0" t="n">
        <v>9.5</v>
      </c>
      <c r="W130" s="0" t="n">
        <v>4</v>
      </c>
      <c r="X130" s="3" t="n">
        <v>1.0361</v>
      </c>
      <c r="Y130" s="2" t="n">
        <f aca="false">(V130*((W130+T130)/1000)*X130)/((((W130+T130)/1000)*X130)-((W130/1000)*0.9982))</f>
        <v>53.7076846058899</v>
      </c>
      <c r="Z130" s="3" t="n">
        <f aca="false">X130*(V130/100)*((W130+T130)/1000)*1000</f>
        <v>0.460829022727273</v>
      </c>
    </row>
    <row r="131" customFormat="false" ht="15" hidden="false" customHeight="false" outlineLevel="0" collapsed="false">
      <c r="A131" s="0" t="s">
        <v>98</v>
      </c>
      <c r="B131" s="0" t="s">
        <v>99</v>
      </c>
      <c r="C131" s="0" t="s">
        <v>81</v>
      </c>
      <c r="D131" s="0" t="s">
        <v>129</v>
      </c>
      <c r="E131" s="0" t="n">
        <v>3</v>
      </c>
      <c r="F131" s="0" t="n">
        <v>1</v>
      </c>
      <c r="G131" s="1"/>
      <c r="H131" s="1"/>
      <c r="I131" s="0" t="n">
        <v>54.4</v>
      </c>
      <c r="J131" s="0" t="n">
        <f aca="false">(I131/55)*5</f>
        <v>4.94545454545455</v>
      </c>
      <c r="L131" s="0" t="n">
        <v>27.5</v>
      </c>
      <c r="M131" s="0" t="n">
        <v>0</v>
      </c>
      <c r="N131" s="0" t="n">
        <f aca="false">L131</f>
        <v>27.5</v>
      </c>
      <c r="O131" s="3" t="n">
        <v>1.11515</v>
      </c>
      <c r="P131" s="3" t="n">
        <f aca="false">(O131*(N131/100)*(J131/1000))*1000</f>
        <v>1.516604</v>
      </c>
      <c r="Q131" s="3"/>
      <c r="R131" s="0" t="n">
        <v>2</v>
      </c>
      <c r="S131" s="0" t="n">
        <v>10.3</v>
      </c>
      <c r="T131" s="0" t="n">
        <f aca="false">(S131/55)*5</f>
        <v>0.936363636363636</v>
      </c>
      <c r="V131" s="0" t="n">
        <v>15</v>
      </c>
      <c r="W131" s="0" t="n">
        <v>4</v>
      </c>
      <c r="X131" s="3" t="n">
        <v>1.0592</v>
      </c>
      <c r="Y131" s="2" t="n">
        <f aca="false">(V131*((W131+T131)/1000)*X131)/((((W131+T131)/1000)*X131)-((W131/1000)*0.9982))</f>
        <v>63.4642953825873</v>
      </c>
      <c r="Z131" s="3" t="n">
        <f aca="false">X131*(V131/100)*((W131+T131)/1000)*1000</f>
        <v>0.784289454545455</v>
      </c>
    </row>
    <row r="132" customFormat="false" ht="15" hidden="false" customHeight="false" outlineLevel="0" collapsed="false">
      <c r="A132" s="0" t="s">
        <v>100</v>
      </c>
      <c r="B132" s="0" t="s">
        <v>101</v>
      </c>
      <c r="C132" s="0" t="s">
        <v>81</v>
      </c>
      <c r="D132" s="0" t="s">
        <v>129</v>
      </c>
      <c r="E132" s="0" t="n">
        <v>3</v>
      </c>
      <c r="F132" s="0" t="n">
        <v>0</v>
      </c>
      <c r="G132" s="1"/>
      <c r="H132" s="1"/>
      <c r="I132" s="0" t="n">
        <v>0</v>
      </c>
      <c r="J132" s="0" t="n">
        <f aca="false">(I132/55)*5</f>
        <v>0</v>
      </c>
      <c r="L132" s="0" t="n">
        <v>0</v>
      </c>
      <c r="M132" s="0" t="n">
        <v>0</v>
      </c>
      <c r="N132" s="0" t="n">
        <f aca="false">L132</f>
        <v>0</v>
      </c>
      <c r="O132" s="3" t="n">
        <v>0</v>
      </c>
      <c r="P132" s="3" t="n">
        <f aca="false">(O132*(N132/100)*(J132/1000))*1000</f>
        <v>0</v>
      </c>
      <c r="Q132" s="3"/>
      <c r="R132" s="0" t="n">
        <v>1</v>
      </c>
      <c r="S132" s="0" t="n">
        <v>5.3</v>
      </c>
      <c r="T132" s="0" t="n">
        <f aca="false">(S132/55)*5</f>
        <v>0.481818181818182</v>
      </c>
      <c r="V132" s="0" t="n">
        <v>8.5</v>
      </c>
      <c r="W132" s="0" t="n">
        <v>4</v>
      </c>
      <c r="X132" s="3" t="n">
        <v>1.032</v>
      </c>
      <c r="Y132" s="2" t="n">
        <f aca="false">(V132*((W132+T132)/1000)*X132)/((((W132+T132)/1000)*X132)-((W132/1000)*0.9982))</f>
        <v>62.1635809567618</v>
      </c>
      <c r="Z132" s="3" t="n">
        <f aca="false">X132*(V132/100)*((W132+T132)/1000)*1000</f>
        <v>0.393145090909091</v>
      </c>
    </row>
    <row r="133" customFormat="false" ht="15" hidden="false" customHeight="false" outlineLevel="0" collapsed="false">
      <c r="A133" s="0" t="s">
        <v>102</v>
      </c>
      <c r="B133" s="0" t="s">
        <v>103</v>
      </c>
      <c r="C133" s="0" t="s">
        <v>81</v>
      </c>
      <c r="D133" s="0" t="s">
        <v>129</v>
      </c>
      <c r="E133" s="0" t="n">
        <v>3</v>
      </c>
      <c r="F133" s="0" t="n">
        <v>3</v>
      </c>
      <c r="G133" s="1"/>
      <c r="H133" s="1"/>
      <c r="I133" s="0" t="n">
        <v>50.5</v>
      </c>
      <c r="J133" s="0" t="n">
        <f aca="false">(I133/55)*5</f>
        <v>4.59090909090909</v>
      </c>
      <c r="L133" s="0" t="n">
        <v>19.5</v>
      </c>
      <c r="M133" s="0" t="n">
        <v>0</v>
      </c>
      <c r="N133" s="0" t="n">
        <f aca="false">L133</f>
        <v>19.5</v>
      </c>
      <c r="O133" s="3" t="n">
        <v>1.07875</v>
      </c>
      <c r="P133" s="3" t="n">
        <f aca="false">(O133*(N133/100)*(J133/1000))*1000</f>
        <v>0.965726420454545</v>
      </c>
      <c r="Q133" s="3"/>
      <c r="R133" s="0" t="n">
        <v>2</v>
      </c>
      <c r="S133" s="0" t="n">
        <v>10.2</v>
      </c>
      <c r="T133" s="0" t="n">
        <f aca="false">(S133/55)*5</f>
        <v>0.927272727272727</v>
      </c>
      <c r="V133" s="0" t="n">
        <v>13.5</v>
      </c>
      <c r="W133" s="0" t="n">
        <v>4</v>
      </c>
      <c r="X133" s="3" t="n">
        <v>1.0528</v>
      </c>
      <c r="Y133" s="2" t="n">
        <f aca="false">(V133*((W133+T133)/1000)*X133)/((((W133+T133)/1000)*X133)-((W133/1000)*0.9982))</f>
        <v>58.620813091281</v>
      </c>
      <c r="Z133" s="3" t="n">
        <f aca="false">X133*(V133/100)*((W133+T133)/1000)*1000</f>
        <v>0.700303418181818</v>
      </c>
    </row>
    <row r="134" customFormat="false" ht="15" hidden="false" customHeight="false" outlineLevel="0" collapsed="false">
      <c r="A134" s="0" t="s">
        <v>104</v>
      </c>
      <c r="B134" s="0" t="s">
        <v>105</v>
      </c>
      <c r="C134" s="0" t="s">
        <v>106</v>
      </c>
      <c r="D134" s="0" t="s">
        <v>129</v>
      </c>
      <c r="E134" s="0" t="n">
        <v>3</v>
      </c>
      <c r="F134" s="0" t="n"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0" t="n">
        <v>5</v>
      </c>
      <c r="S134" s="1"/>
      <c r="T134" s="1"/>
      <c r="U134" s="1"/>
      <c r="V134" s="1"/>
      <c r="W134" s="1"/>
      <c r="X134" s="1"/>
      <c r="Y134" s="5"/>
      <c r="Z134" s="1"/>
    </row>
    <row r="135" customFormat="false" ht="15" hidden="false" customHeight="false" outlineLevel="0" collapsed="false">
      <c r="A135" s="0" t="s">
        <v>107</v>
      </c>
      <c r="B135" s="0" t="s">
        <v>37</v>
      </c>
      <c r="C135" s="0" t="s">
        <v>106</v>
      </c>
      <c r="D135" s="0" t="s">
        <v>129</v>
      </c>
      <c r="E135" s="0" t="n">
        <v>3</v>
      </c>
      <c r="F135" s="0" t="n"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0" t="n">
        <v>3</v>
      </c>
      <c r="S135" s="1"/>
      <c r="T135" s="1"/>
      <c r="U135" s="1"/>
      <c r="V135" s="1"/>
      <c r="W135" s="1"/>
      <c r="X135" s="1"/>
      <c r="Y135" s="5"/>
      <c r="Z135" s="1"/>
    </row>
    <row r="136" customFormat="false" ht="15" hidden="false" customHeight="false" outlineLevel="0" collapsed="false">
      <c r="A136" s="0" t="s">
        <v>108</v>
      </c>
      <c r="B136" s="0" t="s">
        <v>109</v>
      </c>
      <c r="C136" s="0" t="s">
        <v>106</v>
      </c>
      <c r="D136" s="0" t="s">
        <v>129</v>
      </c>
      <c r="E136" s="0" t="n">
        <v>3</v>
      </c>
      <c r="F136" s="0" t="n">
        <v>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0" t="n">
        <v>4</v>
      </c>
      <c r="S136" s="1"/>
      <c r="T136" s="1"/>
      <c r="U136" s="1"/>
      <c r="V136" s="1"/>
      <c r="W136" s="1"/>
      <c r="X136" s="1"/>
      <c r="Y136" s="5"/>
      <c r="Z136" s="1"/>
    </row>
    <row r="137" customFormat="false" ht="15" hidden="false" customHeight="false" outlineLevel="0" collapsed="false">
      <c r="A137" s="0" t="s">
        <v>110</v>
      </c>
      <c r="B137" s="0" t="s">
        <v>111</v>
      </c>
      <c r="C137" s="0" t="s">
        <v>106</v>
      </c>
      <c r="D137" s="0" t="s">
        <v>129</v>
      </c>
      <c r="E137" s="0" t="n">
        <v>3</v>
      </c>
      <c r="F137" s="0" t="n"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0" t="n">
        <v>6</v>
      </c>
      <c r="S137" s="1"/>
      <c r="T137" s="1"/>
      <c r="U137" s="1"/>
      <c r="V137" s="1"/>
      <c r="W137" s="1"/>
      <c r="X137" s="1"/>
      <c r="Y137" s="5"/>
      <c r="Z137" s="1"/>
    </row>
    <row r="138" customFormat="false" ht="15" hidden="false" customHeight="false" outlineLevel="0" collapsed="false">
      <c r="A138" s="0" t="s">
        <v>112</v>
      </c>
      <c r="B138" s="0" t="s">
        <v>113</v>
      </c>
      <c r="C138" s="0" t="s">
        <v>106</v>
      </c>
      <c r="D138" s="0" t="s">
        <v>129</v>
      </c>
      <c r="E138" s="0" t="n">
        <v>3</v>
      </c>
      <c r="F138" s="0" t="n">
        <v>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0" t="n">
        <v>7</v>
      </c>
      <c r="S138" s="1"/>
      <c r="T138" s="1"/>
      <c r="U138" s="1"/>
      <c r="V138" s="1"/>
      <c r="W138" s="1"/>
      <c r="X138" s="1"/>
      <c r="Y138" s="5"/>
      <c r="Z138" s="1"/>
    </row>
    <row r="139" customFormat="false" ht="15" hidden="false" customHeight="false" outlineLevel="0" collapsed="false">
      <c r="A139" s="0" t="s">
        <v>114</v>
      </c>
      <c r="B139" s="0" t="s">
        <v>115</v>
      </c>
      <c r="C139" s="0" t="s">
        <v>106</v>
      </c>
      <c r="D139" s="0" t="s">
        <v>129</v>
      </c>
      <c r="E139" s="0" t="n">
        <v>3</v>
      </c>
      <c r="F139" s="0" t="n">
        <v>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0" t="n">
        <v>5</v>
      </c>
      <c r="S139" s="1"/>
      <c r="T139" s="1"/>
      <c r="U139" s="1"/>
      <c r="V139" s="1"/>
      <c r="W139" s="1"/>
      <c r="X139" s="1"/>
      <c r="Y139" s="5"/>
      <c r="Z139" s="1"/>
    </row>
    <row r="140" customFormat="false" ht="15" hidden="false" customHeight="false" outlineLevel="0" collapsed="false">
      <c r="A140" s="0" t="s">
        <v>116</v>
      </c>
      <c r="B140" s="0" t="s">
        <v>117</v>
      </c>
      <c r="C140" s="0" t="s">
        <v>106</v>
      </c>
      <c r="D140" s="0" t="s">
        <v>129</v>
      </c>
      <c r="E140" s="0" t="n">
        <v>3</v>
      </c>
      <c r="F140" s="0" t="n">
        <v>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0" t="n">
        <v>9</v>
      </c>
      <c r="S140" s="1"/>
      <c r="T140" s="1"/>
      <c r="U140" s="1"/>
      <c r="V140" s="1"/>
      <c r="W140" s="1"/>
      <c r="X140" s="1"/>
      <c r="Y140" s="5"/>
      <c r="Z140" s="1"/>
    </row>
    <row r="141" customFormat="false" ht="15" hidden="false" customHeight="false" outlineLevel="0" collapsed="false">
      <c r="A141" s="0" t="s">
        <v>118</v>
      </c>
      <c r="B141" s="0" t="s">
        <v>119</v>
      </c>
      <c r="C141" s="0" t="s">
        <v>106</v>
      </c>
      <c r="D141" s="0" t="s">
        <v>129</v>
      </c>
      <c r="E141" s="0" t="n">
        <v>3</v>
      </c>
      <c r="F141" s="0" t="n">
        <v>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0" t="n">
        <v>8</v>
      </c>
      <c r="S141" s="1"/>
      <c r="T141" s="1"/>
      <c r="U141" s="1"/>
      <c r="V141" s="1"/>
      <c r="W141" s="1"/>
      <c r="X141" s="1"/>
      <c r="Y141" s="5"/>
      <c r="Z141" s="1"/>
    </row>
    <row r="142" customFormat="false" ht="15" hidden="false" customHeight="false" outlineLevel="0" collapsed="false">
      <c r="A142" s="0" t="s">
        <v>120</v>
      </c>
      <c r="B142" s="0" t="s">
        <v>121</v>
      </c>
      <c r="C142" s="0" t="s">
        <v>106</v>
      </c>
      <c r="D142" s="0" t="s">
        <v>129</v>
      </c>
      <c r="E142" s="0" t="n">
        <v>3</v>
      </c>
      <c r="F142" s="0" t="n"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0" t="n">
        <v>4</v>
      </c>
      <c r="S142" s="1"/>
      <c r="T142" s="1"/>
      <c r="U142" s="1"/>
      <c r="V142" s="1"/>
      <c r="W142" s="1"/>
      <c r="X142" s="1"/>
      <c r="Y142" s="5"/>
      <c r="Z142" s="1"/>
    </row>
    <row r="143" customFormat="false" ht="15" hidden="false" customHeight="false" outlineLevel="0" collapsed="false">
      <c r="A143" s="0" t="s">
        <v>122</v>
      </c>
      <c r="B143" s="0" t="s">
        <v>123</v>
      </c>
      <c r="C143" s="0" t="s">
        <v>106</v>
      </c>
      <c r="D143" s="0" t="s">
        <v>129</v>
      </c>
      <c r="E143" s="0" t="n">
        <v>3</v>
      </c>
      <c r="F143" s="0" t="n">
        <v>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0" t="n">
        <v>4</v>
      </c>
      <c r="S143" s="1"/>
      <c r="T143" s="1"/>
      <c r="U143" s="1"/>
      <c r="V143" s="1"/>
      <c r="W143" s="1"/>
      <c r="X143" s="1"/>
      <c r="Y143" s="5"/>
      <c r="Z143" s="1"/>
    </row>
    <row r="144" customFormat="false" ht="15" hidden="false" customHeight="false" outlineLevel="0" collapsed="false">
      <c r="A144" s="0" t="s">
        <v>124</v>
      </c>
      <c r="B144" s="0" t="s">
        <v>125</v>
      </c>
      <c r="C144" s="0" t="s">
        <v>106</v>
      </c>
      <c r="D144" s="0" t="s">
        <v>129</v>
      </c>
      <c r="E144" s="0" t="n">
        <v>3</v>
      </c>
      <c r="F144" s="0" t="n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0" t="n">
        <v>3</v>
      </c>
      <c r="S144" s="1"/>
      <c r="T144" s="1"/>
      <c r="U144" s="1"/>
      <c r="V144" s="1"/>
      <c r="W144" s="1"/>
      <c r="X144" s="1"/>
      <c r="Y144" s="5"/>
      <c r="Z144" s="1"/>
    </row>
    <row r="145" customFormat="false" ht="15" hidden="false" customHeight="false" outlineLevel="0" collapsed="false">
      <c r="A145" s="0" t="s">
        <v>126</v>
      </c>
      <c r="B145" s="0" t="s">
        <v>127</v>
      </c>
      <c r="C145" s="0" t="s">
        <v>106</v>
      </c>
      <c r="D145" s="0" t="s">
        <v>129</v>
      </c>
      <c r="E145" s="0" t="n">
        <v>3</v>
      </c>
      <c r="F145" s="0" t="n">
        <v>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0" t="n">
        <v>5</v>
      </c>
      <c r="S145" s="1"/>
      <c r="T145" s="1"/>
      <c r="U145" s="1"/>
      <c r="V145" s="1"/>
      <c r="W145" s="1"/>
      <c r="X145" s="1"/>
      <c r="Y145" s="5"/>
      <c r="Z145" s="1"/>
    </row>
    <row r="146" customFormat="false" ht="15" hidden="false" customHeight="false" outlineLevel="0" collapsed="false">
      <c r="A146" s="0" t="s">
        <v>26</v>
      </c>
      <c r="B146" s="0" t="s">
        <v>27</v>
      </c>
      <c r="C146" s="0" t="s">
        <v>28</v>
      </c>
      <c r="D146" s="0" t="s">
        <v>130</v>
      </c>
      <c r="E146" s="0" t="n">
        <v>4</v>
      </c>
      <c r="F146" s="0" t="n">
        <v>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0" t="n">
        <v>2</v>
      </c>
      <c r="S146" s="0" t="n">
        <v>9</v>
      </c>
      <c r="T146" s="0" t="n">
        <f aca="false">(S146/55)*5</f>
        <v>0.818181818181818</v>
      </c>
      <c r="V146" s="0" t="n">
        <v>9</v>
      </c>
      <c r="W146" s="0" t="n">
        <v>4</v>
      </c>
      <c r="X146" s="3" t="n">
        <v>1.0341</v>
      </c>
      <c r="Y146" s="2" t="n">
        <f aca="false">(V146*((W146+T146)/1000)*X146)/((((W146+T146)/1000)*X146)-((W146/1000)*0.9982))</f>
        <v>45.3098516511275</v>
      </c>
      <c r="Z146" s="3" t="n">
        <f aca="false">X146*(V146/100)*((W146+T146)/1000)*1000</f>
        <v>0.448423363636364</v>
      </c>
    </row>
    <row r="147" customFormat="false" ht="15" hidden="false" customHeight="false" outlineLevel="0" collapsed="false">
      <c r="A147" s="0" t="s">
        <v>32</v>
      </c>
      <c r="B147" s="0" t="s">
        <v>33</v>
      </c>
      <c r="C147" s="0" t="s">
        <v>28</v>
      </c>
      <c r="D147" s="0" t="s">
        <v>130</v>
      </c>
      <c r="E147" s="0" t="n">
        <v>4</v>
      </c>
      <c r="F147" s="0" t="n">
        <v>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0" t="n">
        <v>3</v>
      </c>
      <c r="S147" s="0" t="n">
        <v>19.3</v>
      </c>
      <c r="T147" s="0" t="n">
        <f aca="false">(S147/55)*5</f>
        <v>1.75454545454546</v>
      </c>
      <c r="V147" s="0" t="n">
        <v>16</v>
      </c>
      <c r="W147" s="0" t="n">
        <v>4</v>
      </c>
      <c r="X147" s="3" t="n">
        <v>1.0635</v>
      </c>
      <c r="Y147" s="2" t="n">
        <f aca="false">(V147*((W147+T147)/1000)*X147)/((((W147+T147)/1000)*X147)-((W147/1000)*0.9982))</f>
        <v>46.0329205619958</v>
      </c>
      <c r="Z147" s="3" t="n">
        <f aca="false">X147*(V147/100)*((W147+T147)/1000)*1000</f>
        <v>0.979193454545454</v>
      </c>
    </row>
    <row r="148" customFormat="false" ht="15" hidden="false" customHeight="false" outlineLevel="0" collapsed="false">
      <c r="A148" s="0" t="s">
        <v>34</v>
      </c>
      <c r="B148" s="0" t="s">
        <v>35</v>
      </c>
      <c r="C148" s="0" t="s">
        <v>28</v>
      </c>
      <c r="D148" s="0" t="s">
        <v>130</v>
      </c>
      <c r="E148" s="0" t="n">
        <v>4</v>
      </c>
      <c r="F148" s="0" t="n">
        <v>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0" t="n">
        <v>4</v>
      </c>
      <c r="S148" s="0" t="n">
        <v>9.1</v>
      </c>
      <c r="T148" s="0" t="n">
        <f aca="false">(S148/55)*5</f>
        <v>0.827272727272727</v>
      </c>
      <c r="V148" s="0" t="n">
        <v>9.5</v>
      </c>
      <c r="W148" s="0" t="n">
        <v>4</v>
      </c>
      <c r="X148" s="3" t="n">
        <v>1.0361</v>
      </c>
      <c r="Y148" s="2" t="n">
        <f aca="false">(V148*((W148+T148)/1000)*X148)/((((W148+T148)/1000)*X148)-((W148/1000)*0.9982))</f>
        <v>47.1030518803437</v>
      </c>
      <c r="Z148" s="3" t="n">
        <f aca="false">X148*(V148/100)*((W148+T148)/1000)*1000</f>
        <v>0.475146040909091</v>
      </c>
    </row>
    <row r="149" customFormat="false" ht="15" hidden="false" customHeight="false" outlineLevel="0" collapsed="false">
      <c r="A149" s="0" t="s">
        <v>36</v>
      </c>
      <c r="B149" s="0" t="s">
        <v>37</v>
      </c>
      <c r="C149" s="0" t="s">
        <v>28</v>
      </c>
      <c r="D149" s="0" t="s">
        <v>130</v>
      </c>
      <c r="E149" s="0" t="n">
        <v>4</v>
      </c>
      <c r="F149" s="0" t="n">
        <v>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0" t="n">
        <v>1</v>
      </c>
      <c r="S149" s="0" t="n">
        <v>2.6</v>
      </c>
      <c r="T149" s="0" t="n">
        <f aca="false">(S149/55)*5</f>
        <v>0.236363636363636</v>
      </c>
      <c r="V149" s="0" t="n">
        <v>6</v>
      </c>
      <c r="W149" s="0" t="n">
        <v>2</v>
      </c>
      <c r="X149" s="3" t="n">
        <v>1.0218</v>
      </c>
      <c r="Y149" s="2" t="n">
        <f aca="false">(V149*((W149+T149)/1000)*X149)/((((W149+T149)/1000)*X149)-((W149/1000)*0.9982))</f>
        <v>47.4884693376325</v>
      </c>
      <c r="Z149" s="3" t="n">
        <f aca="false">X149*(V149/100)*((W149+T149)/1000)*1000</f>
        <v>0.137106981818182</v>
      </c>
    </row>
    <row r="150" customFormat="false" ht="15" hidden="false" customHeight="false" outlineLevel="0" collapsed="false">
      <c r="A150" s="0" t="s">
        <v>38</v>
      </c>
      <c r="B150" s="0" t="s">
        <v>39</v>
      </c>
      <c r="C150" s="0" t="s">
        <v>28</v>
      </c>
      <c r="D150" s="0" t="s">
        <v>130</v>
      </c>
      <c r="E150" s="0" t="n">
        <v>4</v>
      </c>
      <c r="F150" s="0" t="n">
        <v>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0" t="n">
        <v>5</v>
      </c>
      <c r="S150" s="0" t="n">
        <v>16.5</v>
      </c>
      <c r="T150" s="0" t="n">
        <f aca="false">(S150/55)*5</f>
        <v>1.5</v>
      </c>
      <c r="V150" s="0" t="n">
        <v>15.5</v>
      </c>
      <c r="W150" s="0" t="n">
        <v>4</v>
      </c>
      <c r="X150" s="3" t="n">
        <v>1.06135</v>
      </c>
      <c r="Y150" s="2" t="n">
        <f aca="false">(V150*((W150+T150)/1000)*X150)/((((W150+T150)/1000)*X150)-((W150/1000)*0.9982))</f>
        <v>49.0506674798401</v>
      </c>
      <c r="Z150" s="3" t="n">
        <f aca="false">X150*(V150/100)*((W150+T150)/1000)*1000</f>
        <v>0.904800875</v>
      </c>
    </row>
    <row r="151" customFormat="false" ht="15" hidden="false" customHeight="false" outlineLevel="0" collapsed="false">
      <c r="A151" s="0" t="s">
        <v>40</v>
      </c>
      <c r="B151" s="0" t="s">
        <v>41</v>
      </c>
      <c r="C151" s="0" t="s">
        <v>28</v>
      </c>
      <c r="D151" s="0" t="s">
        <v>130</v>
      </c>
      <c r="E151" s="0" t="n">
        <v>4</v>
      </c>
      <c r="F151" s="0" t="n">
        <v>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0" t="n">
        <v>4</v>
      </c>
      <c r="S151" s="0" t="n">
        <v>7</v>
      </c>
      <c r="T151" s="0" t="n">
        <f aca="false">(S151/55)*5</f>
        <v>0.636363636363636</v>
      </c>
      <c r="V151" s="0" t="n">
        <v>7.5</v>
      </c>
      <c r="W151" s="0" t="n">
        <v>4</v>
      </c>
      <c r="X151" s="3" t="n">
        <v>1.0279</v>
      </c>
      <c r="Y151" s="2" t="n">
        <f aca="false">(V151*((W151+T151)/1000)*X151)/((((W151+T151)/1000)*X151)-((W151/1000)*0.9982))</f>
        <v>46.244074993237</v>
      </c>
      <c r="Z151" s="3" t="n">
        <f aca="false">X151*(V151/100)*((W151+T151)/1000)*1000</f>
        <v>0.357428863636364</v>
      </c>
    </row>
    <row r="152" customFormat="false" ht="15" hidden="false" customHeight="false" outlineLevel="0" collapsed="false">
      <c r="A152" s="0" t="s">
        <v>42</v>
      </c>
      <c r="B152" s="0" t="s">
        <v>43</v>
      </c>
      <c r="C152" s="0" t="s">
        <v>28</v>
      </c>
      <c r="D152" s="0" t="s">
        <v>130</v>
      </c>
      <c r="E152" s="0" t="n">
        <v>4</v>
      </c>
      <c r="F152" s="0" t="n">
        <v>1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0" t="n">
        <v>4</v>
      </c>
      <c r="S152" s="0" t="n">
        <v>11.8</v>
      </c>
      <c r="T152" s="0" t="n">
        <f aca="false">(S152/55)*5</f>
        <v>1.07272727272727</v>
      </c>
      <c r="V152" s="0" t="n">
        <v>10</v>
      </c>
      <c r="W152" s="0" t="n">
        <v>4</v>
      </c>
      <c r="X152" s="3" t="n">
        <v>1.0381</v>
      </c>
      <c r="Y152" s="2" t="n">
        <f aca="false">(V152*((W152+T152)/1000)*X152)/((((W152+T152)/1000)*X152)-((W152/1000)*0.9982))</f>
        <v>41.3603966532383</v>
      </c>
      <c r="Z152" s="3" t="n">
        <f aca="false">X152*(V152/100)*((W152+T152)/1000)*1000</f>
        <v>0.526599818181818</v>
      </c>
    </row>
    <row r="153" customFormat="false" ht="15" hidden="false" customHeight="false" outlineLevel="0" collapsed="false">
      <c r="A153" s="0" t="s">
        <v>44</v>
      </c>
      <c r="B153" s="0" t="s">
        <v>45</v>
      </c>
      <c r="C153" s="0" t="s">
        <v>28</v>
      </c>
      <c r="D153" s="0" t="s">
        <v>130</v>
      </c>
      <c r="E153" s="0" t="n">
        <v>4</v>
      </c>
      <c r="F153" s="0" t="n">
        <v>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0" t="n">
        <v>5</v>
      </c>
      <c r="S153" s="0" t="n">
        <v>43.5</v>
      </c>
      <c r="T153" s="0" t="n">
        <f aca="false">(S153/55)*5</f>
        <v>3.95454545454545</v>
      </c>
      <c r="V153" s="0" t="n">
        <v>33.5</v>
      </c>
      <c r="W153" s="0" t="n">
        <v>4</v>
      </c>
      <c r="X153" s="3" t="n">
        <v>1.14395</v>
      </c>
      <c r="Y153" s="2" t="n">
        <f aca="false">(V153*((W153+T153)/1000)*X153)/((((W153+T153)/1000)*X153)-((W153/1000)*0.9982))</f>
        <v>59.6922809728379</v>
      </c>
      <c r="Z153" s="3" t="n">
        <f aca="false">X153*(V153/100)*((W153+T153)/1000)*1000</f>
        <v>3.04836676136364</v>
      </c>
    </row>
    <row r="154" customFormat="false" ht="15" hidden="false" customHeight="false" outlineLevel="0" collapsed="false">
      <c r="A154" s="0" t="s">
        <v>46</v>
      </c>
      <c r="B154" s="0" t="s">
        <v>47</v>
      </c>
      <c r="C154" s="0" t="s">
        <v>28</v>
      </c>
      <c r="D154" s="0" t="s">
        <v>130</v>
      </c>
      <c r="E154" s="0" t="n">
        <v>4</v>
      </c>
      <c r="F154" s="0" t="n">
        <v>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0" t="n">
        <v>3</v>
      </c>
      <c r="S154" s="0" t="n">
        <v>19.5</v>
      </c>
      <c r="T154" s="0" t="n">
        <f aca="false">(S154/55)*5</f>
        <v>1.77272727272727</v>
      </c>
      <c r="V154" s="0" t="n">
        <v>17</v>
      </c>
      <c r="W154" s="0" t="n">
        <v>4</v>
      </c>
      <c r="X154" s="3" t="n">
        <v>1.0678</v>
      </c>
      <c r="Y154" s="2" t="n">
        <f aca="false">(V154*((W154+T154)/1000)*X154)/((((W154+T154)/1000)*X154)-((W154/1000)*0.9982))</f>
        <v>48.2610102786326</v>
      </c>
      <c r="Z154" s="3" t="n">
        <f aca="false">X154*(V154/100)*((W154+T154)/1000)*1000</f>
        <v>1.04790009090909</v>
      </c>
    </row>
    <row r="155" customFormat="false" ht="15" hidden="false" customHeight="false" outlineLevel="0" collapsed="false">
      <c r="A155" s="0" t="s">
        <v>48</v>
      </c>
      <c r="B155" s="0" t="s">
        <v>49</v>
      </c>
      <c r="C155" s="0" t="s">
        <v>28</v>
      </c>
      <c r="D155" s="0" t="s">
        <v>130</v>
      </c>
      <c r="E155" s="0" t="n">
        <v>4</v>
      </c>
      <c r="F155" s="0" t="n">
        <v>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0" t="n">
        <v>4</v>
      </c>
      <c r="S155" s="0" t="n">
        <v>20.5</v>
      </c>
      <c r="T155" s="0" t="n">
        <f aca="false">(S155/55)*5</f>
        <v>1.86363636363636</v>
      </c>
      <c r="V155" s="0" t="n">
        <v>22.5</v>
      </c>
      <c r="W155" s="0" t="n">
        <v>4</v>
      </c>
      <c r="X155" s="3" t="n">
        <v>1.092175</v>
      </c>
      <c r="Y155" s="2" t="n">
        <f aca="false">(V155*((W155+T155)/1000)*X155)/((((W155+T155)/1000)*X155)-((W155/1000)*0.9982))</f>
        <v>59.7568178744264</v>
      </c>
      <c r="Z155" s="3" t="n">
        <f aca="false">X155*(V155/100)*((W155+T155)/1000)*1000</f>
        <v>1.44092633522727</v>
      </c>
    </row>
    <row r="156" customFormat="false" ht="15" hidden="false" customHeight="false" outlineLevel="0" collapsed="false">
      <c r="A156" s="0" t="s">
        <v>50</v>
      </c>
      <c r="B156" s="0" t="s">
        <v>51</v>
      </c>
      <c r="C156" s="0" t="s">
        <v>28</v>
      </c>
      <c r="D156" s="0" t="s">
        <v>130</v>
      </c>
      <c r="E156" s="0" t="n">
        <v>4</v>
      </c>
      <c r="F156" s="0" t="n">
        <v>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0" t="n">
        <v>5</v>
      </c>
      <c r="S156" s="0" t="n">
        <v>22.7</v>
      </c>
      <c r="T156" s="0" t="n">
        <f aca="false">(S156/55)*5</f>
        <v>2.06363636363636</v>
      </c>
      <c r="V156" s="0" t="n">
        <v>22.5</v>
      </c>
      <c r="W156" s="0" t="n">
        <v>4</v>
      </c>
      <c r="X156" s="3" t="n">
        <v>1.092175</v>
      </c>
      <c r="Y156" s="2" t="n">
        <f aca="false">(V156*((W156+T156)/1000)*X156)/((((W156+T156)/1000)*X156)-((W156/1000)*0.9982))</f>
        <v>56.6621561452086</v>
      </c>
      <c r="Z156" s="3" t="n">
        <f aca="false">X156*(V156/100)*((W156+T156)/1000)*1000</f>
        <v>1.49007421022727</v>
      </c>
    </row>
    <row r="157" customFormat="false" ht="15" hidden="false" customHeight="false" outlineLevel="0" collapsed="false">
      <c r="A157" s="0" t="s">
        <v>52</v>
      </c>
      <c r="B157" s="0" t="s">
        <v>53</v>
      </c>
      <c r="C157" s="0" t="s">
        <v>28</v>
      </c>
      <c r="D157" s="0" t="s">
        <v>130</v>
      </c>
      <c r="E157" s="0" t="n">
        <v>4</v>
      </c>
      <c r="F157" s="0" t="n">
        <v>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0" t="n">
        <v>4</v>
      </c>
      <c r="S157" s="0" t="n">
        <v>27.4</v>
      </c>
      <c r="T157" s="0" t="n">
        <f aca="false">(S157/55)*5</f>
        <v>2.49090909090909</v>
      </c>
      <c r="V157" s="0" t="n">
        <v>23.5</v>
      </c>
      <c r="W157" s="0" t="n">
        <v>4</v>
      </c>
      <c r="X157" s="3" t="n">
        <v>1.096725</v>
      </c>
      <c r="Y157" s="2" t="n">
        <f aca="false">(V157*((W157+T157)/1000)*X157)/((((W157+T157)/1000)*X157)-((W157/1000)*0.9982))</f>
        <v>53.5168051146178</v>
      </c>
      <c r="Z157" s="3" t="n">
        <f aca="false">X157*(V157/100)*((W157+T157)/1000)*1000</f>
        <v>1.67290443409091</v>
      </c>
    </row>
    <row r="158" customFormat="false" ht="15" hidden="false" customHeight="false" outlineLevel="0" collapsed="false">
      <c r="A158" s="0" t="s">
        <v>54</v>
      </c>
      <c r="B158" s="0" t="s">
        <v>55</v>
      </c>
      <c r="C158" s="0" t="s">
        <v>56</v>
      </c>
      <c r="D158" s="0" t="s">
        <v>130</v>
      </c>
      <c r="E158" s="0" t="n">
        <v>4</v>
      </c>
      <c r="F158" s="0" t="n">
        <v>0</v>
      </c>
      <c r="G158" s="1"/>
      <c r="H158" s="1"/>
      <c r="I158" s="0" t="n">
        <v>0</v>
      </c>
      <c r="J158" s="0" t="n">
        <f aca="false">(I158/55)*5</f>
        <v>0</v>
      </c>
      <c r="L158" s="0" t="n">
        <v>0</v>
      </c>
      <c r="M158" s="0" t="n">
        <v>0</v>
      </c>
      <c r="N158" s="0" t="n">
        <f aca="false">L158</f>
        <v>0</v>
      </c>
      <c r="O158" s="3" t="n">
        <v>0</v>
      </c>
      <c r="P158" s="3" t="n">
        <f aca="false">(O158*(N158/100)*(J158/1000))*1000</f>
        <v>0</v>
      </c>
      <c r="Q158" s="3"/>
      <c r="R158" s="1"/>
      <c r="S158" s="1"/>
      <c r="T158" s="1"/>
      <c r="U158" s="1"/>
      <c r="V158" s="1"/>
      <c r="W158" s="1"/>
      <c r="X158" s="1"/>
      <c r="Y158" s="5"/>
      <c r="Z158" s="1"/>
    </row>
    <row r="159" customFormat="false" ht="15" hidden="false" customHeight="false" outlineLevel="0" collapsed="false">
      <c r="A159" s="0" t="s">
        <v>57</v>
      </c>
      <c r="B159" s="0" t="s">
        <v>58</v>
      </c>
      <c r="C159" s="0" t="s">
        <v>56</v>
      </c>
      <c r="D159" s="0" t="s">
        <v>130</v>
      </c>
      <c r="E159" s="0" t="n">
        <v>4</v>
      </c>
      <c r="F159" s="0" t="n">
        <v>0</v>
      </c>
      <c r="G159" s="1"/>
      <c r="H159" s="1"/>
      <c r="I159" s="0" t="n">
        <v>0</v>
      </c>
      <c r="J159" s="0" t="n">
        <f aca="false">(I159/55)*5</f>
        <v>0</v>
      </c>
      <c r="L159" s="0" t="n">
        <v>0</v>
      </c>
      <c r="M159" s="0" t="n">
        <v>0</v>
      </c>
      <c r="N159" s="0" t="n">
        <f aca="false">L159</f>
        <v>0</v>
      </c>
      <c r="O159" s="3" t="n">
        <v>0</v>
      </c>
      <c r="P159" s="3" t="n">
        <f aca="false">(O159*(N159/100)*(J159/1000))*1000</f>
        <v>0</v>
      </c>
      <c r="Q159" s="3"/>
      <c r="R159" s="1"/>
      <c r="S159" s="1"/>
      <c r="T159" s="1"/>
      <c r="U159" s="1"/>
      <c r="V159" s="1"/>
      <c r="W159" s="1"/>
      <c r="X159" s="1"/>
      <c r="Y159" s="5"/>
      <c r="Z159" s="1"/>
    </row>
    <row r="160" customFormat="false" ht="15" hidden="false" customHeight="false" outlineLevel="0" collapsed="false">
      <c r="A160" s="0" t="s">
        <v>59</v>
      </c>
      <c r="B160" s="0" t="s">
        <v>60</v>
      </c>
      <c r="C160" s="0" t="s">
        <v>56</v>
      </c>
      <c r="D160" s="0" t="s">
        <v>130</v>
      </c>
      <c r="E160" s="0" t="n">
        <v>4</v>
      </c>
      <c r="F160" s="0" t="n">
        <v>1</v>
      </c>
      <c r="G160" s="1"/>
      <c r="H160" s="1"/>
      <c r="I160" s="0" t="n">
        <v>41.9</v>
      </c>
      <c r="J160" s="0" t="n">
        <f aca="false">(I160/55)*5</f>
        <v>3.80909090909091</v>
      </c>
      <c r="L160" s="0" t="n">
        <v>24.5</v>
      </c>
      <c r="M160" s="0" t="n">
        <v>0</v>
      </c>
      <c r="N160" s="0" t="n">
        <f aca="false">L160</f>
        <v>24.5</v>
      </c>
      <c r="O160" s="3" t="n">
        <v>1.101275</v>
      </c>
      <c r="P160" s="3" t="n">
        <f aca="false">(O160*(N160/100)*(J160/1000))*1000</f>
        <v>1.02773986477273</v>
      </c>
      <c r="Q160" s="3"/>
      <c r="R160" s="1"/>
      <c r="S160" s="1"/>
      <c r="T160" s="1"/>
      <c r="U160" s="1"/>
      <c r="V160" s="1"/>
      <c r="W160" s="1"/>
      <c r="X160" s="1"/>
      <c r="Y160" s="5"/>
      <c r="Z160" s="1"/>
    </row>
    <row r="161" customFormat="false" ht="15" hidden="false" customHeight="false" outlineLevel="0" collapsed="false">
      <c r="A161" s="0" t="s">
        <v>61</v>
      </c>
      <c r="B161" s="0" t="s">
        <v>62</v>
      </c>
      <c r="C161" s="0" t="s">
        <v>56</v>
      </c>
      <c r="D161" s="0" t="s">
        <v>130</v>
      </c>
      <c r="E161" s="0" t="n">
        <v>4</v>
      </c>
      <c r="F161" s="0" t="n">
        <v>1</v>
      </c>
      <c r="G161" s="1"/>
      <c r="H161" s="1"/>
      <c r="I161" s="0" t="n">
        <v>40.3</v>
      </c>
      <c r="J161" s="0" t="n">
        <f aca="false">(I161/55)*5</f>
        <v>3.66363636363636</v>
      </c>
      <c r="L161" s="0" t="n">
        <v>24</v>
      </c>
      <c r="M161" s="0" t="n">
        <v>0</v>
      </c>
      <c r="N161" s="0" t="n">
        <f aca="false">L161</f>
        <v>24</v>
      </c>
      <c r="O161" s="3" t="n">
        <v>1.099</v>
      </c>
      <c r="P161" s="3" t="n">
        <f aca="false">(O161*(N161/100)*(J161/1000))*1000</f>
        <v>0.966320727272727</v>
      </c>
      <c r="Q161" s="3"/>
      <c r="R161" s="1"/>
      <c r="S161" s="1"/>
      <c r="T161" s="1"/>
      <c r="U161" s="1"/>
      <c r="V161" s="1"/>
      <c r="W161" s="1"/>
      <c r="X161" s="1"/>
      <c r="Y161" s="5"/>
      <c r="Z161" s="1"/>
    </row>
    <row r="162" customFormat="false" ht="15" hidden="false" customHeight="false" outlineLevel="0" collapsed="false">
      <c r="A162" s="0" t="s">
        <v>63</v>
      </c>
      <c r="B162" s="0" t="s">
        <v>64</v>
      </c>
      <c r="C162" s="0" t="s">
        <v>56</v>
      </c>
      <c r="D162" s="0" t="s">
        <v>130</v>
      </c>
      <c r="E162" s="0" t="n">
        <v>4</v>
      </c>
      <c r="F162" s="0" t="n">
        <v>1</v>
      </c>
      <c r="G162" s="1"/>
      <c r="H162" s="1"/>
      <c r="I162" s="0" t="n">
        <v>39</v>
      </c>
      <c r="J162" s="0" t="n">
        <f aca="false">(I162/55)*5</f>
        <v>3.54545454545455</v>
      </c>
      <c r="L162" s="0" t="n">
        <v>21</v>
      </c>
      <c r="M162" s="0" t="n">
        <v>0</v>
      </c>
      <c r="N162" s="0" t="n">
        <f aca="false">L162</f>
        <v>21</v>
      </c>
      <c r="O162" s="3" t="n">
        <v>1.08545</v>
      </c>
      <c r="P162" s="3" t="n">
        <f aca="false">(O162*(N162/100)*(J162/1000))*1000</f>
        <v>0.808166863636363</v>
      </c>
      <c r="Q162" s="3"/>
      <c r="R162" s="1"/>
      <c r="S162" s="1"/>
      <c r="T162" s="1"/>
      <c r="U162" s="1"/>
      <c r="V162" s="1"/>
      <c r="W162" s="1"/>
      <c r="X162" s="1"/>
      <c r="Y162" s="5"/>
      <c r="Z162" s="1"/>
    </row>
    <row r="163" customFormat="false" ht="15" hidden="false" customHeight="false" outlineLevel="0" collapsed="false">
      <c r="A163" s="0" t="s">
        <v>65</v>
      </c>
      <c r="B163" s="0" t="s">
        <v>66</v>
      </c>
      <c r="C163" s="0" t="s">
        <v>56</v>
      </c>
      <c r="D163" s="0" t="s">
        <v>130</v>
      </c>
      <c r="E163" s="0" t="n">
        <v>4</v>
      </c>
      <c r="F163" s="0" t="n">
        <v>3</v>
      </c>
      <c r="G163" s="1"/>
      <c r="H163" s="1"/>
      <c r="I163" s="0" t="n">
        <v>60.3</v>
      </c>
      <c r="J163" s="0" t="n">
        <f aca="false">(I163/55)*5</f>
        <v>5.48181818181818</v>
      </c>
      <c r="L163" s="0" t="n">
        <v>22</v>
      </c>
      <c r="M163" s="0" t="n">
        <v>0</v>
      </c>
      <c r="N163" s="0" t="n">
        <f aca="false">L163</f>
        <v>22</v>
      </c>
      <c r="O163" s="3" t="n">
        <v>1.0899</v>
      </c>
      <c r="P163" s="3" t="n">
        <f aca="false">(O163*(N163/100)*(J163/1000))*1000</f>
        <v>1.3144194</v>
      </c>
      <c r="Q163" s="3"/>
      <c r="R163" s="1"/>
      <c r="S163" s="1"/>
      <c r="T163" s="1"/>
      <c r="U163" s="1"/>
      <c r="V163" s="1"/>
      <c r="W163" s="1"/>
      <c r="X163" s="1"/>
      <c r="Y163" s="5"/>
      <c r="Z163" s="1"/>
    </row>
    <row r="164" customFormat="false" ht="15" hidden="false" customHeight="false" outlineLevel="0" collapsed="false">
      <c r="A164" s="0" t="s">
        <v>67</v>
      </c>
      <c r="B164" s="0" t="s">
        <v>68</v>
      </c>
      <c r="C164" s="0" t="s">
        <v>56</v>
      </c>
      <c r="D164" s="0" t="s">
        <v>130</v>
      </c>
      <c r="E164" s="0" t="n">
        <v>4</v>
      </c>
      <c r="F164" s="0" t="n">
        <v>1</v>
      </c>
      <c r="G164" s="1"/>
      <c r="H164" s="1"/>
      <c r="I164" s="0" t="n">
        <v>43.7</v>
      </c>
      <c r="J164" s="0" t="n">
        <f aca="false">(I164/55)*5</f>
        <v>3.97272727272727</v>
      </c>
      <c r="L164" s="0" t="n">
        <v>22</v>
      </c>
      <c r="M164" s="0" t="n">
        <v>0</v>
      </c>
      <c r="N164" s="0" t="n">
        <f aca="false">L164</f>
        <v>22</v>
      </c>
      <c r="O164" s="3" t="n">
        <v>1.0899</v>
      </c>
      <c r="P164" s="3" t="n">
        <f aca="false">(O164*(N164/100)*(J164/1000))*1000</f>
        <v>0.9525726</v>
      </c>
      <c r="Q164" s="3"/>
      <c r="R164" s="1"/>
      <c r="S164" s="1"/>
      <c r="T164" s="1"/>
      <c r="U164" s="1"/>
      <c r="V164" s="1"/>
      <c r="W164" s="1"/>
      <c r="X164" s="1"/>
      <c r="Y164" s="5"/>
      <c r="Z164" s="1"/>
    </row>
    <row r="165" customFormat="false" ht="15" hidden="false" customHeight="false" outlineLevel="0" collapsed="false">
      <c r="A165" s="0" t="s">
        <v>69</v>
      </c>
      <c r="B165" s="0" t="s">
        <v>70</v>
      </c>
      <c r="C165" s="0" t="s">
        <v>56</v>
      </c>
      <c r="D165" s="0" t="s">
        <v>130</v>
      </c>
      <c r="E165" s="0" t="n">
        <v>4</v>
      </c>
      <c r="F165" s="0" t="n">
        <v>1</v>
      </c>
      <c r="G165" s="1"/>
      <c r="H165" s="1"/>
      <c r="I165" s="0" t="n">
        <v>46.4</v>
      </c>
      <c r="J165" s="0" t="n">
        <f aca="false">(I165/55)*5</f>
        <v>4.21818181818182</v>
      </c>
      <c r="L165" s="0" t="n">
        <v>24</v>
      </c>
      <c r="M165" s="0" t="n">
        <v>0</v>
      </c>
      <c r="N165" s="0" t="n">
        <f aca="false">L165</f>
        <v>24</v>
      </c>
      <c r="O165" s="3" t="n">
        <v>1.099</v>
      </c>
      <c r="P165" s="3" t="n">
        <f aca="false">(O165*(N165/100)*(J165/1000))*1000</f>
        <v>1.11258763636364</v>
      </c>
      <c r="Q165" s="3"/>
      <c r="R165" s="1"/>
      <c r="S165" s="1"/>
      <c r="T165" s="1"/>
      <c r="U165" s="1"/>
      <c r="V165" s="1"/>
      <c r="W165" s="1"/>
      <c r="X165" s="1"/>
      <c r="Y165" s="5"/>
      <c r="Z165" s="1"/>
    </row>
    <row r="166" customFormat="false" ht="15" hidden="false" customHeight="false" outlineLevel="0" collapsed="false">
      <c r="A166" s="0" t="s">
        <v>71</v>
      </c>
      <c r="B166" s="0" t="s">
        <v>72</v>
      </c>
      <c r="C166" s="0" t="s">
        <v>56</v>
      </c>
      <c r="D166" s="0" t="s">
        <v>130</v>
      </c>
      <c r="E166" s="0" t="n">
        <v>4</v>
      </c>
      <c r="F166" s="0" t="n">
        <v>1</v>
      </c>
      <c r="G166" s="1"/>
      <c r="H166" s="1"/>
      <c r="I166" s="0" t="n">
        <v>35.8</v>
      </c>
      <c r="J166" s="0" t="n">
        <f aca="false">(I166/55)*5</f>
        <v>3.25454545454545</v>
      </c>
      <c r="L166" s="0" t="n">
        <v>25.5</v>
      </c>
      <c r="M166" s="0" t="n">
        <v>0</v>
      </c>
      <c r="N166" s="0" t="n">
        <f aca="false">L166</f>
        <v>25.5</v>
      </c>
      <c r="O166" s="3" t="n">
        <v>1.105825</v>
      </c>
      <c r="P166" s="3" t="n">
        <f aca="false">(O166*(N166/100)*(J166/1000))*1000</f>
        <v>0.917734220454545</v>
      </c>
      <c r="Q166" s="3"/>
      <c r="R166" s="1"/>
      <c r="S166" s="1"/>
      <c r="T166" s="1"/>
      <c r="U166" s="1"/>
      <c r="V166" s="1"/>
      <c r="W166" s="1"/>
      <c r="X166" s="1"/>
      <c r="Y166" s="5"/>
      <c r="Z166" s="1"/>
    </row>
    <row r="167" customFormat="false" ht="15" hidden="false" customHeight="false" outlineLevel="0" collapsed="false">
      <c r="A167" s="0" t="s">
        <v>73</v>
      </c>
      <c r="B167" s="0" t="s">
        <v>74</v>
      </c>
      <c r="C167" s="0" t="s">
        <v>56</v>
      </c>
      <c r="D167" s="0" t="s">
        <v>130</v>
      </c>
      <c r="E167" s="0" t="n">
        <v>4</v>
      </c>
      <c r="F167" s="0" t="n">
        <v>2</v>
      </c>
      <c r="G167" s="1"/>
      <c r="H167" s="1"/>
      <c r="I167" s="0" t="n">
        <v>65</v>
      </c>
      <c r="J167" s="0" t="n">
        <f aca="false">(I167/55)*5</f>
        <v>5.90909090909091</v>
      </c>
      <c r="L167" s="0" t="n">
        <v>21</v>
      </c>
      <c r="M167" s="0" t="n">
        <v>0</v>
      </c>
      <c r="N167" s="0" t="n">
        <f aca="false">L167</f>
        <v>21</v>
      </c>
      <c r="O167" s="3" t="n">
        <v>1.08545</v>
      </c>
      <c r="P167" s="3" t="n">
        <f aca="false">(O167*(N167/100)*(J167/1000))*1000</f>
        <v>1.34694477272727</v>
      </c>
      <c r="Q167" s="3"/>
      <c r="R167" s="1"/>
      <c r="S167" s="1"/>
      <c r="T167" s="1"/>
      <c r="U167" s="1"/>
      <c r="V167" s="1"/>
      <c r="W167" s="1"/>
      <c r="X167" s="1"/>
      <c r="Y167" s="5"/>
      <c r="Z167" s="1"/>
    </row>
    <row r="168" customFormat="false" ht="15" hidden="false" customHeight="false" outlineLevel="0" collapsed="false">
      <c r="A168" s="0" t="s">
        <v>75</v>
      </c>
      <c r="B168" s="0" t="s">
        <v>76</v>
      </c>
      <c r="C168" s="0" t="s">
        <v>56</v>
      </c>
      <c r="D168" s="0" t="s">
        <v>130</v>
      </c>
      <c r="E168" s="0" t="n">
        <v>4</v>
      </c>
      <c r="F168" s="0" t="n">
        <v>2</v>
      </c>
      <c r="G168" s="1"/>
      <c r="H168" s="1"/>
      <c r="I168" s="0" t="n">
        <f aca="false">54.8+58.7</f>
        <v>113.5</v>
      </c>
      <c r="J168" s="0" t="n">
        <f aca="false">(I168/55)*5</f>
        <v>10.3181818181818</v>
      </c>
      <c r="L168" s="0" t="n">
        <v>21</v>
      </c>
      <c r="M168" s="0" t="n">
        <v>0</v>
      </c>
      <c r="N168" s="0" t="n">
        <f aca="false">L168</f>
        <v>21</v>
      </c>
      <c r="O168" s="3" t="n">
        <v>1.08545</v>
      </c>
      <c r="P168" s="3" t="n">
        <f aca="false">(O168*(N168/100)*(J168/1000))*1000</f>
        <v>2.35197279545454</v>
      </c>
      <c r="Q168" s="3"/>
      <c r="R168" s="1"/>
      <c r="S168" s="1"/>
      <c r="T168" s="1"/>
      <c r="U168" s="1"/>
      <c r="V168" s="1"/>
      <c r="W168" s="1"/>
      <c r="X168" s="1"/>
      <c r="Y168" s="5"/>
      <c r="Z168" s="1"/>
    </row>
    <row r="169" customFormat="false" ht="15" hidden="false" customHeight="false" outlineLevel="0" collapsed="false">
      <c r="A169" s="0" t="s">
        <v>77</v>
      </c>
      <c r="B169" s="0" t="s">
        <v>78</v>
      </c>
      <c r="C169" s="0" t="s">
        <v>56</v>
      </c>
      <c r="D169" s="0" t="s">
        <v>130</v>
      </c>
      <c r="E169" s="0" t="n">
        <v>4</v>
      </c>
      <c r="F169" s="0" t="n">
        <v>1</v>
      </c>
      <c r="G169" s="1"/>
      <c r="H169" s="1"/>
      <c r="I169" s="0" t="n">
        <f aca="false">53+44</f>
        <v>97</v>
      </c>
      <c r="J169" s="0" t="n">
        <f aca="false">(I169/55)*5</f>
        <v>8.81818181818182</v>
      </c>
      <c r="L169" s="0" t="n">
        <v>20</v>
      </c>
      <c r="M169" s="0" t="n">
        <v>0</v>
      </c>
      <c r="N169" s="0" t="n">
        <f aca="false">L169</f>
        <v>20</v>
      </c>
      <c r="O169" s="3" t="n">
        <v>1.081</v>
      </c>
      <c r="P169" s="3" t="n">
        <f aca="false">(O169*(N169/100)*(J169/1000))*1000</f>
        <v>1.90649090909091</v>
      </c>
      <c r="Q169" s="3"/>
      <c r="R169" s="1"/>
      <c r="S169" s="1"/>
      <c r="T169" s="1"/>
      <c r="U169" s="1"/>
      <c r="V169" s="1"/>
      <c r="W169" s="1"/>
      <c r="X169" s="1"/>
      <c r="Y169" s="5"/>
      <c r="Z169" s="1"/>
    </row>
    <row r="170" customFormat="false" ht="15" hidden="false" customHeight="false" outlineLevel="0" collapsed="false">
      <c r="A170" s="0" t="s">
        <v>79</v>
      </c>
      <c r="B170" s="0" t="s">
        <v>80</v>
      </c>
      <c r="C170" s="0" t="s">
        <v>81</v>
      </c>
      <c r="D170" s="0" t="s">
        <v>130</v>
      </c>
      <c r="E170" s="0" t="n">
        <v>4</v>
      </c>
      <c r="F170" s="0" t="n">
        <v>1</v>
      </c>
      <c r="G170" s="1"/>
      <c r="H170" s="1"/>
      <c r="I170" s="0" t="n">
        <v>58.2</v>
      </c>
      <c r="J170" s="0" t="n">
        <f aca="false">(I170/55)*5</f>
        <v>5.29090909090909</v>
      </c>
      <c r="L170" s="0" t="n">
        <v>19</v>
      </c>
      <c r="M170" s="0" t="n">
        <v>0</v>
      </c>
      <c r="N170" s="0" t="n">
        <f aca="false">L170</f>
        <v>19</v>
      </c>
      <c r="O170" s="3" t="n">
        <v>1.0765</v>
      </c>
      <c r="P170" s="3" t="n">
        <f aca="false">(O170*(N170/100)*(J170/1000))*1000</f>
        <v>1.08217609090909</v>
      </c>
      <c r="Q170" s="3"/>
      <c r="R170" s="0" t="n">
        <v>3</v>
      </c>
      <c r="S170" s="0" t="n">
        <v>10.4</v>
      </c>
      <c r="T170" s="0" t="n">
        <f aca="false">(S170/55)*5</f>
        <v>0.945454545454545</v>
      </c>
      <c r="V170" s="0" t="n">
        <v>10</v>
      </c>
      <c r="W170" s="0" t="n">
        <v>4</v>
      </c>
      <c r="X170" s="0" t="n">
        <v>1.0381</v>
      </c>
      <c r="Y170" s="2" t="n">
        <f aca="false">(V170*((W170+T170)/1000)*X170)/((((W170+T170)/1000)*X170)-((W170/1000)*0.9982))</f>
        <v>44.9915231551709</v>
      </c>
      <c r="Z170" s="3" t="n">
        <f aca="false">X170*(V170/100)*((W170+T170)/1000)*1000</f>
        <v>0.513387636363636</v>
      </c>
    </row>
    <row r="171" customFormat="false" ht="15" hidden="false" customHeight="false" outlineLevel="0" collapsed="false">
      <c r="A171" s="0" t="s">
        <v>82</v>
      </c>
      <c r="B171" s="0" t="s">
        <v>83</v>
      </c>
      <c r="C171" s="0" t="s">
        <v>81</v>
      </c>
      <c r="D171" s="0" t="s">
        <v>130</v>
      </c>
      <c r="E171" s="0" t="n">
        <v>4</v>
      </c>
      <c r="F171" s="0" t="n">
        <v>1</v>
      </c>
      <c r="G171" s="1"/>
      <c r="H171" s="1"/>
      <c r="I171" s="0" t="n">
        <v>29</v>
      </c>
      <c r="J171" s="0" t="n">
        <f aca="false">(I171/55)*5</f>
        <v>2.63636363636364</v>
      </c>
      <c r="L171" s="0" t="n">
        <v>20.5</v>
      </c>
      <c r="M171" s="0" t="n">
        <v>0</v>
      </c>
      <c r="N171" s="0" t="n">
        <f aca="false">L171</f>
        <v>20.5</v>
      </c>
      <c r="O171" s="3" t="n">
        <v>1.083225</v>
      </c>
      <c r="P171" s="3" t="n">
        <f aca="false">(O171*(N171/100)*(J171/1000))*1000</f>
        <v>0.585433875</v>
      </c>
      <c r="Q171" s="3"/>
      <c r="R171" s="0" t="n">
        <v>4</v>
      </c>
      <c r="S171" s="0" t="n">
        <v>9.6</v>
      </c>
      <c r="T171" s="0" t="n">
        <f aca="false">(S171/55)*5</f>
        <v>0.872727272727273</v>
      </c>
      <c r="V171" s="0" t="n">
        <v>9</v>
      </c>
      <c r="W171" s="0" t="n">
        <v>4</v>
      </c>
      <c r="X171" s="0" t="n">
        <f aca="false">(93.1+941)/1000</f>
        <v>1.0341</v>
      </c>
      <c r="Y171" s="2" t="n">
        <f aca="false">(V171*((W171+T171)/1000)*X171)/((((W171+T171)/1000)*X171)-((W171/1000)*0.9982))</f>
        <v>43.3520095663842</v>
      </c>
      <c r="Z171" s="3" t="n">
        <f aca="false">X171*(V171/100)*((W171+T171)/1000)*1000</f>
        <v>0.453499854545455</v>
      </c>
    </row>
    <row r="172" customFormat="false" ht="15" hidden="false" customHeight="false" outlineLevel="0" collapsed="false">
      <c r="A172" s="0" t="s">
        <v>84</v>
      </c>
      <c r="B172" s="0" t="s">
        <v>85</v>
      </c>
      <c r="C172" s="0" t="s">
        <v>81</v>
      </c>
      <c r="D172" s="0" t="s">
        <v>130</v>
      </c>
      <c r="E172" s="0" t="n">
        <v>4</v>
      </c>
      <c r="F172" s="0" t="n">
        <v>2</v>
      </c>
      <c r="G172" s="1"/>
      <c r="H172" s="1"/>
      <c r="I172" s="0" t="n">
        <v>58.6</v>
      </c>
      <c r="J172" s="0" t="n">
        <f aca="false">(I172/55)*5</f>
        <v>5.32727272727273</v>
      </c>
      <c r="L172" s="0" t="n">
        <v>21.5</v>
      </c>
      <c r="M172" s="0" t="n">
        <v>0</v>
      </c>
      <c r="N172" s="0" t="n">
        <f aca="false">L172</f>
        <v>21.5</v>
      </c>
      <c r="O172" s="3" t="n">
        <v>1.087675</v>
      </c>
      <c r="P172" s="3" t="n">
        <f aca="false">(O172*(N172/100)*(J172/1000))*1000</f>
        <v>1.24578339318182</v>
      </c>
      <c r="Q172" s="3"/>
      <c r="R172" s="0" t="n">
        <v>4</v>
      </c>
      <c r="S172" s="0" t="n">
        <v>17.4</v>
      </c>
      <c r="T172" s="0" t="n">
        <f aca="false">(S172/55)*5</f>
        <v>1.58181818181818</v>
      </c>
      <c r="V172" s="0" t="n">
        <v>16</v>
      </c>
      <c r="W172" s="0" t="n">
        <v>4</v>
      </c>
      <c r="X172" s="3" t="n">
        <v>1.0635</v>
      </c>
      <c r="Y172" s="2" t="n">
        <f aca="false">(V172*((W172+T172)/1000)*X172)/((((W172+T172)/1000)*X172)-((W172/1000)*0.9982))</f>
        <v>48.8716209578962</v>
      </c>
      <c r="Z172" s="3" t="n">
        <f aca="false">X172*(V172/100)*((W172+T172)/1000)*1000</f>
        <v>0.949802181818182</v>
      </c>
    </row>
    <row r="173" customFormat="false" ht="15" hidden="false" customHeight="false" outlineLevel="0" collapsed="false">
      <c r="A173" s="0" t="s">
        <v>86</v>
      </c>
      <c r="B173" s="0" t="s">
        <v>87</v>
      </c>
      <c r="C173" s="0" t="s">
        <v>81</v>
      </c>
      <c r="D173" s="0" t="s">
        <v>130</v>
      </c>
      <c r="E173" s="0" t="n">
        <v>4</v>
      </c>
      <c r="F173" s="0" t="n">
        <v>0</v>
      </c>
      <c r="G173" s="1"/>
      <c r="H173" s="1"/>
      <c r="I173" s="0" t="n">
        <v>0</v>
      </c>
      <c r="J173" s="0" t="n">
        <f aca="false">(I173/55)*5</f>
        <v>0</v>
      </c>
      <c r="L173" s="0" t="n">
        <v>0</v>
      </c>
      <c r="M173" s="0" t="n">
        <v>0</v>
      </c>
      <c r="N173" s="0" t="n">
        <f aca="false">L173</f>
        <v>0</v>
      </c>
      <c r="O173" s="3" t="n">
        <v>0</v>
      </c>
      <c r="P173" s="3" t="n">
        <f aca="false">(O173*(N173/100)*(J173/1000))*1000</f>
        <v>0</v>
      </c>
      <c r="Q173" s="3"/>
      <c r="R173" s="0" t="n">
        <v>0</v>
      </c>
      <c r="S173" s="0" t="n">
        <v>0</v>
      </c>
      <c r="T173" s="0" t="n">
        <f aca="false">(S173/55)*5</f>
        <v>0</v>
      </c>
      <c r="V173" s="0" t="n">
        <v>0</v>
      </c>
      <c r="W173" s="0" t="n">
        <v>0</v>
      </c>
      <c r="X173" s="3" t="n">
        <v>0</v>
      </c>
      <c r="Y173" s="2" t="n">
        <v>0</v>
      </c>
      <c r="Z173" s="3" t="n">
        <f aca="false">X173*(V173/100)*((W173+T173)/1000)*1000</f>
        <v>0</v>
      </c>
    </row>
    <row r="174" customFormat="false" ht="15" hidden="false" customHeight="false" outlineLevel="0" collapsed="false">
      <c r="A174" s="0" t="s">
        <v>88</v>
      </c>
      <c r="B174" s="0" t="s">
        <v>89</v>
      </c>
      <c r="C174" s="0" t="s">
        <v>81</v>
      </c>
      <c r="D174" s="0" t="s">
        <v>130</v>
      </c>
      <c r="E174" s="0" t="n">
        <v>4</v>
      </c>
      <c r="F174" s="0" t="n">
        <v>2</v>
      </c>
      <c r="G174" s="1"/>
      <c r="H174" s="1"/>
      <c r="I174" s="0" t="n">
        <f aca="false">55.6+66.5</f>
        <v>122.1</v>
      </c>
      <c r="J174" s="0" t="n">
        <f aca="false">(I174/55)*5</f>
        <v>11.1</v>
      </c>
      <c r="L174" s="0" t="n">
        <v>22.5</v>
      </c>
      <c r="M174" s="0" t="n">
        <v>0</v>
      </c>
      <c r="N174" s="0" t="n">
        <f aca="false">L174</f>
        <v>22.5</v>
      </c>
      <c r="O174" s="3" t="n">
        <v>1.092175</v>
      </c>
      <c r="P174" s="3" t="n">
        <f aca="false">(O174*(N174/100)*(J174/1000))*1000</f>
        <v>2.7277070625</v>
      </c>
      <c r="Q174" s="3"/>
      <c r="R174" s="0" t="n">
        <v>3</v>
      </c>
      <c r="S174" s="0" t="n">
        <v>13.6</v>
      </c>
      <c r="T174" s="0" t="n">
        <f aca="false">(S174/55)*5</f>
        <v>1.23636363636364</v>
      </c>
      <c r="V174" s="0" t="n">
        <v>13</v>
      </c>
      <c r="W174" s="0" t="n">
        <v>4</v>
      </c>
      <c r="X174" s="3" t="n">
        <v>1.0507</v>
      </c>
      <c r="Y174" s="2" t="n">
        <f aca="false">(V174*((W174+T174)/1000)*X174)/((((W174+T174)/1000)*X174)-((W174/1000)*0.9982))</f>
        <v>47.3968018352338</v>
      </c>
      <c r="Z174" s="3" t="n">
        <f aca="false">X174*(V174/100)*((W174+T174)/1000)*1000</f>
        <v>0.715240145454545</v>
      </c>
    </row>
    <row r="175" customFormat="false" ht="15" hidden="false" customHeight="false" outlineLevel="0" collapsed="false">
      <c r="A175" s="0" t="s">
        <v>90</v>
      </c>
      <c r="B175" s="0" t="s">
        <v>91</v>
      </c>
      <c r="C175" s="0" t="s">
        <v>81</v>
      </c>
      <c r="D175" s="0" t="s">
        <v>130</v>
      </c>
      <c r="E175" s="0" t="n">
        <v>4</v>
      </c>
      <c r="F175" s="0" t="n">
        <v>2</v>
      </c>
      <c r="G175" s="1"/>
      <c r="H175" s="1"/>
      <c r="I175" s="0" t="n">
        <v>49.9</v>
      </c>
      <c r="J175" s="0" t="n">
        <f aca="false">(I175/55)*5</f>
        <v>4.53636363636364</v>
      </c>
      <c r="L175" s="0" t="n">
        <v>20</v>
      </c>
      <c r="M175" s="0" t="n">
        <v>0</v>
      </c>
      <c r="N175" s="0" t="n">
        <f aca="false">L175</f>
        <v>20</v>
      </c>
      <c r="O175" s="3" t="n">
        <v>1.081</v>
      </c>
      <c r="P175" s="3" t="n">
        <f aca="false">(O175*(N175/100)*(J175/1000))*1000</f>
        <v>0.980761818181818</v>
      </c>
      <c r="Q175" s="3"/>
      <c r="R175" s="0" t="n">
        <v>3</v>
      </c>
      <c r="S175" s="0" t="n">
        <v>10.8</v>
      </c>
      <c r="T175" s="0" t="n">
        <f aca="false">(S175/55)*5</f>
        <v>0.981818181818182</v>
      </c>
      <c r="V175" s="0" t="n">
        <v>9.5</v>
      </c>
      <c r="W175" s="0" t="n">
        <v>4</v>
      </c>
      <c r="X175" s="3" t="n">
        <v>1.0361</v>
      </c>
      <c r="Y175" s="2" t="n">
        <f aca="false">(V175*((W175+T175)/1000)*X175)/((((W175+T175)/1000)*X175)-((W175/1000)*0.9982))</f>
        <v>41.9517401543693</v>
      </c>
      <c r="Z175" s="3" t="n">
        <f aca="false">X175*(V175/100)*((W175+T175)/1000)*1000</f>
        <v>0.490357872727273</v>
      </c>
    </row>
    <row r="176" customFormat="false" ht="15" hidden="false" customHeight="false" outlineLevel="0" collapsed="false">
      <c r="A176" s="0" t="s">
        <v>92</v>
      </c>
      <c r="B176" s="0" t="s">
        <v>93</v>
      </c>
      <c r="C176" s="0" t="s">
        <v>81</v>
      </c>
      <c r="D176" s="0" t="s">
        <v>130</v>
      </c>
      <c r="E176" s="0" t="n">
        <v>4</v>
      </c>
      <c r="F176" s="0" t="n">
        <v>0</v>
      </c>
      <c r="G176" s="1"/>
      <c r="H176" s="1"/>
      <c r="I176" s="0" t="n">
        <v>0</v>
      </c>
      <c r="J176" s="0" t="n">
        <f aca="false">(I176/55)*5</f>
        <v>0</v>
      </c>
      <c r="L176" s="0" t="n">
        <v>0</v>
      </c>
      <c r="M176" s="0" t="n">
        <v>0</v>
      </c>
      <c r="N176" s="0" t="n">
        <f aca="false">L176</f>
        <v>0</v>
      </c>
      <c r="O176" s="3" t="n">
        <v>0</v>
      </c>
      <c r="P176" s="3" t="n">
        <f aca="false">(O176*(N176/100)*(J176/1000))*1000</f>
        <v>0</v>
      </c>
      <c r="Q176" s="3"/>
      <c r="R176" s="0" t="n">
        <v>1</v>
      </c>
      <c r="S176" s="0" t="n">
        <v>2.6</v>
      </c>
      <c r="T176" s="0" t="n">
        <f aca="false">(S176/55)*5</f>
        <v>0.236363636363636</v>
      </c>
      <c r="V176" s="0" t="n">
        <v>4.5</v>
      </c>
      <c r="W176" s="0" t="n">
        <v>2</v>
      </c>
      <c r="X176" s="3" t="n">
        <v>1.0159</v>
      </c>
      <c r="Y176" s="2" t="n">
        <f aca="false">(V176*((W176+T176)/1000)*X176)/((((W176+T176)/1000)*X176)-((W176/1000)*0.9982))</f>
        <v>37.1064921438329</v>
      </c>
      <c r="Z176" s="3" t="n">
        <f aca="false">X176*(V176/100)*((W176+T176)/1000)*1000</f>
        <v>0.102236481818182</v>
      </c>
    </row>
    <row r="177" customFormat="false" ht="15" hidden="false" customHeight="false" outlineLevel="0" collapsed="false">
      <c r="A177" s="0" t="s">
        <v>94</v>
      </c>
      <c r="B177" s="0" t="s">
        <v>95</v>
      </c>
      <c r="C177" s="0" t="s">
        <v>81</v>
      </c>
      <c r="D177" s="0" t="s">
        <v>130</v>
      </c>
      <c r="E177" s="0" t="n">
        <v>4</v>
      </c>
      <c r="F177" s="0" t="n">
        <v>2</v>
      </c>
      <c r="G177" s="1"/>
      <c r="H177" s="1"/>
      <c r="I177" s="0" t="n">
        <f aca="false">39+82.4</f>
        <v>121.4</v>
      </c>
      <c r="J177" s="0" t="n">
        <f aca="false">(I177/55)*5</f>
        <v>11.0363636363636</v>
      </c>
      <c r="L177" s="0" t="n">
        <v>21.5</v>
      </c>
      <c r="M177" s="0" t="n">
        <v>0</v>
      </c>
      <c r="N177" s="0" t="n">
        <f aca="false">L177</f>
        <v>21.5</v>
      </c>
      <c r="O177" s="3" t="n">
        <v>1.087675</v>
      </c>
      <c r="P177" s="3" t="n">
        <f aca="false">(O177*(N177/100)*(J177/1000))*1000</f>
        <v>2.58085501590909</v>
      </c>
      <c r="Q177" s="3"/>
      <c r="R177" s="0" t="n">
        <v>2</v>
      </c>
      <c r="S177" s="0" t="n">
        <v>17.8</v>
      </c>
      <c r="T177" s="0" t="n">
        <f aca="false">(S177/55)*5</f>
        <v>1.61818181818182</v>
      </c>
      <c r="V177" s="0" t="n">
        <v>12</v>
      </c>
      <c r="W177" s="0" t="n">
        <v>4</v>
      </c>
      <c r="X177" s="3" t="n">
        <v>1.0465</v>
      </c>
      <c r="Y177" s="2" t="n">
        <f aca="false">(V177*((W177+T177)/1000)*X177)/((((W177+T177)/1000)*X177)-((W177/1000)*0.9982))</f>
        <v>37.3964313421257</v>
      </c>
      <c r="Z177" s="3" t="n">
        <f aca="false">X177*(V177/100)*((W177+T177)/1000)*1000</f>
        <v>0.705531272727273</v>
      </c>
    </row>
    <row r="178" customFormat="false" ht="15" hidden="false" customHeight="false" outlineLevel="0" collapsed="false">
      <c r="A178" s="0" t="s">
        <v>96</v>
      </c>
      <c r="B178" s="0" t="s">
        <v>97</v>
      </c>
      <c r="C178" s="0" t="s">
        <v>81</v>
      </c>
      <c r="D178" s="0" t="s">
        <v>130</v>
      </c>
      <c r="E178" s="0" t="n">
        <v>4</v>
      </c>
      <c r="F178" s="0" t="n">
        <v>0</v>
      </c>
      <c r="G178" s="1"/>
      <c r="H178" s="1"/>
      <c r="I178" s="0" t="n">
        <v>0</v>
      </c>
      <c r="J178" s="0" t="n">
        <f aca="false">(I178/55)*5</f>
        <v>0</v>
      </c>
      <c r="L178" s="0" t="n">
        <v>0</v>
      </c>
      <c r="M178" s="0" t="n">
        <v>0</v>
      </c>
      <c r="N178" s="0" t="n">
        <f aca="false">L178</f>
        <v>0</v>
      </c>
      <c r="O178" s="3" t="n">
        <v>0</v>
      </c>
      <c r="P178" s="3" t="n">
        <f aca="false">(O178*(N178/100)*(J178/1000))*1000</f>
        <v>0</v>
      </c>
      <c r="Q178" s="3"/>
      <c r="R178" s="0" t="n">
        <v>1</v>
      </c>
      <c r="S178" s="0" t="n">
        <v>6.4</v>
      </c>
      <c r="T178" s="0" t="n">
        <f aca="false">(S178/55)*5</f>
        <v>0.581818181818182</v>
      </c>
      <c r="V178" s="0" t="n">
        <v>8.5</v>
      </c>
      <c r="W178" s="0" t="n">
        <v>4</v>
      </c>
      <c r="X178" s="3" t="n">
        <v>1.032</v>
      </c>
      <c r="Y178" s="2" t="n">
        <f aca="false">(V178*((W178+T178)/1000)*X178)/((((W178+T178)/1000)*X178)-((W178/1000)*0.9982))</f>
        <v>54.6352941176471</v>
      </c>
      <c r="Z178" s="3" t="n">
        <f aca="false">X178*(V178/100)*((W178+T178)/1000)*1000</f>
        <v>0.401917090909091</v>
      </c>
    </row>
    <row r="179" customFormat="false" ht="15" hidden="false" customHeight="false" outlineLevel="0" collapsed="false">
      <c r="A179" s="0" t="s">
        <v>98</v>
      </c>
      <c r="B179" s="0" t="s">
        <v>99</v>
      </c>
      <c r="C179" s="0" t="s">
        <v>81</v>
      </c>
      <c r="D179" s="0" t="s">
        <v>130</v>
      </c>
      <c r="E179" s="0" t="n">
        <v>4</v>
      </c>
      <c r="F179" s="0" t="n">
        <v>0</v>
      </c>
      <c r="G179" s="1"/>
      <c r="H179" s="1"/>
      <c r="I179" s="0" t="n">
        <v>0</v>
      </c>
      <c r="J179" s="0" t="n">
        <f aca="false">(I179/55)*5</f>
        <v>0</v>
      </c>
      <c r="L179" s="0" t="n">
        <v>0</v>
      </c>
      <c r="M179" s="0" t="n">
        <v>0</v>
      </c>
      <c r="N179" s="0" t="n">
        <f aca="false">L179</f>
        <v>0</v>
      </c>
      <c r="O179" s="3" t="n">
        <v>0</v>
      </c>
      <c r="P179" s="3" t="n">
        <f aca="false">(O179*(N179/100)*(J179/1000))*1000</f>
        <v>0</v>
      </c>
      <c r="Q179" s="3"/>
      <c r="R179" s="0" t="n">
        <v>1</v>
      </c>
      <c r="S179" s="0" t="n">
        <v>2.3</v>
      </c>
      <c r="T179" s="0" t="n">
        <f aca="false">(S179/55)*5</f>
        <v>0.209090909090909</v>
      </c>
      <c r="V179" s="0" t="n">
        <v>5.5</v>
      </c>
      <c r="W179" s="0" t="n">
        <v>2</v>
      </c>
      <c r="X179" s="3" t="n">
        <v>1.01985</v>
      </c>
      <c r="Y179" s="2" t="n">
        <f aca="false">(V179*((W179+T179)/1000)*X179)/((((W179+T179)/1000)*X179)-((W179/1000)*0.9982))</f>
        <v>48.300895124125</v>
      </c>
      <c r="Z179" s="3" t="n">
        <f aca="false">X179*(V179/100)*((W179+T179)/1000)*1000</f>
        <v>0.123911775</v>
      </c>
    </row>
    <row r="180" customFormat="false" ht="15" hidden="false" customHeight="false" outlineLevel="0" collapsed="false">
      <c r="A180" s="0" t="s">
        <v>100</v>
      </c>
      <c r="B180" s="0" t="s">
        <v>101</v>
      </c>
      <c r="C180" s="0" t="s">
        <v>81</v>
      </c>
      <c r="D180" s="0" t="s">
        <v>130</v>
      </c>
      <c r="E180" s="0" t="n">
        <v>4</v>
      </c>
      <c r="F180" s="0" t="n">
        <v>1</v>
      </c>
      <c r="G180" s="1"/>
      <c r="H180" s="1"/>
      <c r="I180" s="0" t="n">
        <v>51.2</v>
      </c>
      <c r="J180" s="0" t="n">
        <f aca="false">(I180/55)*5</f>
        <v>4.65454545454545</v>
      </c>
      <c r="L180" s="0" t="n">
        <v>22.5</v>
      </c>
      <c r="M180" s="0" t="n">
        <v>0</v>
      </c>
      <c r="N180" s="0" t="n">
        <f aca="false">L180</f>
        <v>22.5</v>
      </c>
      <c r="O180" s="3" t="n">
        <v>1.092175</v>
      </c>
      <c r="P180" s="3" t="n">
        <f aca="false">(O180*(N180/100)*(J180/1000))*1000</f>
        <v>1.14380509090909</v>
      </c>
      <c r="Q180" s="3"/>
      <c r="R180" s="0" t="n">
        <v>3</v>
      </c>
      <c r="S180" s="0" t="n">
        <v>14.1</v>
      </c>
      <c r="T180" s="0" t="n">
        <f aca="false">(S180/55)*5</f>
        <v>1.28181818181818</v>
      </c>
      <c r="V180" s="0" t="n">
        <v>18</v>
      </c>
      <c r="W180" s="0" t="n">
        <v>4</v>
      </c>
      <c r="X180" s="3" t="n">
        <v>1.0722</v>
      </c>
      <c r="Y180" s="2" t="n">
        <f aca="false">(V180*((W180+T180)/1000)*X180)/((((W180+T180)/1000)*X180)-((W180/1000)*0.9982))</f>
        <v>61.0267519029587</v>
      </c>
      <c r="Z180" s="3" t="n">
        <f aca="false">X180*(V180/100)*((W180+T180)/1000)*1000</f>
        <v>1.01936978181818</v>
      </c>
    </row>
    <row r="181" customFormat="false" ht="15" hidden="false" customHeight="false" outlineLevel="0" collapsed="false">
      <c r="A181" s="0" t="s">
        <v>102</v>
      </c>
      <c r="B181" s="0" t="s">
        <v>103</v>
      </c>
      <c r="C181" s="0" t="s">
        <v>81</v>
      </c>
      <c r="D181" s="0" t="s">
        <v>130</v>
      </c>
      <c r="E181" s="0" t="n">
        <v>4</v>
      </c>
      <c r="F181" s="0" t="n">
        <v>1</v>
      </c>
      <c r="G181" s="1"/>
      <c r="H181" s="1"/>
      <c r="I181" s="0" t="n">
        <v>38.1</v>
      </c>
      <c r="J181" s="0" t="n">
        <f aca="false">(I181/55)*5</f>
        <v>3.46363636363636</v>
      </c>
      <c r="L181" s="0" t="n">
        <v>21</v>
      </c>
      <c r="M181" s="0" t="n">
        <v>0</v>
      </c>
      <c r="N181" s="0" t="n">
        <f aca="false">L181</f>
        <v>21</v>
      </c>
      <c r="O181" s="3" t="n">
        <v>1.08545</v>
      </c>
      <c r="P181" s="3" t="n">
        <f aca="false">(O181*(N181/100)*(J181/1000))*1000</f>
        <v>0.789516859090909</v>
      </c>
      <c r="Q181" s="3"/>
      <c r="R181" s="0" t="n">
        <v>1</v>
      </c>
      <c r="S181" s="0" t="n">
        <v>4.7</v>
      </c>
      <c r="T181" s="0" t="n">
        <f aca="false">(S181/55)*5</f>
        <v>0.427272727272727</v>
      </c>
      <c r="V181" s="0" t="n">
        <v>8</v>
      </c>
      <c r="W181" s="0" t="n">
        <v>2</v>
      </c>
      <c r="X181" s="3" t="n">
        <v>1.0299</v>
      </c>
      <c r="Y181" s="2" t="n">
        <f aca="false">(V181*((W181+T181)/1000)*X181)/((((W181+T181)/1000)*X181)-((W181/1000)*0.9982))</f>
        <v>39.723622364313</v>
      </c>
      <c r="Z181" s="3" t="n">
        <f aca="false">X181*(V181/100)*((W181+T181)/1000)*1000</f>
        <v>0.199987854545455</v>
      </c>
    </row>
    <row r="182" customFormat="false" ht="15" hidden="false" customHeight="false" outlineLevel="0" collapsed="false">
      <c r="A182" s="0" t="s">
        <v>104</v>
      </c>
      <c r="B182" s="0" t="s">
        <v>105</v>
      </c>
      <c r="C182" s="0" t="s">
        <v>106</v>
      </c>
      <c r="D182" s="0" t="s">
        <v>130</v>
      </c>
      <c r="E182" s="0" t="n">
        <v>4</v>
      </c>
      <c r="F182" s="0" t="n">
        <v>3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0" t="n">
        <v>4</v>
      </c>
      <c r="S182" s="1"/>
      <c r="T182" s="1"/>
      <c r="U182" s="1"/>
      <c r="V182" s="1"/>
      <c r="W182" s="1"/>
      <c r="X182" s="1"/>
      <c r="Y182" s="5"/>
      <c r="Z182" s="1"/>
    </row>
    <row r="183" customFormat="false" ht="15" hidden="false" customHeight="false" outlineLevel="0" collapsed="false">
      <c r="A183" s="0" t="s">
        <v>107</v>
      </c>
      <c r="B183" s="0" t="s">
        <v>37</v>
      </c>
      <c r="C183" s="0" t="s">
        <v>106</v>
      </c>
      <c r="D183" s="0" t="s">
        <v>130</v>
      </c>
      <c r="E183" s="0" t="n">
        <v>4</v>
      </c>
      <c r="F183" s="0" t="n">
        <v>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0" t="n">
        <v>3</v>
      </c>
      <c r="S183" s="1"/>
      <c r="T183" s="1"/>
      <c r="U183" s="1"/>
      <c r="V183" s="1"/>
      <c r="W183" s="1"/>
      <c r="X183" s="1"/>
      <c r="Y183" s="5"/>
      <c r="Z183" s="1"/>
    </row>
    <row r="184" customFormat="false" ht="15" hidden="false" customHeight="false" outlineLevel="0" collapsed="false">
      <c r="A184" s="0" t="s">
        <v>108</v>
      </c>
      <c r="B184" s="0" t="s">
        <v>109</v>
      </c>
      <c r="C184" s="0" t="s">
        <v>106</v>
      </c>
      <c r="D184" s="0" t="s">
        <v>130</v>
      </c>
      <c r="E184" s="0" t="n">
        <v>4</v>
      </c>
      <c r="F184" s="0" t="n">
        <v>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0" t="n">
        <v>7</v>
      </c>
      <c r="S184" s="1"/>
      <c r="T184" s="1"/>
      <c r="U184" s="1"/>
      <c r="V184" s="1"/>
      <c r="W184" s="1"/>
      <c r="X184" s="1"/>
      <c r="Y184" s="5"/>
      <c r="Z184" s="1"/>
    </row>
    <row r="185" customFormat="false" ht="15" hidden="false" customHeight="false" outlineLevel="0" collapsed="false">
      <c r="A185" s="0" t="s">
        <v>110</v>
      </c>
      <c r="B185" s="0" t="s">
        <v>111</v>
      </c>
      <c r="C185" s="0" t="s">
        <v>106</v>
      </c>
      <c r="D185" s="0" t="s">
        <v>130</v>
      </c>
      <c r="E185" s="0" t="n">
        <v>4</v>
      </c>
      <c r="F185" s="0" t="n">
        <v>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0" t="n">
        <v>4</v>
      </c>
      <c r="S185" s="1"/>
      <c r="T185" s="1"/>
      <c r="U185" s="1"/>
      <c r="V185" s="1"/>
      <c r="W185" s="1"/>
      <c r="X185" s="1"/>
      <c r="Y185" s="5"/>
      <c r="Z185" s="1"/>
    </row>
    <row r="186" customFormat="false" ht="15" hidden="false" customHeight="false" outlineLevel="0" collapsed="false">
      <c r="A186" s="0" t="s">
        <v>112</v>
      </c>
      <c r="B186" s="0" t="s">
        <v>113</v>
      </c>
      <c r="C186" s="0" t="s">
        <v>106</v>
      </c>
      <c r="D186" s="0" t="s">
        <v>130</v>
      </c>
      <c r="E186" s="0" t="n">
        <v>4</v>
      </c>
      <c r="F186" s="0" t="n"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0" t="n">
        <v>8</v>
      </c>
      <c r="S186" s="1"/>
      <c r="T186" s="1"/>
      <c r="U186" s="1"/>
      <c r="V186" s="1"/>
      <c r="W186" s="1"/>
      <c r="X186" s="1"/>
      <c r="Y186" s="5"/>
      <c r="Z186" s="1"/>
    </row>
    <row r="187" customFormat="false" ht="15" hidden="false" customHeight="false" outlineLevel="0" collapsed="false">
      <c r="A187" s="0" t="s">
        <v>114</v>
      </c>
      <c r="B187" s="0" t="s">
        <v>115</v>
      </c>
      <c r="C187" s="0" t="s">
        <v>106</v>
      </c>
      <c r="D187" s="0" t="s">
        <v>130</v>
      </c>
      <c r="E187" s="0" t="n">
        <v>4</v>
      </c>
      <c r="F187" s="0" t="n">
        <v>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0" t="n">
        <v>4</v>
      </c>
      <c r="S187" s="1"/>
      <c r="T187" s="1"/>
      <c r="U187" s="1"/>
      <c r="V187" s="1"/>
      <c r="W187" s="1"/>
      <c r="X187" s="1"/>
      <c r="Y187" s="5"/>
      <c r="Z187" s="1"/>
    </row>
    <row r="188" customFormat="false" ht="15" hidden="false" customHeight="false" outlineLevel="0" collapsed="false">
      <c r="A188" s="0" t="s">
        <v>116</v>
      </c>
      <c r="B188" s="0" t="s">
        <v>117</v>
      </c>
      <c r="C188" s="0" t="s">
        <v>106</v>
      </c>
      <c r="D188" s="0" t="s">
        <v>130</v>
      </c>
      <c r="E188" s="0" t="n">
        <v>4</v>
      </c>
      <c r="F188" s="0" t="n">
        <v>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0" t="n">
        <v>2</v>
      </c>
      <c r="S188" s="1"/>
      <c r="T188" s="1"/>
      <c r="U188" s="1"/>
      <c r="V188" s="1"/>
      <c r="W188" s="1"/>
      <c r="X188" s="1"/>
      <c r="Y188" s="5"/>
      <c r="Z188" s="1"/>
    </row>
    <row r="189" customFormat="false" ht="15" hidden="false" customHeight="false" outlineLevel="0" collapsed="false">
      <c r="A189" s="0" t="s">
        <v>118</v>
      </c>
      <c r="B189" s="0" t="s">
        <v>119</v>
      </c>
      <c r="C189" s="0" t="s">
        <v>106</v>
      </c>
      <c r="D189" s="0" t="s">
        <v>130</v>
      </c>
      <c r="E189" s="0" t="n">
        <v>4</v>
      </c>
      <c r="F189" s="0" t="n">
        <v>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0" t="n">
        <v>5</v>
      </c>
      <c r="S189" s="1"/>
      <c r="T189" s="1"/>
      <c r="U189" s="1"/>
      <c r="V189" s="1"/>
      <c r="W189" s="1"/>
      <c r="X189" s="1"/>
      <c r="Y189" s="5"/>
      <c r="Z189" s="1"/>
    </row>
    <row r="190" customFormat="false" ht="15" hidden="false" customHeight="false" outlineLevel="0" collapsed="false">
      <c r="A190" s="0" t="s">
        <v>120</v>
      </c>
      <c r="B190" s="0" t="s">
        <v>121</v>
      </c>
      <c r="C190" s="0" t="s">
        <v>106</v>
      </c>
      <c r="D190" s="0" t="s">
        <v>130</v>
      </c>
      <c r="E190" s="0" t="n">
        <v>4</v>
      </c>
      <c r="F190" s="0" t="n">
        <v>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0" t="n">
        <v>4</v>
      </c>
      <c r="S190" s="1"/>
      <c r="T190" s="1"/>
      <c r="U190" s="1"/>
      <c r="V190" s="1"/>
      <c r="W190" s="1"/>
      <c r="X190" s="1"/>
      <c r="Y190" s="5"/>
      <c r="Z190" s="1"/>
    </row>
    <row r="191" customFormat="false" ht="15" hidden="false" customHeight="false" outlineLevel="0" collapsed="false">
      <c r="A191" s="0" t="s">
        <v>122</v>
      </c>
      <c r="B191" s="0" t="s">
        <v>123</v>
      </c>
      <c r="C191" s="0" t="s">
        <v>106</v>
      </c>
      <c r="D191" s="0" t="s">
        <v>130</v>
      </c>
      <c r="E191" s="0" t="n">
        <v>4</v>
      </c>
      <c r="F191" s="0" t="n"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0" t="n">
        <v>3</v>
      </c>
      <c r="S191" s="1"/>
      <c r="T191" s="1"/>
      <c r="U191" s="1"/>
      <c r="V191" s="1"/>
      <c r="W191" s="1"/>
      <c r="X191" s="1"/>
      <c r="Y191" s="5"/>
      <c r="Z191" s="1"/>
    </row>
    <row r="192" customFormat="false" ht="15" hidden="false" customHeight="false" outlineLevel="0" collapsed="false">
      <c r="A192" s="0" t="s">
        <v>124</v>
      </c>
      <c r="B192" s="0" t="s">
        <v>125</v>
      </c>
      <c r="C192" s="0" t="s">
        <v>106</v>
      </c>
      <c r="D192" s="0" t="s">
        <v>130</v>
      </c>
      <c r="E192" s="0" t="n">
        <v>4</v>
      </c>
      <c r="F192" s="0" t="n">
        <v>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0" t="n">
        <v>3</v>
      </c>
      <c r="S192" s="1"/>
      <c r="T192" s="1"/>
      <c r="U192" s="1"/>
      <c r="V192" s="1"/>
      <c r="W192" s="1"/>
      <c r="X192" s="1"/>
      <c r="Y192" s="5"/>
      <c r="Z192" s="1"/>
    </row>
    <row r="193" customFormat="false" ht="15" hidden="false" customHeight="false" outlineLevel="0" collapsed="false">
      <c r="A193" s="0" t="s">
        <v>126</v>
      </c>
      <c r="B193" s="0" t="s">
        <v>127</v>
      </c>
      <c r="C193" s="0" t="s">
        <v>106</v>
      </c>
      <c r="D193" s="0" t="s">
        <v>130</v>
      </c>
      <c r="E193" s="0" t="n">
        <v>4</v>
      </c>
      <c r="F193" s="0" t="n"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0" t="n">
        <v>4</v>
      </c>
      <c r="S193" s="1"/>
      <c r="T193" s="1"/>
      <c r="U193" s="1"/>
      <c r="V193" s="1"/>
      <c r="W193" s="1"/>
      <c r="X193" s="1"/>
      <c r="Y193" s="5"/>
      <c r="Z193" s="1"/>
    </row>
    <row r="194" customFormat="false" ht="15" hidden="false" customHeight="false" outlineLevel="0" collapsed="false">
      <c r="A194" s="0" t="s">
        <v>26</v>
      </c>
      <c r="B194" s="0" t="s">
        <v>27</v>
      </c>
      <c r="C194" s="0" t="s">
        <v>28</v>
      </c>
      <c r="D194" s="0" t="s">
        <v>131</v>
      </c>
      <c r="E194" s="0" t="n">
        <v>5</v>
      </c>
      <c r="F194" s="0" t="n">
        <v>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0" t="n">
        <v>3</v>
      </c>
      <c r="S194" s="0" t="n">
        <v>20.3</v>
      </c>
      <c r="T194" s="0" t="n">
        <f aca="false">(S194/55)*5</f>
        <v>1.84545454545455</v>
      </c>
      <c r="V194" s="0" t="n">
        <v>15</v>
      </c>
      <c r="W194" s="0" t="n">
        <v>4</v>
      </c>
      <c r="X194" s="3" t="n">
        <v>1.0592</v>
      </c>
      <c r="Y194" s="2" t="n">
        <f aca="false">(V194*((W194+T194)/1000)*X194)/((((W194+T194)/1000)*X194)-((W194/1000)*0.9982))</f>
        <v>42.2396649929545</v>
      </c>
      <c r="Z194" s="3" t="n">
        <f aca="false">X194*(V194/100)*((W194+T194)/1000)*1000</f>
        <v>0.928725818181818</v>
      </c>
    </row>
    <row r="195" customFormat="false" ht="15" hidden="false" customHeight="false" outlineLevel="0" collapsed="false">
      <c r="A195" s="0" t="s">
        <v>32</v>
      </c>
      <c r="B195" s="0" t="s">
        <v>33</v>
      </c>
      <c r="C195" s="0" t="s">
        <v>28</v>
      </c>
      <c r="D195" s="0" t="s">
        <v>131</v>
      </c>
      <c r="E195" s="0" t="n">
        <v>5</v>
      </c>
      <c r="F195" s="0" t="n">
        <v>2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0" t="n">
        <v>6</v>
      </c>
      <c r="S195" s="0" t="n">
        <v>23</v>
      </c>
      <c r="T195" s="0" t="n">
        <f aca="false">(S195/55)*5</f>
        <v>2.09090909090909</v>
      </c>
      <c r="V195" s="0" t="n">
        <v>24</v>
      </c>
      <c r="W195" s="0" t="n">
        <v>4</v>
      </c>
      <c r="X195" s="3" t="n">
        <v>1.099</v>
      </c>
      <c r="Y195" s="2" t="n">
        <f aca="false">(V195*((W195+T195)/1000)*X195)/((((W195+T195)/1000)*X195)-((W195/1000)*0.9982))</f>
        <v>59.4769825189653</v>
      </c>
      <c r="Z195" s="3" t="n">
        <f aca="false">X195*(V195/100)*((W195+T195)/1000)*1000</f>
        <v>1.60653818181818</v>
      </c>
    </row>
    <row r="196" customFormat="false" ht="15" hidden="false" customHeight="false" outlineLevel="0" collapsed="false">
      <c r="A196" s="0" t="s">
        <v>34</v>
      </c>
      <c r="B196" s="0" t="s">
        <v>35</v>
      </c>
      <c r="C196" s="0" t="s">
        <v>28</v>
      </c>
      <c r="D196" s="0" t="s">
        <v>131</v>
      </c>
      <c r="E196" s="0" t="n">
        <v>5</v>
      </c>
      <c r="F196" s="0" t="n">
        <v>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0" t="n">
        <v>3</v>
      </c>
      <c r="S196" s="0" t="n">
        <v>9</v>
      </c>
      <c r="T196" s="0" t="n">
        <f aca="false">(S196/55)*5</f>
        <v>0.818181818181818</v>
      </c>
      <c r="V196" s="0" t="n">
        <v>10.5</v>
      </c>
      <c r="W196" s="0" t="n">
        <v>4</v>
      </c>
      <c r="X196" s="3" t="n">
        <v>1.0402</v>
      </c>
      <c r="Y196" s="2" t="n">
        <f aca="false">(V196*((W196+T196)/1000)*X196)/((((W196+T196)/1000)*X196)-((W196/1000)*0.9982))</f>
        <v>51.6397527163732</v>
      </c>
      <c r="Z196" s="3" t="n">
        <f aca="false">X196*(V196/100)*((W196+T196)/1000)*1000</f>
        <v>0.526246636363636</v>
      </c>
    </row>
    <row r="197" customFormat="false" ht="15" hidden="false" customHeight="false" outlineLevel="0" collapsed="false">
      <c r="A197" s="0" t="s">
        <v>36</v>
      </c>
      <c r="B197" s="0" t="s">
        <v>37</v>
      </c>
      <c r="C197" s="0" t="s">
        <v>28</v>
      </c>
      <c r="D197" s="0" t="s">
        <v>131</v>
      </c>
      <c r="E197" s="0" t="n">
        <v>5</v>
      </c>
      <c r="F197" s="0" t="n">
        <v>1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0" t="n">
        <v>2</v>
      </c>
      <c r="S197" s="0" t="n">
        <v>7.6</v>
      </c>
      <c r="T197" s="0" t="n">
        <f aca="false">(S197/55)*5</f>
        <v>0.690909090909091</v>
      </c>
      <c r="V197" s="0" t="n">
        <v>7</v>
      </c>
      <c r="W197" s="0" t="n">
        <v>4</v>
      </c>
      <c r="X197" s="3" t="n">
        <v>1.0259</v>
      </c>
      <c r="Y197" s="2" t="n">
        <f aca="false">(V197*((W197+T197)/1000)*X197)/((((W197+T197)/1000)*X197)-((W197/1000)*0.9982))</f>
        <v>41.1013616337831</v>
      </c>
      <c r="Z197" s="3" t="n">
        <f aca="false">X197*(V197/100)*((W197+T197)/1000)*1000</f>
        <v>0.336868254545455</v>
      </c>
    </row>
    <row r="198" customFormat="false" ht="15" hidden="false" customHeight="false" outlineLevel="0" collapsed="false">
      <c r="A198" s="0" t="s">
        <v>38</v>
      </c>
      <c r="B198" s="0" t="s">
        <v>39</v>
      </c>
      <c r="C198" s="0" t="s">
        <v>28</v>
      </c>
      <c r="D198" s="0" t="s">
        <v>131</v>
      </c>
      <c r="E198" s="0" t="n">
        <v>5</v>
      </c>
      <c r="F198" s="0" t="n">
        <v>1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0" t="n">
        <v>1</v>
      </c>
      <c r="S198" s="0" t="n">
        <v>5.5</v>
      </c>
      <c r="T198" s="0" t="n">
        <f aca="false">(S198/55)*5</f>
        <v>0.5</v>
      </c>
      <c r="V198" s="0" t="n">
        <v>8</v>
      </c>
      <c r="W198" s="0" t="n">
        <v>4</v>
      </c>
      <c r="X198" s="3" t="n">
        <v>1.0299</v>
      </c>
      <c r="Y198" s="2" t="n">
        <f aca="false">(V198*((W198+T198)/1000)*X198)/((((W198+T198)/1000)*X198)-((W198/1000)*0.9982))</f>
        <v>57.7738994935723</v>
      </c>
      <c r="Z198" s="3" t="n">
        <f aca="false">X198*(V198/100)*((W198+T198)/1000)*1000</f>
        <v>0.370764</v>
      </c>
    </row>
    <row r="199" customFormat="false" ht="15" hidden="false" customHeight="false" outlineLevel="0" collapsed="false">
      <c r="A199" s="0" t="s">
        <v>40</v>
      </c>
      <c r="B199" s="0" t="s">
        <v>41</v>
      </c>
      <c r="C199" s="0" t="s">
        <v>28</v>
      </c>
      <c r="D199" s="0" t="s">
        <v>131</v>
      </c>
      <c r="E199" s="0" t="n">
        <v>5</v>
      </c>
      <c r="F199" s="0" t="n">
        <v>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0" t="n">
        <v>4</v>
      </c>
      <c r="S199" s="0" t="n">
        <v>7.4</v>
      </c>
      <c r="T199" s="0" t="n">
        <f aca="false">(S199/55)*5</f>
        <v>0.672727272727273</v>
      </c>
      <c r="V199" s="0" t="n">
        <v>6</v>
      </c>
      <c r="W199" s="0" t="n">
        <v>4</v>
      </c>
      <c r="X199" s="3" t="n">
        <v>1.0218</v>
      </c>
      <c r="Y199" s="2" t="n">
        <f aca="false">(V199*((W199+T199)/1000)*X199)/((((W199+T199)/1000)*X199)-((W199/1000)*0.9982))</f>
        <v>36.6434162972748</v>
      </c>
      <c r="Z199" s="3" t="n">
        <f aca="false">X199*(V199/100)*((W199+T199)/1000)*1000</f>
        <v>0.286475563636364</v>
      </c>
    </row>
    <row r="200" customFormat="false" ht="15" hidden="false" customHeight="false" outlineLevel="0" collapsed="false">
      <c r="A200" s="0" t="s">
        <v>42</v>
      </c>
      <c r="B200" s="0" t="s">
        <v>43</v>
      </c>
      <c r="C200" s="0" t="s">
        <v>28</v>
      </c>
      <c r="D200" s="0" t="s">
        <v>131</v>
      </c>
      <c r="E200" s="0" t="n">
        <v>5</v>
      </c>
      <c r="F200" s="0" t="n"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0" t="n">
        <v>5</v>
      </c>
      <c r="S200" s="0" t="n">
        <v>24.2</v>
      </c>
      <c r="T200" s="0" t="n">
        <f aca="false">(S200/55)*5</f>
        <v>2.2</v>
      </c>
      <c r="V200" s="0" t="n">
        <v>19</v>
      </c>
      <c r="W200" s="0" t="n">
        <v>4</v>
      </c>
      <c r="X200" s="3" t="n">
        <v>1.0765</v>
      </c>
      <c r="Y200" s="2" t="n">
        <f aca="false">(V200*((W200+T200)/1000)*X200)/((((W200+T200)/1000)*X200)-((W200/1000)*0.9982))</f>
        <v>47.2913294797688</v>
      </c>
      <c r="Z200" s="3" t="n">
        <f aca="false">X200*(V200/100)*((W200+T200)/1000)*1000</f>
        <v>1.268117</v>
      </c>
    </row>
    <row r="201" customFormat="false" ht="15" hidden="false" customHeight="false" outlineLevel="0" collapsed="false">
      <c r="A201" s="0" t="s">
        <v>44</v>
      </c>
      <c r="B201" s="0" t="s">
        <v>45</v>
      </c>
      <c r="C201" s="0" t="s">
        <v>28</v>
      </c>
      <c r="D201" s="0" t="s">
        <v>131</v>
      </c>
      <c r="E201" s="0" t="n">
        <v>5</v>
      </c>
      <c r="F201" s="0" t="n">
        <v>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0" t="n">
        <v>4</v>
      </c>
      <c r="S201" s="0" t="n">
        <v>19.8</v>
      </c>
      <c r="T201" s="0" t="n">
        <f aca="false">(S201/55)*5</f>
        <v>1.8</v>
      </c>
      <c r="V201" s="0" t="n">
        <v>17</v>
      </c>
      <c r="W201" s="0" t="n">
        <v>4</v>
      </c>
      <c r="X201" s="3" t="n">
        <v>1.0678</v>
      </c>
      <c r="Y201" s="2" t="n">
        <f aca="false">(V201*((W201+T201)/1000)*X201)/((((W201+T201)/1000)*X201)-((W201/1000)*0.9982))</f>
        <v>47.8472850884369</v>
      </c>
      <c r="Z201" s="3" t="n">
        <f aca="false">X201*(V201/100)*((W201+T201)/1000)*1000</f>
        <v>1.0528508</v>
      </c>
    </row>
    <row r="202" customFormat="false" ht="15" hidden="false" customHeight="false" outlineLevel="0" collapsed="false">
      <c r="A202" s="0" t="s">
        <v>46</v>
      </c>
      <c r="B202" s="0" t="s">
        <v>47</v>
      </c>
      <c r="C202" s="0" t="s">
        <v>28</v>
      </c>
      <c r="D202" s="0" t="s">
        <v>131</v>
      </c>
      <c r="E202" s="0" t="n">
        <v>5</v>
      </c>
      <c r="F202" s="0" t="n">
        <v>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0" t="n">
        <v>3</v>
      </c>
      <c r="S202" s="0" t="n">
        <v>5.1</v>
      </c>
      <c r="T202" s="0" t="n">
        <f aca="false">(S202/55)*5</f>
        <v>0.463636363636364</v>
      </c>
      <c r="V202" s="0" t="n">
        <v>7</v>
      </c>
      <c r="W202" s="0" t="n">
        <v>4</v>
      </c>
      <c r="X202" s="3" t="n">
        <v>1.0259</v>
      </c>
      <c r="Y202" s="2" t="n">
        <f aca="false">(V202*((W202+T202)/1000)*X202)/((((W202+T202)/1000)*X202)-((W202/1000)*0.9982))</f>
        <v>54.6594082366929</v>
      </c>
      <c r="Z202" s="3" t="n">
        <f aca="false">X202*(V202/100)*((W202+T202)/1000)*1000</f>
        <v>0.320547118181818</v>
      </c>
    </row>
    <row r="203" customFormat="false" ht="15" hidden="false" customHeight="false" outlineLevel="0" collapsed="false">
      <c r="A203" s="0" t="s">
        <v>48</v>
      </c>
      <c r="B203" s="0" t="s">
        <v>49</v>
      </c>
      <c r="C203" s="0" t="s">
        <v>28</v>
      </c>
      <c r="D203" s="0" t="s">
        <v>131</v>
      </c>
      <c r="E203" s="0" t="n">
        <v>5</v>
      </c>
      <c r="F203" s="0" t="n">
        <v>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0" t="n">
        <v>3</v>
      </c>
      <c r="S203" s="0" t="n">
        <v>6.9</v>
      </c>
      <c r="T203" s="0" t="n">
        <f aca="false">(S203/55)*5</f>
        <v>0.627272727272727</v>
      </c>
      <c r="V203" s="0" t="n">
        <v>5</v>
      </c>
      <c r="W203" s="0" t="n">
        <v>4</v>
      </c>
      <c r="X203" s="3" t="n">
        <v>1.0179</v>
      </c>
      <c r="Y203" s="2" t="n">
        <f aca="false">(V203*((W203+T203)/1000)*X203)/((((W203+T203)/1000)*X203)-((W203/1000)*0.9982))</f>
        <v>32.8321130601966</v>
      </c>
      <c r="Z203" s="3" t="n">
        <f aca="false">X203*(V203/100)*((W203+T203)/1000)*1000</f>
        <v>0.235505045454545</v>
      </c>
    </row>
    <row r="204" customFormat="false" ht="15" hidden="false" customHeight="false" outlineLevel="0" collapsed="false">
      <c r="A204" s="0" t="s">
        <v>50</v>
      </c>
      <c r="B204" s="0" t="s">
        <v>51</v>
      </c>
      <c r="C204" s="0" t="s">
        <v>28</v>
      </c>
      <c r="D204" s="0" t="s">
        <v>131</v>
      </c>
      <c r="E204" s="0" t="n">
        <v>5</v>
      </c>
      <c r="F204" s="0" t="n">
        <v>2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0" t="n">
        <v>4</v>
      </c>
      <c r="S204" s="0" t="n">
        <v>10</v>
      </c>
      <c r="T204" s="0" t="n">
        <f aca="false">(S204/55)*5</f>
        <v>0.909090909090909</v>
      </c>
      <c r="V204" s="0" t="n">
        <v>8</v>
      </c>
      <c r="W204" s="0" t="n">
        <v>4</v>
      </c>
      <c r="X204" s="3" t="n">
        <v>1.0299</v>
      </c>
      <c r="Y204" s="2" t="n">
        <f aca="false">(V204*((W204+T204)/1000)*X204)/((((W204+T204)/1000)*X204)-((W204/1000)*0.9982))</f>
        <v>38.0472387076913</v>
      </c>
      <c r="Z204" s="3" t="n">
        <f aca="false">X204*(V204/100)*((W204+T204)/1000)*1000</f>
        <v>0.404469818181818</v>
      </c>
    </row>
    <row r="205" customFormat="false" ht="15" hidden="false" customHeight="false" outlineLevel="0" collapsed="false">
      <c r="A205" s="0" t="s">
        <v>52</v>
      </c>
      <c r="B205" s="0" t="s">
        <v>53</v>
      </c>
      <c r="C205" s="0" t="s">
        <v>28</v>
      </c>
      <c r="D205" s="0" t="s">
        <v>131</v>
      </c>
      <c r="E205" s="0" t="n">
        <v>5</v>
      </c>
      <c r="F205" s="0" t="n">
        <v>1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0" t="n">
        <v>5</v>
      </c>
      <c r="S205" s="0" t="n">
        <v>4.9</v>
      </c>
      <c r="T205" s="0" t="n">
        <f aca="false">(S205/55)*5</f>
        <v>0.445454545454546</v>
      </c>
      <c r="V205" s="0" t="n">
        <v>11</v>
      </c>
      <c r="W205" s="0" t="n">
        <v>4</v>
      </c>
      <c r="X205" s="3" t="n">
        <v>1.0423</v>
      </c>
      <c r="Y205" s="2" t="n">
        <f aca="false">(V205*((W205+T205)/1000)*X205)/((((W205+T205)/1000)*X205)-((W205/1000)*0.9982))</f>
        <v>79.5515638501803</v>
      </c>
      <c r="Z205" s="3" t="n">
        <f aca="false">X205*(V205/100)*((W205+T205)/1000)*1000</f>
        <v>0.5096847</v>
      </c>
    </row>
    <row r="206" customFormat="false" ht="15" hidden="false" customHeight="false" outlineLevel="0" collapsed="false">
      <c r="A206" s="0" t="s">
        <v>54</v>
      </c>
      <c r="B206" s="0" t="s">
        <v>55</v>
      </c>
      <c r="C206" s="0" t="s">
        <v>56</v>
      </c>
      <c r="D206" s="0" t="s">
        <v>131</v>
      </c>
      <c r="E206" s="0" t="n">
        <v>5</v>
      </c>
      <c r="F206" s="0" t="n">
        <v>1</v>
      </c>
      <c r="G206" s="1"/>
      <c r="H206" s="1"/>
      <c r="I206" s="0" t="n">
        <v>77.1</v>
      </c>
      <c r="J206" s="0" t="n">
        <f aca="false">(I206/55)*5</f>
        <v>7.00909090909091</v>
      </c>
      <c r="L206" s="0" t="n">
        <v>13</v>
      </c>
      <c r="M206" s="0" t="n">
        <v>0</v>
      </c>
      <c r="N206" s="0" t="n">
        <f aca="false">L206</f>
        <v>13</v>
      </c>
      <c r="O206" s="3" t="n">
        <v>1.0507</v>
      </c>
      <c r="P206" s="3" t="n">
        <f aca="false">(O206*(N206/100)*(J206/1000))*1000</f>
        <v>0.957378736363636</v>
      </c>
      <c r="Q206" s="3"/>
      <c r="R206" s="1"/>
      <c r="S206" s="1"/>
      <c r="T206" s="1"/>
      <c r="U206" s="1"/>
      <c r="V206" s="1"/>
      <c r="W206" s="1"/>
      <c r="X206" s="1"/>
      <c r="Y206" s="5"/>
      <c r="Z206" s="1"/>
    </row>
    <row r="207" customFormat="false" ht="15" hidden="false" customHeight="false" outlineLevel="0" collapsed="false">
      <c r="A207" s="0" t="s">
        <v>57</v>
      </c>
      <c r="B207" s="0" t="s">
        <v>58</v>
      </c>
      <c r="C207" s="0" t="s">
        <v>56</v>
      </c>
      <c r="D207" s="0" t="s">
        <v>131</v>
      </c>
      <c r="E207" s="0" t="n">
        <v>5</v>
      </c>
      <c r="F207" s="0" t="n">
        <v>0</v>
      </c>
      <c r="G207" s="1"/>
      <c r="H207" s="1"/>
      <c r="I207" s="0" t="n">
        <v>0</v>
      </c>
      <c r="J207" s="0" t="n">
        <f aca="false">(I207/55)*5</f>
        <v>0</v>
      </c>
      <c r="L207" s="0" t="n">
        <v>0</v>
      </c>
      <c r="M207" s="0" t="n">
        <v>0</v>
      </c>
      <c r="N207" s="0" t="n">
        <f aca="false">L207</f>
        <v>0</v>
      </c>
      <c r="O207" s="3" t="n">
        <v>0</v>
      </c>
      <c r="P207" s="3" t="n">
        <f aca="false">(O207*(N207/100)*(J207/1000))*1000</f>
        <v>0</v>
      </c>
      <c r="Q207" s="3"/>
      <c r="R207" s="1"/>
      <c r="S207" s="1"/>
      <c r="T207" s="1"/>
      <c r="U207" s="1"/>
      <c r="V207" s="1"/>
      <c r="W207" s="1"/>
      <c r="X207" s="1"/>
      <c r="Y207" s="5"/>
      <c r="Z207" s="1"/>
    </row>
    <row r="208" customFormat="false" ht="15" hidden="false" customHeight="false" outlineLevel="0" collapsed="false">
      <c r="A208" s="0" t="s">
        <v>59</v>
      </c>
      <c r="B208" s="0" t="s">
        <v>60</v>
      </c>
      <c r="C208" s="0" t="s">
        <v>56</v>
      </c>
      <c r="D208" s="0" t="s">
        <v>131</v>
      </c>
      <c r="E208" s="0" t="n">
        <v>5</v>
      </c>
      <c r="F208" s="0" t="n">
        <v>3</v>
      </c>
      <c r="G208" s="1"/>
      <c r="H208" s="1"/>
      <c r="I208" s="0" t="n">
        <f aca="false">86.8+80.8</f>
        <v>167.6</v>
      </c>
      <c r="J208" s="0" t="n">
        <f aca="false">(I208/55)*5</f>
        <v>15.2363636363636</v>
      </c>
      <c r="L208" s="0" t="n">
        <v>23</v>
      </c>
      <c r="M208" s="0" t="n">
        <v>0</v>
      </c>
      <c r="N208" s="0" t="n">
        <f aca="false">L208</f>
        <v>23</v>
      </c>
      <c r="O208" s="3" t="n">
        <v>1.09445</v>
      </c>
      <c r="P208" s="3" t="n">
        <f aca="false">(O208*(N208/100)*(J208/1000))*1000</f>
        <v>3.83535078181818</v>
      </c>
      <c r="Q208" s="3"/>
      <c r="R208" s="1"/>
      <c r="S208" s="1"/>
      <c r="T208" s="1"/>
      <c r="U208" s="1"/>
      <c r="V208" s="1"/>
      <c r="W208" s="1"/>
      <c r="X208" s="1"/>
      <c r="Y208" s="5"/>
      <c r="Z208" s="1"/>
    </row>
    <row r="209" customFormat="false" ht="15" hidden="false" customHeight="false" outlineLevel="0" collapsed="false">
      <c r="A209" s="0" t="s">
        <v>61</v>
      </c>
      <c r="B209" s="0" t="s">
        <v>62</v>
      </c>
      <c r="C209" s="0" t="s">
        <v>56</v>
      </c>
      <c r="D209" s="0" t="s">
        <v>131</v>
      </c>
      <c r="E209" s="0" t="n">
        <v>5</v>
      </c>
      <c r="F209" s="0" t="n">
        <v>2</v>
      </c>
      <c r="G209" s="1"/>
      <c r="H209" s="1"/>
      <c r="I209" s="0" t="n">
        <f aca="false">32+32+8.8</f>
        <v>72.8</v>
      </c>
      <c r="J209" s="0" t="n">
        <f aca="false">(I209/32)*2</f>
        <v>4.55</v>
      </c>
      <c r="L209" s="0" t="n">
        <v>16</v>
      </c>
      <c r="M209" s="0" t="n">
        <v>4</v>
      </c>
      <c r="N209" s="2" t="n">
        <f aca="false">(L209*((M209+J209)/1000)*O209)/((((M209+J209)/1000)*O209)-((M209/1000)*0.9982))</f>
        <v>28.5261243596971</v>
      </c>
      <c r="O209" s="3" t="n">
        <v>1.0635</v>
      </c>
      <c r="P209" s="3" t="n">
        <f aca="false">(O209*(L209/100)*((J209+4)/1000))*1000</f>
        <v>1.454868</v>
      </c>
      <c r="Q209" s="3"/>
      <c r="R209" s="1"/>
      <c r="S209" s="1"/>
      <c r="T209" s="1"/>
      <c r="U209" s="1"/>
      <c r="V209" s="1"/>
      <c r="W209" s="1"/>
      <c r="X209" s="1"/>
      <c r="Y209" s="5"/>
      <c r="Z209" s="1"/>
    </row>
    <row r="210" customFormat="false" ht="15" hidden="false" customHeight="false" outlineLevel="0" collapsed="false">
      <c r="A210" s="0" t="s">
        <v>63</v>
      </c>
      <c r="B210" s="0" t="s">
        <v>64</v>
      </c>
      <c r="C210" s="0" t="s">
        <v>56</v>
      </c>
      <c r="D210" s="0" t="s">
        <v>131</v>
      </c>
      <c r="E210" s="0" t="n">
        <v>5</v>
      </c>
      <c r="F210" s="0" t="n">
        <v>0</v>
      </c>
      <c r="G210" s="1"/>
      <c r="H210" s="1"/>
      <c r="I210" s="0" t="n">
        <v>0</v>
      </c>
      <c r="J210" s="0" t="n">
        <f aca="false">(I210/55)*5</f>
        <v>0</v>
      </c>
      <c r="L210" s="0" t="n">
        <v>0</v>
      </c>
      <c r="M210" s="0" t="n">
        <v>0</v>
      </c>
      <c r="N210" s="0" t="n">
        <f aca="false">L210</f>
        <v>0</v>
      </c>
      <c r="O210" s="3" t="n">
        <v>0</v>
      </c>
      <c r="P210" s="3" t="n">
        <f aca="false">(O210*(N210/100)*(J210/1000))*1000</f>
        <v>0</v>
      </c>
      <c r="Q210" s="3"/>
      <c r="R210" s="1"/>
      <c r="S210" s="1"/>
      <c r="T210" s="1"/>
      <c r="U210" s="1"/>
      <c r="V210" s="1"/>
      <c r="W210" s="1"/>
      <c r="X210" s="1"/>
      <c r="Y210" s="5"/>
      <c r="Z210" s="1"/>
    </row>
    <row r="211" customFormat="false" ht="15" hidden="false" customHeight="false" outlineLevel="0" collapsed="false">
      <c r="A211" s="0" t="s">
        <v>65</v>
      </c>
      <c r="B211" s="0" t="s">
        <v>66</v>
      </c>
      <c r="C211" s="0" t="s">
        <v>56</v>
      </c>
      <c r="D211" s="0" t="s">
        <v>131</v>
      </c>
      <c r="E211" s="0" t="n">
        <v>5</v>
      </c>
      <c r="F211" s="0" t="n">
        <v>2</v>
      </c>
      <c r="G211" s="1"/>
      <c r="H211" s="1"/>
      <c r="I211" s="0" t="n">
        <v>101.8</v>
      </c>
      <c r="J211" s="0" t="n">
        <f aca="false">(I211/55)*5</f>
        <v>9.25454545454545</v>
      </c>
      <c r="L211" s="0" t="n">
        <v>24.5</v>
      </c>
      <c r="M211" s="0" t="n">
        <v>0</v>
      </c>
      <c r="N211" s="0" t="n">
        <f aca="false">L211</f>
        <v>24.5</v>
      </c>
      <c r="O211" s="3" t="n">
        <v>1.101275</v>
      </c>
      <c r="P211" s="3" t="n">
        <f aca="false">(O211*(N211/100)*(J211/1000))*1000</f>
        <v>2.49699088863636</v>
      </c>
      <c r="Q211" s="3"/>
      <c r="R211" s="1"/>
      <c r="S211" s="1"/>
      <c r="T211" s="1"/>
      <c r="U211" s="1"/>
      <c r="V211" s="1"/>
      <c r="W211" s="1"/>
      <c r="X211" s="1"/>
      <c r="Y211" s="5"/>
      <c r="Z211" s="1"/>
    </row>
    <row r="212" customFormat="false" ht="15" hidden="false" customHeight="false" outlineLevel="0" collapsed="false">
      <c r="A212" s="0" t="s">
        <v>67</v>
      </c>
      <c r="B212" s="0" t="s">
        <v>68</v>
      </c>
      <c r="C212" s="0" t="s">
        <v>56</v>
      </c>
      <c r="D212" s="0" t="s">
        <v>131</v>
      </c>
      <c r="E212" s="0" t="n">
        <v>5</v>
      </c>
      <c r="F212" s="0" t="n">
        <v>1</v>
      </c>
      <c r="G212" s="1"/>
      <c r="H212" s="1"/>
      <c r="I212" s="0" t="n">
        <v>55.5</v>
      </c>
      <c r="J212" s="0" t="n">
        <f aca="false">(I212/55)*5</f>
        <v>5.04545454545455</v>
      </c>
      <c r="L212" s="0" t="n">
        <v>26</v>
      </c>
      <c r="M212" s="0" t="n">
        <v>0</v>
      </c>
      <c r="N212" s="0" t="n">
        <f aca="false">L212</f>
        <v>26</v>
      </c>
      <c r="O212" s="3" t="n">
        <v>1.1081</v>
      </c>
      <c r="P212" s="3" t="n">
        <f aca="false">(O212*(N212/100)*(J212/1000))*1000</f>
        <v>1.45362572727273</v>
      </c>
      <c r="Q212" s="3"/>
      <c r="R212" s="1"/>
      <c r="S212" s="1"/>
      <c r="T212" s="1"/>
      <c r="U212" s="1"/>
      <c r="V212" s="1"/>
      <c r="W212" s="1"/>
      <c r="X212" s="1"/>
      <c r="Y212" s="5"/>
      <c r="Z212" s="1"/>
    </row>
    <row r="213" customFormat="false" ht="15" hidden="false" customHeight="false" outlineLevel="0" collapsed="false">
      <c r="A213" s="0" t="s">
        <v>69</v>
      </c>
      <c r="B213" s="0" t="s">
        <v>70</v>
      </c>
      <c r="C213" s="0" t="s">
        <v>56</v>
      </c>
      <c r="D213" s="0" t="s">
        <v>131</v>
      </c>
      <c r="E213" s="0" t="n">
        <v>5</v>
      </c>
      <c r="F213" s="0" t="n">
        <v>0</v>
      </c>
      <c r="G213" s="1"/>
      <c r="H213" s="1"/>
      <c r="I213" s="0" t="n">
        <v>0</v>
      </c>
      <c r="J213" s="0" t="n">
        <f aca="false">(I213/55)*5</f>
        <v>0</v>
      </c>
      <c r="L213" s="0" t="n">
        <v>0</v>
      </c>
      <c r="M213" s="0" t="n">
        <v>0</v>
      </c>
      <c r="N213" s="0" t="n">
        <f aca="false">L213</f>
        <v>0</v>
      </c>
      <c r="O213" s="3" t="n">
        <v>0</v>
      </c>
      <c r="P213" s="3" t="n">
        <f aca="false">(O213*(N213/100)*(J213/1000))*1000</f>
        <v>0</v>
      </c>
      <c r="Q213" s="3"/>
      <c r="R213" s="1"/>
      <c r="S213" s="1"/>
      <c r="T213" s="1"/>
      <c r="U213" s="1"/>
      <c r="V213" s="1"/>
      <c r="W213" s="1"/>
      <c r="X213" s="1"/>
      <c r="Y213" s="5"/>
      <c r="Z213" s="1"/>
    </row>
    <row r="214" customFormat="false" ht="15" hidden="false" customHeight="false" outlineLevel="0" collapsed="false">
      <c r="A214" s="0" t="s">
        <v>71</v>
      </c>
      <c r="B214" s="0" t="s">
        <v>72</v>
      </c>
      <c r="C214" s="0" t="s">
        <v>56</v>
      </c>
      <c r="D214" s="0" t="s">
        <v>131</v>
      </c>
      <c r="E214" s="0" t="n">
        <v>5</v>
      </c>
      <c r="F214" s="0" t="n">
        <v>1</v>
      </c>
      <c r="G214" s="1"/>
      <c r="H214" s="1"/>
      <c r="I214" s="0" t="n">
        <v>37.2</v>
      </c>
      <c r="J214" s="0" t="n">
        <f aca="false">(I214/55)*5</f>
        <v>3.38181818181818</v>
      </c>
      <c r="L214" s="0" t="n">
        <v>16</v>
      </c>
      <c r="M214" s="0" t="n">
        <v>0</v>
      </c>
      <c r="N214" s="0" t="n">
        <f aca="false">L214</f>
        <v>16</v>
      </c>
      <c r="O214" s="3" t="n">
        <v>1.0635</v>
      </c>
      <c r="P214" s="3" t="n">
        <f aca="false">(O214*(N214/100)*(J214/1000))*1000</f>
        <v>0.575450181818182</v>
      </c>
      <c r="Q214" s="3"/>
      <c r="R214" s="1"/>
      <c r="S214" s="1"/>
      <c r="T214" s="1"/>
      <c r="U214" s="1"/>
      <c r="V214" s="1"/>
      <c r="W214" s="1"/>
      <c r="X214" s="1"/>
      <c r="Y214" s="5"/>
      <c r="Z214" s="1"/>
    </row>
    <row r="215" customFormat="false" ht="15" hidden="false" customHeight="false" outlineLevel="0" collapsed="false">
      <c r="A215" s="0" t="s">
        <v>73</v>
      </c>
      <c r="B215" s="0" t="s">
        <v>74</v>
      </c>
      <c r="C215" s="0" t="s">
        <v>56</v>
      </c>
      <c r="D215" s="0" t="s">
        <v>131</v>
      </c>
      <c r="E215" s="0" t="n">
        <v>5</v>
      </c>
      <c r="F215" s="0" t="n">
        <v>1</v>
      </c>
      <c r="G215" s="1"/>
      <c r="H215" s="1"/>
      <c r="I215" s="0" t="n">
        <v>45.6</v>
      </c>
      <c r="J215" s="0" t="n">
        <f aca="false">(I215/55)*5</f>
        <v>4.14545454545455</v>
      </c>
      <c r="L215" s="0" t="n">
        <v>18.5</v>
      </c>
      <c r="M215" s="0" t="n">
        <v>0</v>
      </c>
      <c r="N215" s="0" t="n">
        <f aca="false">L215</f>
        <v>18.5</v>
      </c>
      <c r="O215" s="3" t="n">
        <v>1.07435</v>
      </c>
      <c r="P215" s="3" t="n">
        <f aca="false">(O215*(N215/100)*(J215/1000))*1000</f>
        <v>0.823928781818182</v>
      </c>
      <c r="Q215" s="3"/>
      <c r="R215" s="1"/>
      <c r="S215" s="1"/>
      <c r="T215" s="1"/>
      <c r="U215" s="1"/>
      <c r="V215" s="1"/>
      <c r="W215" s="1"/>
      <c r="X215" s="1"/>
      <c r="Y215" s="5"/>
      <c r="Z215" s="1"/>
    </row>
    <row r="216" customFormat="false" ht="15" hidden="false" customHeight="false" outlineLevel="0" collapsed="false">
      <c r="A216" s="0" t="s">
        <v>75</v>
      </c>
      <c r="B216" s="0" t="s">
        <v>76</v>
      </c>
      <c r="C216" s="0" t="s">
        <v>56</v>
      </c>
      <c r="D216" s="0" t="s">
        <v>131</v>
      </c>
      <c r="E216" s="0" t="n">
        <v>5</v>
      </c>
      <c r="F216" s="0" t="n">
        <v>0</v>
      </c>
      <c r="G216" s="1"/>
      <c r="H216" s="1"/>
      <c r="I216" s="0" t="n">
        <v>0</v>
      </c>
      <c r="J216" s="0" t="n">
        <f aca="false">(I216/55)*5</f>
        <v>0</v>
      </c>
      <c r="L216" s="0" t="n">
        <v>0</v>
      </c>
      <c r="M216" s="0" t="n">
        <v>0</v>
      </c>
      <c r="N216" s="0" t="n">
        <f aca="false">L216</f>
        <v>0</v>
      </c>
      <c r="O216" s="3" t="n">
        <v>0</v>
      </c>
      <c r="P216" s="3" t="n">
        <f aca="false">(O216*(N216/100)*(J216/1000))*1000</f>
        <v>0</v>
      </c>
      <c r="Q216" s="3"/>
      <c r="R216" s="1"/>
      <c r="S216" s="1"/>
      <c r="T216" s="1"/>
      <c r="U216" s="1"/>
      <c r="V216" s="1"/>
      <c r="W216" s="1"/>
      <c r="X216" s="1"/>
      <c r="Y216" s="5"/>
      <c r="Z216" s="1"/>
    </row>
    <row r="217" customFormat="false" ht="15" hidden="false" customHeight="false" outlineLevel="0" collapsed="false">
      <c r="A217" s="0" t="s">
        <v>77</v>
      </c>
      <c r="B217" s="0" t="s">
        <v>78</v>
      </c>
      <c r="C217" s="0" t="s">
        <v>56</v>
      </c>
      <c r="D217" s="0" t="s">
        <v>131</v>
      </c>
      <c r="E217" s="0" t="n">
        <v>5</v>
      </c>
      <c r="F217" s="0" t="n">
        <v>0</v>
      </c>
      <c r="G217" s="1"/>
      <c r="H217" s="1"/>
      <c r="I217" s="0" t="n">
        <v>0</v>
      </c>
      <c r="J217" s="0" t="n">
        <f aca="false">(I217/55)*5</f>
        <v>0</v>
      </c>
      <c r="L217" s="0" t="n">
        <v>0</v>
      </c>
      <c r="M217" s="0" t="n">
        <v>0</v>
      </c>
      <c r="N217" s="0" t="n">
        <f aca="false">L217</f>
        <v>0</v>
      </c>
      <c r="O217" s="3" t="n">
        <v>0</v>
      </c>
      <c r="P217" s="3" t="n">
        <f aca="false">(O217*(N217/100)*(J217/1000))*1000</f>
        <v>0</v>
      </c>
      <c r="Q217" s="3"/>
      <c r="R217" s="1"/>
      <c r="S217" s="1"/>
      <c r="T217" s="1"/>
      <c r="U217" s="1"/>
      <c r="V217" s="1"/>
      <c r="W217" s="1"/>
      <c r="X217" s="1"/>
      <c r="Y217" s="5"/>
      <c r="Z217" s="1"/>
    </row>
    <row r="218" customFormat="false" ht="15" hidden="false" customHeight="false" outlineLevel="0" collapsed="false">
      <c r="A218" s="0" t="s">
        <v>79</v>
      </c>
      <c r="B218" s="0" t="s">
        <v>80</v>
      </c>
      <c r="C218" s="0" t="s">
        <v>81</v>
      </c>
      <c r="D218" s="0" t="s">
        <v>131</v>
      </c>
      <c r="E218" s="0" t="n">
        <v>5</v>
      </c>
      <c r="F218" s="0" t="n">
        <v>0</v>
      </c>
      <c r="G218" s="1"/>
      <c r="H218" s="1"/>
      <c r="I218" s="0" t="n">
        <v>0</v>
      </c>
      <c r="J218" s="0" t="n">
        <f aca="false">(I218/55)*5</f>
        <v>0</v>
      </c>
      <c r="L218" s="0" t="n">
        <v>0</v>
      </c>
      <c r="M218" s="0" t="n">
        <v>0</v>
      </c>
      <c r="N218" s="0" t="n">
        <f aca="false">L218</f>
        <v>0</v>
      </c>
      <c r="O218" s="3" t="n">
        <v>0</v>
      </c>
      <c r="P218" s="3" t="n">
        <f aca="false">(O218*(N218/100)*(J218/1000))*1000</f>
        <v>0</v>
      </c>
      <c r="Q218" s="3"/>
      <c r="R218" s="0" t="n">
        <v>3</v>
      </c>
      <c r="S218" s="0" t="n">
        <v>11</v>
      </c>
      <c r="T218" s="0" t="n">
        <f aca="false">(S218/55)*5</f>
        <v>1</v>
      </c>
      <c r="V218" s="0" t="n">
        <v>11</v>
      </c>
      <c r="W218" s="0" t="n">
        <v>4</v>
      </c>
      <c r="X218" s="3" t="n">
        <v>1.0423</v>
      </c>
      <c r="Y218" s="2" t="n">
        <f aca="false">(V218*((W218+T218)/1000)*X218)/((((W218+T218)/1000)*X218)-((W218/1000)*0.9982))</f>
        <v>47.0390580126364</v>
      </c>
      <c r="Z218" s="3" t="n">
        <f aca="false">X218*(V218/100)*((W218+T218)/1000)*1000</f>
        <v>0.573265</v>
      </c>
    </row>
    <row r="219" customFormat="false" ht="15" hidden="false" customHeight="false" outlineLevel="0" collapsed="false">
      <c r="A219" s="0" t="s">
        <v>82</v>
      </c>
      <c r="B219" s="0" t="s">
        <v>83</v>
      </c>
      <c r="C219" s="0" t="s">
        <v>81</v>
      </c>
      <c r="D219" s="0" t="s">
        <v>131</v>
      </c>
      <c r="E219" s="0" t="n">
        <v>5</v>
      </c>
      <c r="F219" s="0" t="n">
        <v>0</v>
      </c>
      <c r="G219" s="1"/>
      <c r="H219" s="1"/>
      <c r="I219" s="0" t="n">
        <v>0</v>
      </c>
      <c r="J219" s="0" t="n">
        <f aca="false">(I219/55)*5</f>
        <v>0</v>
      </c>
      <c r="L219" s="0" t="n">
        <v>0</v>
      </c>
      <c r="M219" s="0" t="n">
        <v>0</v>
      </c>
      <c r="N219" s="0" t="n">
        <f aca="false">L219</f>
        <v>0</v>
      </c>
      <c r="O219" s="3" t="n">
        <v>0</v>
      </c>
      <c r="P219" s="3" t="n">
        <f aca="false">(O219*(N219/100)*(J219/1000))*1000</f>
        <v>0</v>
      </c>
      <c r="Q219" s="3"/>
      <c r="R219" s="0" t="n">
        <v>1</v>
      </c>
      <c r="S219" s="0" t="n">
        <v>2.8</v>
      </c>
      <c r="T219" s="0" t="n">
        <f aca="false">(S219/55)*5</f>
        <v>0.254545454545454</v>
      </c>
      <c r="V219" s="0" t="n">
        <v>12</v>
      </c>
      <c r="W219" s="0" t="n">
        <v>1</v>
      </c>
      <c r="X219" s="3" t="n">
        <v>1.0465</v>
      </c>
      <c r="Y219" s="2" t="n">
        <f aca="false">(V219*((W219+T219)/1000)*X219)/((((W219+T219)/1000)*X219)-((W219/1000)*0.9982))</f>
        <v>50.0651162790698</v>
      </c>
      <c r="Z219" s="3" t="n">
        <f aca="false">X219*(V219/100)*((W219+T219)/1000)*1000</f>
        <v>0.157545818181818</v>
      </c>
    </row>
    <row r="220" customFormat="false" ht="15" hidden="false" customHeight="false" outlineLevel="0" collapsed="false">
      <c r="A220" s="0" t="s">
        <v>84</v>
      </c>
      <c r="B220" s="0" t="s">
        <v>85</v>
      </c>
      <c r="C220" s="0" t="s">
        <v>81</v>
      </c>
      <c r="D220" s="0" t="s">
        <v>131</v>
      </c>
      <c r="E220" s="0" t="n">
        <v>5</v>
      </c>
      <c r="F220" s="0" t="n">
        <v>1</v>
      </c>
      <c r="G220" s="1"/>
      <c r="H220" s="1"/>
      <c r="I220" s="0" t="n">
        <v>87.2</v>
      </c>
      <c r="J220" s="0" t="n">
        <f aca="false">(I220/55)*5</f>
        <v>7.92727272727273</v>
      </c>
      <c r="L220" s="0" t="n">
        <v>14.5</v>
      </c>
      <c r="M220" s="0" t="n">
        <v>0</v>
      </c>
      <c r="N220" s="0" t="n">
        <f aca="false">L220</f>
        <v>14.5</v>
      </c>
      <c r="O220" s="3" t="n">
        <v>1.05705</v>
      </c>
      <c r="P220" s="3" t="n">
        <f aca="false">(O220*(N220/100)*(J220/1000))*1000</f>
        <v>1.21503092727273</v>
      </c>
      <c r="Q220" s="3"/>
      <c r="R220" s="0" t="n">
        <v>1</v>
      </c>
      <c r="S220" s="0" t="n">
        <v>3</v>
      </c>
      <c r="T220" s="0" t="n">
        <f aca="false">(S220/55)*5</f>
        <v>0.272727272727273</v>
      </c>
      <c r="V220" s="0" t="n">
        <v>3</v>
      </c>
      <c r="W220" s="0" t="n">
        <v>4</v>
      </c>
      <c r="X220" s="3" t="n">
        <v>1.0099</v>
      </c>
      <c r="Y220" s="2" t="n">
        <f aca="false">(V220*((W220+T220)/1000)*X220)/((((W220+T220)/1000)*X220)-((W220/1000)*0.9982))</f>
        <v>40.1737621667372</v>
      </c>
      <c r="Z220" s="3" t="n">
        <f aca="false">X220*(V220/100)*((W220+T220)/1000)*1000</f>
        <v>0.129450818181818</v>
      </c>
    </row>
    <row r="221" customFormat="false" ht="15" hidden="false" customHeight="false" outlineLevel="0" collapsed="false">
      <c r="A221" s="0" t="s">
        <v>86</v>
      </c>
      <c r="B221" s="0" t="s">
        <v>87</v>
      </c>
      <c r="C221" s="0" t="s">
        <v>81</v>
      </c>
      <c r="D221" s="0" t="s">
        <v>131</v>
      </c>
      <c r="E221" s="0" t="n">
        <v>5</v>
      </c>
      <c r="F221" s="0" t="n">
        <v>1</v>
      </c>
      <c r="G221" s="1"/>
      <c r="H221" s="1"/>
      <c r="I221" s="0" t="n">
        <v>59.8</v>
      </c>
      <c r="J221" s="0" t="n">
        <f aca="false">(I221/55)*5</f>
        <v>5.43636363636364</v>
      </c>
      <c r="L221" s="0" t="n">
        <v>16</v>
      </c>
      <c r="M221" s="0" t="n">
        <v>0</v>
      </c>
      <c r="N221" s="0" t="n">
        <f aca="false">L221</f>
        <v>16</v>
      </c>
      <c r="O221" s="3" t="n">
        <v>1.0635</v>
      </c>
      <c r="P221" s="3" t="n">
        <f aca="false">(O221*(N221/100)*(J221/1000))*1000</f>
        <v>0.925051636363636</v>
      </c>
      <c r="Q221" s="3"/>
      <c r="R221" s="0" t="n">
        <v>2</v>
      </c>
      <c r="S221" s="0" t="n">
        <v>7.6</v>
      </c>
      <c r="T221" s="0" t="n">
        <f aca="false">(S221/55)*5</f>
        <v>0.690909090909091</v>
      </c>
      <c r="V221" s="0" t="n">
        <v>11</v>
      </c>
      <c r="W221" s="0" t="n">
        <v>4</v>
      </c>
      <c r="X221" s="3" t="n">
        <v>1.0423</v>
      </c>
      <c r="Y221" s="2" t="n">
        <f aca="false">(V221*((W221+T221)/1000)*X221)/((((W221+T221)/1000)*X221)-((W221/1000)*0.9982))</f>
        <v>59.9895232957611</v>
      </c>
      <c r="Z221" s="3" t="n">
        <f aca="false">X221*(V221/100)*((W221+T221)/1000)*1000</f>
        <v>0.5378268</v>
      </c>
    </row>
    <row r="222" customFormat="false" ht="15" hidden="false" customHeight="false" outlineLevel="0" collapsed="false">
      <c r="A222" s="0" t="s">
        <v>88</v>
      </c>
      <c r="B222" s="0" t="s">
        <v>89</v>
      </c>
      <c r="C222" s="0" t="s">
        <v>81</v>
      </c>
      <c r="D222" s="0" t="s">
        <v>131</v>
      </c>
      <c r="E222" s="0" t="n">
        <v>5</v>
      </c>
      <c r="F222" s="0" t="n">
        <v>0</v>
      </c>
      <c r="G222" s="1"/>
      <c r="H222" s="1"/>
      <c r="I222" s="0" t="n">
        <v>0</v>
      </c>
      <c r="J222" s="0" t="n">
        <f aca="false">(I222/55)*5</f>
        <v>0</v>
      </c>
      <c r="L222" s="0" t="n">
        <v>0</v>
      </c>
      <c r="M222" s="0" t="n">
        <v>0</v>
      </c>
      <c r="N222" s="0" t="n">
        <f aca="false">L222</f>
        <v>0</v>
      </c>
      <c r="O222" s="3" t="n">
        <v>0</v>
      </c>
      <c r="P222" s="3" t="n">
        <f aca="false">(O222*(N222/100)*(J222/1000))*1000</f>
        <v>0</v>
      </c>
      <c r="Q222" s="3"/>
      <c r="R222" s="0" t="n">
        <v>3</v>
      </c>
      <c r="S222" s="0" t="n">
        <v>11.9</v>
      </c>
      <c r="T222" s="0" t="n">
        <f aca="false">(S222/55)*5</f>
        <v>1.08181818181818</v>
      </c>
      <c r="V222" s="0" t="n">
        <v>8</v>
      </c>
      <c r="W222" s="0" t="n">
        <v>4</v>
      </c>
      <c r="X222" s="3" t="n">
        <v>1.0299</v>
      </c>
      <c r="Y222" s="2" t="n">
        <f aca="false">(V222*((W222+T222)/1000)*X222)/((((W222+T222)/1000)*X222)-((W222/1000)*0.9982))</f>
        <v>33.7399779204006</v>
      </c>
      <c r="Z222" s="3" t="n">
        <f aca="false">X222*(V222/100)*((W222+T222)/1000)*1000</f>
        <v>0.418701163636364</v>
      </c>
    </row>
    <row r="223" customFormat="false" ht="15" hidden="false" customHeight="false" outlineLevel="0" collapsed="false">
      <c r="A223" s="0" t="s">
        <v>90</v>
      </c>
      <c r="B223" s="0" t="s">
        <v>91</v>
      </c>
      <c r="C223" s="0" t="s">
        <v>81</v>
      </c>
      <c r="D223" s="0" t="s">
        <v>131</v>
      </c>
      <c r="E223" s="0" t="n">
        <v>5</v>
      </c>
      <c r="F223" s="0" t="n">
        <v>0</v>
      </c>
      <c r="G223" s="1"/>
      <c r="H223" s="1"/>
      <c r="I223" s="0" t="n">
        <v>0</v>
      </c>
      <c r="J223" s="0" t="n">
        <f aca="false">(I223/55)*5</f>
        <v>0</v>
      </c>
      <c r="L223" s="0" t="n">
        <v>0</v>
      </c>
      <c r="M223" s="0" t="n">
        <v>0</v>
      </c>
      <c r="N223" s="0" t="n">
        <f aca="false">L223</f>
        <v>0</v>
      </c>
      <c r="O223" s="3" t="n">
        <v>0</v>
      </c>
      <c r="P223" s="3" t="n">
        <f aca="false">(O223*(N223/100)*(J223/1000))*1000</f>
        <v>0</v>
      </c>
      <c r="Q223" s="3"/>
      <c r="R223" s="0" t="n">
        <v>4</v>
      </c>
      <c r="S223" s="0" t="n">
        <v>11.9</v>
      </c>
      <c r="T223" s="0" t="n">
        <f aca="false">(S223/55)*5</f>
        <v>1.08181818181818</v>
      </c>
      <c r="V223" s="0" t="n">
        <v>8</v>
      </c>
      <c r="W223" s="0" t="n">
        <v>4</v>
      </c>
      <c r="X223" s="3" t="n">
        <v>1.0299</v>
      </c>
      <c r="Y223" s="2" t="n">
        <f aca="false">(V223*((W223+T223)/1000)*X223)/((((W223+T223)/1000)*X223)-((W223/1000)*0.9982))</f>
        <v>33.7399779204006</v>
      </c>
      <c r="Z223" s="3" t="n">
        <f aca="false">X223*(V223/100)*((W223+T223)/1000)*1000</f>
        <v>0.418701163636364</v>
      </c>
    </row>
    <row r="224" customFormat="false" ht="15" hidden="false" customHeight="false" outlineLevel="0" collapsed="false">
      <c r="A224" s="0" t="s">
        <v>92</v>
      </c>
      <c r="B224" s="0" t="s">
        <v>93</v>
      </c>
      <c r="C224" s="0" t="s">
        <v>81</v>
      </c>
      <c r="D224" s="0" t="s">
        <v>131</v>
      </c>
      <c r="E224" s="0" t="n">
        <v>5</v>
      </c>
      <c r="F224" s="0" t="n">
        <v>0</v>
      </c>
      <c r="G224" s="1"/>
      <c r="H224" s="1"/>
      <c r="I224" s="0" t="n">
        <v>0</v>
      </c>
      <c r="J224" s="0" t="n">
        <f aca="false">(I224/55)*5</f>
        <v>0</v>
      </c>
      <c r="L224" s="0" t="n">
        <v>0</v>
      </c>
      <c r="M224" s="0" t="n">
        <v>0</v>
      </c>
      <c r="N224" s="0" t="n">
        <f aca="false">L224</f>
        <v>0</v>
      </c>
      <c r="O224" s="3" t="n">
        <v>0</v>
      </c>
      <c r="P224" s="3" t="n">
        <f aca="false">(O224*(N224/100)*(J224/1000))*1000</f>
        <v>0</v>
      </c>
      <c r="Q224" s="3"/>
      <c r="R224" s="0" t="n">
        <v>4</v>
      </c>
      <c r="S224" s="0" t="n">
        <v>9.8</v>
      </c>
      <c r="T224" s="0" t="n">
        <f aca="false">(S224/55)*5</f>
        <v>0.890909090909091</v>
      </c>
      <c r="V224" s="0" t="n">
        <v>13</v>
      </c>
      <c r="W224" s="0" t="n">
        <v>4</v>
      </c>
      <c r="X224" s="3" t="n">
        <v>1.0507</v>
      </c>
      <c r="Y224" s="2" t="n">
        <f aca="false">(V224*((W224+T224)/1000)*X224)/((((W224+T224)/1000)*X224)-((W224/1000)*0.9982))</f>
        <v>58.2904529756022</v>
      </c>
      <c r="Z224" s="3" t="n">
        <f aca="false">X224*(V224/100)*((W224+T224)/1000)*1000</f>
        <v>0.668054163636363</v>
      </c>
    </row>
    <row r="225" customFormat="false" ht="15" hidden="false" customHeight="false" outlineLevel="0" collapsed="false">
      <c r="A225" s="0" t="s">
        <v>94</v>
      </c>
      <c r="B225" s="0" t="s">
        <v>95</v>
      </c>
      <c r="C225" s="0" t="s">
        <v>81</v>
      </c>
      <c r="D225" s="0" t="s">
        <v>131</v>
      </c>
      <c r="E225" s="0" t="n">
        <v>5</v>
      </c>
      <c r="F225" s="0" t="n">
        <v>2</v>
      </c>
      <c r="G225" s="1"/>
      <c r="H225" s="1"/>
      <c r="I225" s="0" t="n">
        <f aca="false">45.1+105.1</f>
        <v>150.2</v>
      </c>
      <c r="J225" s="0" t="n">
        <f aca="false">(I225/55)*5</f>
        <v>13.6545454545455</v>
      </c>
      <c r="L225" s="0" t="n">
        <v>18.5</v>
      </c>
      <c r="M225" s="0" t="n">
        <v>0</v>
      </c>
      <c r="N225" s="0" t="n">
        <f aca="false">L225</f>
        <v>18.5</v>
      </c>
      <c r="O225" s="3" t="n">
        <v>1.07435</v>
      </c>
      <c r="P225" s="3" t="n">
        <f aca="false">(O225*(N225/100)*(J225/1000))*1000</f>
        <v>2.71390576818182</v>
      </c>
      <c r="Q225" s="3"/>
      <c r="R225" s="0" t="n">
        <v>4</v>
      </c>
      <c r="S225" s="0" t="n">
        <v>17.6</v>
      </c>
      <c r="T225" s="0" t="n">
        <f aca="false">(S225/55)*5</f>
        <v>1.6</v>
      </c>
      <c r="V225" s="0" t="n">
        <v>17</v>
      </c>
      <c r="W225" s="0" t="n">
        <v>4</v>
      </c>
      <c r="X225" s="3" t="n">
        <v>1.0678</v>
      </c>
      <c r="Y225" s="2" t="n">
        <f aca="false">(V225*((W225+T225)/1000)*X225)/((((W225+T225)/1000)*X225)-((W225/1000)*0.9982))</f>
        <v>51.162908680947</v>
      </c>
      <c r="Z225" s="3" t="n">
        <f aca="false">X225*(V225/100)*((W225+T225)/1000)*1000</f>
        <v>1.0165456</v>
      </c>
    </row>
    <row r="226" customFormat="false" ht="15" hidden="false" customHeight="false" outlineLevel="0" collapsed="false">
      <c r="A226" s="0" t="s">
        <v>96</v>
      </c>
      <c r="B226" s="0" t="s">
        <v>97</v>
      </c>
      <c r="C226" s="0" t="s">
        <v>81</v>
      </c>
      <c r="D226" s="0" t="s">
        <v>131</v>
      </c>
      <c r="E226" s="0" t="n">
        <v>5</v>
      </c>
      <c r="F226" s="0" t="n">
        <v>1</v>
      </c>
      <c r="G226" s="1"/>
      <c r="H226" s="1"/>
      <c r="I226" s="0" t="n">
        <v>60</v>
      </c>
      <c r="J226" s="0" t="n">
        <f aca="false">(I226/55)*5</f>
        <v>5.45454545454545</v>
      </c>
      <c r="L226" s="0" t="n">
        <v>16</v>
      </c>
      <c r="M226" s="0" t="n">
        <v>0</v>
      </c>
      <c r="N226" s="0" t="n">
        <f aca="false">L226</f>
        <v>16</v>
      </c>
      <c r="O226" s="3" t="n">
        <v>1.0635</v>
      </c>
      <c r="P226" s="3" t="n">
        <f aca="false">(O226*(N226/100)*(J226/1000))*1000</f>
        <v>0.928145454545454</v>
      </c>
      <c r="Q226" s="3"/>
      <c r="R226" s="0" t="n">
        <v>1</v>
      </c>
      <c r="S226" s="0" t="n">
        <v>7.2</v>
      </c>
      <c r="T226" s="0" t="n">
        <f aca="false">(S226/55)*5</f>
        <v>0.654545454545455</v>
      </c>
      <c r="V226" s="0" t="n">
        <v>11</v>
      </c>
      <c r="W226" s="0" t="n">
        <v>4</v>
      </c>
      <c r="X226" s="3" t="n">
        <v>1.0423</v>
      </c>
      <c r="Y226" s="2" t="n">
        <f aca="false">(V226*((W226+T226)/1000)*X226)/((((W226+T226)/1000)*X226)-((W226/1000)*0.9982))</f>
        <v>62.1520218190443</v>
      </c>
      <c r="Z226" s="3" t="n">
        <f aca="false">X226*(V226/100)*((W226+T226)/1000)*1000</f>
        <v>0.5336576</v>
      </c>
    </row>
    <row r="227" customFormat="false" ht="15" hidden="false" customHeight="false" outlineLevel="0" collapsed="false">
      <c r="A227" s="0" t="s">
        <v>98</v>
      </c>
      <c r="B227" s="0" t="s">
        <v>99</v>
      </c>
      <c r="C227" s="0" t="s">
        <v>81</v>
      </c>
      <c r="D227" s="0" t="s">
        <v>131</v>
      </c>
      <c r="E227" s="0" t="n">
        <v>5</v>
      </c>
      <c r="F227" s="0" t="n">
        <v>0</v>
      </c>
      <c r="G227" s="1"/>
      <c r="H227" s="1"/>
      <c r="I227" s="0" t="n">
        <v>0</v>
      </c>
      <c r="J227" s="0" t="n">
        <f aca="false">(I227/55)*5</f>
        <v>0</v>
      </c>
      <c r="L227" s="0" t="n">
        <v>0</v>
      </c>
      <c r="M227" s="0" t="n">
        <v>0</v>
      </c>
      <c r="N227" s="0" t="n">
        <f aca="false">L227</f>
        <v>0</v>
      </c>
      <c r="O227" s="3" t="n">
        <v>0</v>
      </c>
      <c r="P227" s="3" t="n">
        <f aca="false">(O227*(N227/100)*(J227/1000))*1000</f>
        <v>0</v>
      </c>
      <c r="Q227" s="3"/>
      <c r="R227" s="0" t="n">
        <v>2</v>
      </c>
      <c r="S227" s="0" t="n">
        <v>6</v>
      </c>
      <c r="T227" s="0" t="n">
        <f aca="false">(S227/55)*5</f>
        <v>0.545454545454545</v>
      </c>
      <c r="V227" s="0" t="n">
        <v>6</v>
      </c>
      <c r="W227" s="0" t="n">
        <v>4</v>
      </c>
      <c r="X227" s="3" t="n">
        <v>1.0218</v>
      </c>
      <c r="Y227" s="2" t="n">
        <f aca="false">(V227*((W227+T227)/1000)*X227)/((((W227+T227)/1000)*X227)-((W227/1000)*0.9982))</f>
        <v>42.7579088322268</v>
      </c>
      <c r="Z227" s="3" t="n">
        <f aca="false">X227*(V227/100)*((W227+T227)/1000)*1000</f>
        <v>0.278672727272727</v>
      </c>
    </row>
    <row r="228" customFormat="false" ht="15" hidden="false" customHeight="false" outlineLevel="0" collapsed="false">
      <c r="A228" s="0" t="s">
        <v>100</v>
      </c>
      <c r="B228" s="0" t="s">
        <v>101</v>
      </c>
      <c r="C228" s="0" t="s">
        <v>81</v>
      </c>
      <c r="D228" s="0" t="s">
        <v>131</v>
      </c>
      <c r="E228" s="0" t="n">
        <v>5</v>
      </c>
      <c r="F228" s="0" t="n">
        <v>1</v>
      </c>
      <c r="G228" s="1"/>
      <c r="H228" s="1"/>
      <c r="I228" s="0" t="n">
        <v>50.8</v>
      </c>
      <c r="J228" s="0" t="n">
        <f aca="false">(I228/55)*5</f>
        <v>4.61818181818182</v>
      </c>
      <c r="L228" s="0" t="n">
        <v>10</v>
      </c>
      <c r="M228" s="0" t="n">
        <v>0</v>
      </c>
      <c r="N228" s="0" t="n">
        <f aca="false">L228</f>
        <v>10</v>
      </c>
      <c r="O228" s="3" t="n">
        <v>1.0381</v>
      </c>
      <c r="P228" s="3" t="n">
        <f aca="false">(O228*(N228/100)*(J228/1000))*1000</f>
        <v>0.479413454545454</v>
      </c>
      <c r="Q228" s="3"/>
      <c r="R228" s="0" t="n">
        <v>2</v>
      </c>
      <c r="S228" s="0" t="n">
        <v>2.7</v>
      </c>
      <c r="T228" s="0" t="n">
        <f aca="false">(S228/55)*5</f>
        <v>0.245454545454545</v>
      </c>
      <c r="V228" s="0" t="n">
        <v>2.5</v>
      </c>
      <c r="W228" s="0" t="n">
        <v>4</v>
      </c>
      <c r="X228" s="3" t="n">
        <v>1.00795</v>
      </c>
      <c r="Y228" s="2" t="n">
        <f aca="false">(V228*((W228+T228)/1000)*X228)/((((W228+T228)/1000)*X228)-((W228/1000)*0.9982))</f>
        <v>37.3526328653072</v>
      </c>
      <c r="Z228" s="3" t="n">
        <f aca="false">X228*(V228/100)*((W228+T228)/1000)*1000</f>
        <v>0.106980147727273</v>
      </c>
    </row>
    <row r="229" customFormat="false" ht="15" hidden="false" customHeight="false" outlineLevel="0" collapsed="false">
      <c r="A229" s="0" t="s">
        <v>102</v>
      </c>
      <c r="B229" s="0" t="s">
        <v>103</v>
      </c>
      <c r="C229" s="0" t="s">
        <v>81</v>
      </c>
      <c r="D229" s="0" t="s">
        <v>131</v>
      </c>
      <c r="E229" s="0" t="n">
        <v>5</v>
      </c>
      <c r="F229" s="0" t="n">
        <v>0</v>
      </c>
      <c r="G229" s="1"/>
      <c r="H229" s="1"/>
      <c r="I229" s="0" t="n">
        <v>0</v>
      </c>
      <c r="J229" s="0" t="n">
        <f aca="false">(I229/55)*5</f>
        <v>0</v>
      </c>
      <c r="L229" s="0" t="n">
        <v>0</v>
      </c>
      <c r="M229" s="0" t="n">
        <v>0</v>
      </c>
      <c r="N229" s="0" t="n">
        <f aca="false">L229</f>
        <v>0</v>
      </c>
      <c r="O229" s="3" t="n">
        <v>0</v>
      </c>
      <c r="P229" s="3" t="n">
        <f aca="false">(O229*(N229/100)*(J229/1000))*1000</f>
        <v>0</v>
      </c>
      <c r="Q229" s="3"/>
      <c r="R229" s="0" t="n">
        <v>1</v>
      </c>
      <c r="S229" s="0" t="n">
        <v>3.6</v>
      </c>
      <c r="T229" s="0" t="n">
        <f aca="false">(S229/55)*5</f>
        <v>0.327272727272727</v>
      </c>
      <c r="V229" s="0" t="n">
        <v>5</v>
      </c>
      <c r="W229" s="0" t="n">
        <v>4</v>
      </c>
      <c r="X229" s="3" t="n">
        <v>1.0179</v>
      </c>
      <c r="Y229" s="2" t="n">
        <f aca="false">(V229*((W229+T229)/1000)*X229)/((((W229+T229)/1000)*X229)-((W229/1000)*0.9982))</f>
        <v>53.4644379904839</v>
      </c>
      <c r="Z229" s="3" t="n">
        <f aca="false">X229*(V229/100)*((W229+T229)/1000)*1000</f>
        <v>0.220236545454545</v>
      </c>
    </row>
    <row r="230" customFormat="false" ht="15" hidden="false" customHeight="false" outlineLevel="0" collapsed="false">
      <c r="A230" s="0" t="s">
        <v>104</v>
      </c>
      <c r="B230" s="0" t="s">
        <v>105</v>
      </c>
      <c r="C230" s="0" t="s">
        <v>106</v>
      </c>
      <c r="D230" s="0" t="s">
        <v>131</v>
      </c>
      <c r="E230" s="0" t="n">
        <v>5</v>
      </c>
      <c r="F230" s="0" t="n"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0" t="n">
        <v>4</v>
      </c>
      <c r="S230" s="1"/>
      <c r="T230" s="1"/>
      <c r="U230" s="1"/>
      <c r="V230" s="1"/>
      <c r="W230" s="1"/>
      <c r="X230" s="1"/>
      <c r="Y230" s="5"/>
      <c r="Z230" s="1"/>
    </row>
    <row r="231" customFormat="false" ht="15" hidden="false" customHeight="false" outlineLevel="0" collapsed="false">
      <c r="A231" s="0" t="s">
        <v>107</v>
      </c>
      <c r="B231" s="0" t="s">
        <v>37</v>
      </c>
      <c r="C231" s="0" t="s">
        <v>106</v>
      </c>
      <c r="D231" s="0" t="s">
        <v>131</v>
      </c>
      <c r="E231" s="0" t="n">
        <v>5</v>
      </c>
      <c r="F231" s="0" t="n"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0" t="n">
        <v>1</v>
      </c>
      <c r="S231" s="1"/>
      <c r="T231" s="1"/>
      <c r="U231" s="1"/>
      <c r="V231" s="1"/>
      <c r="W231" s="1"/>
      <c r="X231" s="1"/>
      <c r="Y231" s="5"/>
      <c r="Z231" s="1"/>
    </row>
    <row r="232" customFormat="false" ht="15" hidden="false" customHeight="false" outlineLevel="0" collapsed="false">
      <c r="A232" s="0" t="s">
        <v>108</v>
      </c>
      <c r="B232" s="0" t="s">
        <v>109</v>
      </c>
      <c r="C232" s="0" t="s">
        <v>106</v>
      </c>
      <c r="D232" s="0" t="s">
        <v>131</v>
      </c>
      <c r="E232" s="0" t="n">
        <v>5</v>
      </c>
      <c r="F232" s="0" t="n">
        <v>2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0" t="n">
        <v>4</v>
      </c>
      <c r="S232" s="1"/>
      <c r="T232" s="1"/>
      <c r="U232" s="1"/>
      <c r="V232" s="1"/>
      <c r="W232" s="1"/>
      <c r="X232" s="1"/>
      <c r="Y232" s="5"/>
      <c r="Z232" s="1"/>
    </row>
    <row r="233" customFormat="false" ht="15" hidden="false" customHeight="false" outlineLevel="0" collapsed="false">
      <c r="A233" s="0" t="s">
        <v>110</v>
      </c>
      <c r="B233" s="0" t="s">
        <v>111</v>
      </c>
      <c r="C233" s="0" t="s">
        <v>106</v>
      </c>
      <c r="D233" s="0" t="s">
        <v>131</v>
      </c>
      <c r="E233" s="0" t="n">
        <v>5</v>
      </c>
      <c r="F233" s="0" t="n">
        <v>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0" t="n">
        <v>5</v>
      </c>
      <c r="S233" s="1"/>
      <c r="T233" s="1"/>
      <c r="U233" s="1"/>
      <c r="V233" s="1"/>
      <c r="W233" s="1"/>
      <c r="X233" s="1"/>
      <c r="Y233" s="5"/>
      <c r="Z233" s="1"/>
    </row>
    <row r="234" customFormat="false" ht="15" hidden="false" customHeight="false" outlineLevel="0" collapsed="false">
      <c r="A234" s="0" t="s">
        <v>112</v>
      </c>
      <c r="B234" s="0" t="s">
        <v>113</v>
      </c>
      <c r="C234" s="0" t="s">
        <v>106</v>
      </c>
      <c r="D234" s="0" t="s">
        <v>131</v>
      </c>
      <c r="E234" s="0" t="n">
        <v>5</v>
      </c>
      <c r="F234" s="0" t="n">
        <v>2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0" t="n">
        <v>7</v>
      </c>
      <c r="S234" s="1"/>
      <c r="T234" s="1"/>
      <c r="U234" s="1"/>
      <c r="V234" s="1"/>
      <c r="W234" s="1"/>
      <c r="X234" s="1"/>
      <c r="Y234" s="5"/>
      <c r="Z234" s="1"/>
    </row>
    <row r="235" customFormat="false" ht="15" hidden="false" customHeight="false" outlineLevel="0" collapsed="false">
      <c r="A235" s="0" t="s">
        <v>114</v>
      </c>
      <c r="B235" s="0" t="s">
        <v>115</v>
      </c>
      <c r="C235" s="0" t="s">
        <v>106</v>
      </c>
      <c r="D235" s="0" t="s">
        <v>131</v>
      </c>
      <c r="E235" s="0" t="n">
        <v>5</v>
      </c>
      <c r="F235" s="0" t="n">
        <v>2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0" t="n">
        <v>5</v>
      </c>
      <c r="S235" s="1"/>
      <c r="T235" s="1"/>
      <c r="U235" s="1"/>
      <c r="V235" s="1"/>
      <c r="W235" s="1"/>
      <c r="X235" s="1"/>
      <c r="Y235" s="5"/>
      <c r="Z235" s="1"/>
    </row>
    <row r="236" customFormat="false" ht="15" hidden="false" customHeight="false" outlineLevel="0" collapsed="false">
      <c r="A236" s="0" t="s">
        <v>116</v>
      </c>
      <c r="B236" s="0" t="s">
        <v>117</v>
      </c>
      <c r="C236" s="0" t="s">
        <v>106</v>
      </c>
      <c r="D236" s="0" t="s">
        <v>131</v>
      </c>
      <c r="E236" s="0" t="n">
        <v>5</v>
      </c>
      <c r="F236" s="0" t="n"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0" t="n">
        <v>3</v>
      </c>
      <c r="S236" s="1"/>
      <c r="T236" s="1"/>
      <c r="U236" s="1"/>
      <c r="V236" s="1"/>
      <c r="W236" s="1"/>
      <c r="X236" s="1"/>
      <c r="Y236" s="5"/>
      <c r="Z236" s="1"/>
    </row>
    <row r="237" customFormat="false" ht="15" hidden="false" customHeight="false" outlineLevel="0" collapsed="false">
      <c r="A237" s="0" t="s">
        <v>118</v>
      </c>
      <c r="B237" s="0" t="s">
        <v>119</v>
      </c>
      <c r="C237" s="0" t="s">
        <v>106</v>
      </c>
      <c r="D237" s="0" t="s">
        <v>131</v>
      </c>
      <c r="E237" s="0" t="n">
        <v>5</v>
      </c>
      <c r="F237" s="0" t="n">
        <v>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0" t="n">
        <v>4</v>
      </c>
      <c r="S237" s="1"/>
      <c r="T237" s="1"/>
      <c r="U237" s="1"/>
      <c r="V237" s="1"/>
      <c r="W237" s="1"/>
      <c r="X237" s="1"/>
      <c r="Y237" s="5"/>
      <c r="Z237" s="1"/>
    </row>
    <row r="238" customFormat="false" ht="15" hidden="false" customHeight="false" outlineLevel="0" collapsed="false">
      <c r="A238" s="0" t="s">
        <v>120</v>
      </c>
      <c r="B238" s="0" t="s">
        <v>121</v>
      </c>
      <c r="C238" s="0" t="s">
        <v>106</v>
      </c>
      <c r="D238" s="0" t="s">
        <v>131</v>
      </c>
      <c r="E238" s="0" t="n">
        <v>5</v>
      </c>
      <c r="F238" s="0" t="n">
        <v>1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0" t="n">
        <v>2</v>
      </c>
      <c r="S238" s="1"/>
      <c r="T238" s="1"/>
      <c r="U238" s="1"/>
      <c r="V238" s="1"/>
      <c r="W238" s="1"/>
      <c r="X238" s="1"/>
      <c r="Y238" s="5"/>
      <c r="Z238" s="1"/>
    </row>
    <row r="239" customFormat="false" ht="15" hidden="false" customHeight="false" outlineLevel="0" collapsed="false">
      <c r="A239" s="0" t="s">
        <v>122</v>
      </c>
      <c r="B239" s="0" t="s">
        <v>123</v>
      </c>
      <c r="C239" s="0" t="s">
        <v>106</v>
      </c>
      <c r="D239" s="0" t="s">
        <v>131</v>
      </c>
      <c r="E239" s="0" t="n">
        <v>5</v>
      </c>
      <c r="F239" s="0" t="n">
        <v>2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0" t="n">
        <v>6</v>
      </c>
      <c r="S239" s="1"/>
      <c r="T239" s="1"/>
      <c r="U239" s="1"/>
      <c r="V239" s="1"/>
      <c r="W239" s="1"/>
      <c r="X239" s="1"/>
      <c r="Y239" s="5"/>
      <c r="Z239" s="1"/>
    </row>
    <row r="240" customFormat="false" ht="15" hidden="false" customHeight="false" outlineLevel="0" collapsed="false">
      <c r="A240" s="0" t="s">
        <v>124</v>
      </c>
      <c r="B240" s="0" t="s">
        <v>125</v>
      </c>
      <c r="C240" s="0" t="s">
        <v>106</v>
      </c>
      <c r="D240" s="0" t="s">
        <v>131</v>
      </c>
      <c r="E240" s="0" t="n">
        <v>5</v>
      </c>
      <c r="F240" s="0" t="n">
        <v>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0" t="n">
        <v>2</v>
      </c>
      <c r="S240" s="1"/>
      <c r="T240" s="1"/>
      <c r="U240" s="1"/>
      <c r="V240" s="1"/>
      <c r="W240" s="1"/>
      <c r="X240" s="1"/>
      <c r="Y240" s="5"/>
      <c r="Z240" s="1"/>
    </row>
    <row r="241" customFormat="false" ht="15" hidden="false" customHeight="false" outlineLevel="0" collapsed="false">
      <c r="A241" s="0" t="s">
        <v>126</v>
      </c>
      <c r="B241" s="0" t="s">
        <v>127</v>
      </c>
      <c r="C241" s="0" t="s">
        <v>106</v>
      </c>
      <c r="D241" s="0" t="s">
        <v>131</v>
      </c>
      <c r="E241" s="0" t="n">
        <v>5</v>
      </c>
      <c r="F241" s="0" t="n">
        <v>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0" t="n">
        <v>10</v>
      </c>
      <c r="S241" s="1"/>
      <c r="T241" s="1"/>
      <c r="U241" s="1"/>
      <c r="V241" s="1"/>
      <c r="W241" s="1"/>
      <c r="X241" s="1"/>
      <c r="Y241" s="5"/>
      <c r="Z241" s="1"/>
    </row>
    <row r="242" customFormat="false" ht="15" hidden="false" customHeight="false" outlineLevel="0" collapsed="false">
      <c r="A242" s="0" t="s">
        <v>26</v>
      </c>
      <c r="B242" s="0" t="s">
        <v>27</v>
      </c>
      <c r="C242" s="0" t="s">
        <v>28</v>
      </c>
      <c r="D242" s="0" t="s">
        <v>132</v>
      </c>
      <c r="E242" s="0" t="n">
        <v>6</v>
      </c>
      <c r="F242" s="0" t="n"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0" t="n">
        <v>2</v>
      </c>
      <c r="S242" s="0" t="n">
        <v>7.9</v>
      </c>
      <c r="T242" s="0" t="n">
        <f aca="false">(S242/55)*5</f>
        <v>0.718181818181818</v>
      </c>
      <c r="V242" s="0" t="n">
        <v>8.5</v>
      </c>
      <c r="W242" s="0" t="n">
        <v>4</v>
      </c>
      <c r="X242" s="3" t="n">
        <v>1.032</v>
      </c>
      <c r="Y242" s="2" t="n">
        <f aca="false">(V242*((W242+T242)/1000)*X242)/((((W242+T242)/1000)*X242)-((W242/1000)*0.9982))</f>
        <v>47.2268464730291</v>
      </c>
      <c r="Z242" s="3" t="n">
        <f aca="false">X242*(V242/100)*((W242+T242)/1000)*1000</f>
        <v>0.413878909090909</v>
      </c>
    </row>
    <row r="243" customFormat="false" ht="15" hidden="false" customHeight="false" outlineLevel="0" collapsed="false">
      <c r="A243" s="0" t="s">
        <v>32</v>
      </c>
      <c r="B243" s="0" t="s">
        <v>33</v>
      </c>
      <c r="C243" s="0" t="s">
        <v>28</v>
      </c>
      <c r="D243" s="0" t="s">
        <v>132</v>
      </c>
      <c r="E243" s="0" t="n">
        <v>6</v>
      </c>
      <c r="F243" s="0" t="n">
        <v>1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0" t="n">
        <v>4</v>
      </c>
      <c r="S243" s="0" t="n">
        <v>8.4</v>
      </c>
      <c r="T243" s="0" t="n">
        <f aca="false">(S243/55)*5</f>
        <v>0.763636363636364</v>
      </c>
      <c r="V243" s="0" t="n">
        <v>8</v>
      </c>
      <c r="W243" s="0" t="n">
        <v>4</v>
      </c>
      <c r="X243" s="3" t="n">
        <v>1.0299</v>
      </c>
      <c r="Y243" s="2" t="n">
        <f aca="false">(V243*((W243+T243)/1000)*X243)/((((W243+T243)/1000)*X243)-((W243/1000)*0.9982))</f>
        <v>42.9758908058563</v>
      </c>
      <c r="Z243" s="3" t="n">
        <f aca="false">X243*(V243/100)*((W243+T243)/1000)*1000</f>
        <v>0.392485527272727</v>
      </c>
    </row>
    <row r="244" customFormat="false" ht="15" hidden="false" customHeight="false" outlineLevel="0" collapsed="false">
      <c r="A244" s="0" t="s">
        <v>34</v>
      </c>
      <c r="B244" s="0" t="s">
        <v>35</v>
      </c>
      <c r="C244" s="0" t="s">
        <v>28</v>
      </c>
      <c r="D244" s="0" t="s">
        <v>132</v>
      </c>
      <c r="E244" s="0" t="n">
        <v>6</v>
      </c>
      <c r="F244" s="0" t="n">
        <v>1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0" t="n">
        <v>3</v>
      </c>
      <c r="S244" s="0" t="n">
        <v>35.8</v>
      </c>
      <c r="T244" s="0" t="n">
        <f aca="false">(S244/55)*5</f>
        <v>3.25454545454545</v>
      </c>
      <c r="V244" s="0" t="n">
        <v>23</v>
      </c>
      <c r="W244" s="0" t="n">
        <v>4</v>
      </c>
      <c r="X244" s="3" t="n">
        <v>1.09445</v>
      </c>
      <c r="Y244" s="2" t="n">
        <f aca="false">(V244*((W244+T244)/1000)*X244)/((((W244+T244)/1000)*X244)-((W244/1000)*0.9982))</f>
        <v>46.2672560150782</v>
      </c>
      <c r="Z244" s="3" t="n">
        <f aca="false">X244*(V244/100)*((W244+T244)/1000)*1000</f>
        <v>1.82613957272727</v>
      </c>
    </row>
    <row r="245" customFormat="false" ht="15" hidden="false" customHeight="false" outlineLevel="0" collapsed="false">
      <c r="A245" s="0" t="s">
        <v>36</v>
      </c>
      <c r="B245" s="0" t="s">
        <v>37</v>
      </c>
      <c r="C245" s="0" t="s">
        <v>28</v>
      </c>
      <c r="D245" s="0" t="s">
        <v>132</v>
      </c>
      <c r="E245" s="0" t="n">
        <v>6</v>
      </c>
      <c r="F245" s="0" t="n"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0" t="n">
        <v>3</v>
      </c>
      <c r="S245" s="0" t="n">
        <v>11.7</v>
      </c>
      <c r="T245" s="0" t="n">
        <f aca="false">(S245/55)*5</f>
        <v>1.06363636363636</v>
      </c>
      <c r="V245" s="0" t="n">
        <v>7</v>
      </c>
      <c r="W245" s="0" t="n">
        <v>4</v>
      </c>
      <c r="X245" s="3" t="n">
        <v>1.0259</v>
      </c>
      <c r="Y245" s="2" t="n">
        <f aca="false">(V245*((W245+T245)/1000)*X245)/((((W245+T245)/1000)*X245)-((W245/1000)*0.9982))</f>
        <v>30.2528780055408</v>
      </c>
      <c r="Z245" s="3" t="n">
        <f aca="false">X245*(V245/100)*((W245+T245)/1000)*1000</f>
        <v>0.363634918181818</v>
      </c>
    </row>
    <row r="246" customFormat="false" ht="15" hidden="false" customHeight="false" outlineLevel="0" collapsed="false">
      <c r="A246" s="0" t="s">
        <v>38</v>
      </c>
      <c r="B246" s="0" t="s">
        <v>39</v>
      </c>
      <c r="C246" s="0" t="s">
        <v>28</v>
      </c>
      <c r="D246" s="0" t="s">
        <v>132</v>
      </c>
      <c r="E246" s="0" t="n">
        <v>6</v>
      </c>
      <c r="F246" s="0" t="n">
        <v>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0" t="n">
        <v>6</v>
      </c>
      <c r="S246" s="0" t="n">
        <v>16.8</v>
      </c>
      <c r="T246" s="0" t="n">
        <f aca="false">(S246/55)*5</f>
        <v>1.52727272727273</v>
      </c>
      <c r="V246" s="0" t="n">
        <v>23</v>
      </c>
      <c r="W246" s="0" t="n">
        <v>4</v>
      </c>
      <c r="X246" s="3" t="n">
        <v>1.09445</v>
      </c>
      <c r="Y246" s="2" t="n">
        <f aca="false">(V246*((W246+T246)/1000)*X246)/((((W246+T246)/1000)*X246)-((W246/1000)*0.9982))</f>
        <v>67.6551638776117</v>
      </c>
      <c r="Z246" s="3" t="n">
        <f aca="false">X246*(V246/100)*((W246+T246)/1000)*1000</f>
        <v>1.39134443636364</v>
      </c>
    </row>
    <row r="247" customFormat="false" ht="15" hidden="false" customHeight="false" outlineLevel="0" collapsed="false">
      <c r="A247" s="0" t="s">
        <v>40</v>
      </c>
      <c r="B247" s="0" t="s">
        <v>41</v>
      </c>
      <c r="C247" s="0" t="s">
        <v>28</v>
      </c>
      <c r="D247" s="0" t="s">
        <v>132</v>
      </c>
      <c r="E247" s="0" t="n">
        <v>6</v>
      </c>
      <c r="F247" s="0" t="n">
        <v>1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0" t="n">
        <v>2</v>
      </c>
      <c r="S247" s="0" t="n">
        <v>4.9</v>
      </c>
      <c r="T247" s="0" t="n">
        <f aca="false">(S247/55)*5</f>
        <v>0.445454545454546</v>
      </c>
      <c r="V247" s="0" t="n">
        <v>4</v>
      </c>
      <c r="W247" s="0" t="n">
        <v>4</v>
      </c>
      <c r="X247" s="3" t="n">
        <v>1.0139</v>
      </c>
      <c r="Y247" s="2" t="n">
        <f aca="false">(V247*((W247+T247)/1000)*X247)/((((W247+T247)/1000)*X247)-((W247/1000)*0.9982))</f>
        <v>35.045413339318</v>
      </c>
      <c r="Z247" s="3" t="n">
        <f aca="false">X247*(V247/100)*((W247+T247)/1000)*1000</f>
        <v>0.180289854545455</v>
      </c>
    </row>
    <row r="248" customFormat="false" ht="15" hidden="false" customHeight="false" outlineLevel="0" collapsed="false">
      <c r="A248" s="0" t="s">
        <v>42</v>
      </c>
      <c r="B248" s="0" t="s">
        <v>43</v>
      </c>
      <c r="C248" s="0" t="s">
        <v>28</v>
      </c>
      <c r="D248" s="0" t="s">
        <v>132</v>
      </c>
      <c r="E248" s="0" t="n">
        <v>6</v>
      </c>
      <c r="F248" s="0" t="n">
        <v>1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0" t="n">
        <v>3</v>
      </c>
      <c r="S248" s="0" t="n">
        <v>51</v>
      </c>
      <c r="T248" s="0" t="n">
        <f aca="false">(S248/55)*5</f>
        <v>4.63636363636364</v>
      </c>
      <c r="V248" s="0" t="n">
        <v>33</v>
      </c>
      <c r="W248" s="0" t="n">
        <v>4</v>
      </c>
      <c r="X248" s="3" t="n">
        <v>1.1415</v>
      </c>
      <c r="Y248" s="2" t="n">
        <f aca="false">(V248*((W248+T248)/1000)*X248)/((((W248+T248)/1000)*X248)-((W248/1000)*0.9982))</f>
        <v>55.4635494725031</v>
      </c>
      <c r="Z248" s="3" t="n">
        <f aca="false">X248*(V248/100)*((W248+T248)/1000)*1000</f>
        <v>3.253275</v>
      </c>
    </row>
    <row r="249" customFormat="false" ht="15" hidden="false" customHeight="false" outlineLevel="0" collapsed="false">
      <c r="A249" s="0" t="s">
        <v>44</v>
      </c>
      <c r="B249" s="0" t="s">
        <v>45</v>
      </c>
      <c r="C249" s="0" t="s">
        <v>28</v>
      </c>
      <c r="D249" s="0" t="s">
        <v>132</v>
      </c>
      <c r="E249" s="0" t="n">
        <v>6</v>
      </c>
      <c r="F249" s="0" t="n">
        <v>1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0" t="n">
        <v>3</v>
      </c>
      <c r="S249" s="0" t="n">
        <v>9.9</v>
      </c>
      <c r="T249" s="0" t="n">
        <f aca="false">(S249/55)*5</f>
        <v>0.9</v>
      </c>
      <c r="V249" s="0" t="n">
        <v>10</v>
      </c>
      <c r="W249" s="0" t="n">
        <v>4</v>
      </c>
      <c r="X249" s="3" t="n">
        <v>1.0381</v>
      </c>
      <c r="Y249" s="2" t="n">
        <f aca="false">(V249*((W249+T249)/1000)*X249)/((((W249+T249)/1000)*X249)-((W249/1000)*0.9982))</f>
        <v>46.5009278812312</v>
      </c>
      <c r="Z249" s="3" t="n">
        <f aca="false">X249*(V249/100)*((W249+T249)/1000)*1000</f>
        <v>0.508669</v>
      </c>
    </row>
    <row r="250" customFormat="false" ht="15" hidden="false" customHeight="false" outlineLevel="0" collapsed="false">
      <c r="A250" s="0" t="s">
        <v>46</v>
      </c>
      <c r="B250" s="0" t="s">
        <v>47</v>
      </c>
      <c r="C250" s="0" t="s">
        <v>28</v>
      </c>
      <c r="D250" s="0" t="s">
        <v>132</v>
      </c>
      <c r="E250" s="0" t="n">
        <v>6</v>
      </c>
      <c r="F250" s="0" t="n">
        <v>1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0" t="n">
        <v>2</v>
      </c>
      <c r="S250" s="0" t="n">
        <v>4.9</v>
      </c>
      <c r="T250" s="0" t="n">
        <f aca="false">(S250/55)*5</f>
        <v>0.445454545454546</v>
      </c>
      <c r="V250" s="0" t="n">
        <v>5</v>
      </c>
      <c r="W250" s="0" t="n">
        <v>4</v>
      </c>
      <c r="X250" s="3" t="n">
        <v>1.0179</v>
      </c>
      <c r="Y250" s="2" t="n">
        <f aca="false">(V250*((W250+T250)/1000)*X250)/((((W250+T250)/1000)*X250)-((W250/1000)*0.9982))</f>
        <v>42.510227158208</v>
      </c>
      <c r="Z250" s="3" t="n">
        <f aca="false">X250*(V250/100)*((W250+T250)/1000)*1000</f>
        <v>0.226251409090909</v>
      </c>
    </row>
    <row r="251" customFormat="false" ht="15" hidden="false" customHeight="false" outlineLevel="0" collapsed="false">
      <c r="A251" s="0" t="s">
        <v>48</v>
      </c>
      <c r="B251" s="0" t="s">
        <v>49</v>
      </c>
      <c r="C251" s="0" t="s">
        <v>28</v>
      </c>
      <c r="D251" s="0" t="s">
        <v>132</v>
      </c>
      <c r="E251" s="0" t="n">
        <v>6</v>
      </c>
      <c r="F251" s="0" t="n">
        <v>1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0" t="n">
        <v>3</v>
      </c>
      <c r="S251" s="0" t="n">
        <v>8.2</v>
      </c>
      <c r="T251" s="0" t="n">
        <f aca="false">(S251/55)*5</f>
        <v>0.745454545454545</v>
      </c>
      <c r="V251" s="0" t="n">
        <v>9</v>
      </c>
      <c r="W251" s="0" t="n">
        <v>4</v>
      </c>
      <c r="X251" s="3" t="n">
        <v>1.0341</v>
      </c>
      <c r="Y251" s="2" t="n">
        <f aca="false">(V251*((W251+T251)/1000)*X251)/((((W251+T251)/1000)*X251)-((W251/1000)*0.9982))</f>
        <v>48.2960090344977</v>
      </c>
      <c r="Z251" s="3" t="n">
        <f aca="false">X251*(V251/100)*((W251+T251)/1000)*1000</f>
        <v>0.441654709090909</v>
      </c>
    </row>
    <row r="252" customFormat="false" ht="15" hidden="false" customHeight="false" outlineLevel="0" collapsed="false">
      <c r="A252" s="0" t="s">
        <v>50</v>
      </c>
      <c r="B252" s="0" t="s">
        <v>51</v>
      </c>
      <c r="C252" s="0" t="s">
        <v>28</v>
      </c>
      <c r="D252" s="0" t="s">
        <v>132</v>
      </c>
      <c r="E252" s="0" t="n">
        <v>6</v>
      </c>
      <c r="F252" s="0" t="n">
        <v>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0" t="n">
        <v>2</v>
      </c>
      <c r="S252" s="0" t="n">
        <v>6.4</v>
      </c>
      <c r="T252" s="0" t="n">
        <f aca="false">(S252/55)*5</f>
        <v>0.581818181818182</v>
      </c>
      <c r="V252" s="0" t="n">
        <v>5.5</v>
      </c>
      <c r="W252" s="0" t="n">
        <v>4</v>
      </c>
      <c r="X252" s="3" t="n">
        <v>1.01985</v>
      </c>
      <c r="Y252" s="2" t="n">
        <f aca="false">(V252*((W252+T252)/1000)*X252)/((((W252+T252)/1000)*X252)-((W252/1000)*0.9982))</f>
        <v>37.7962602478194</v>
      </c>
      <c r="Z252" s="3" t="n">
        <f aca="false">X252*(V252/100)*((W252+T252)/1000)*1000</f>
        <v>0.2570022</v>
      </c>
    </row>
    <row r="253" customFormat="false" ht="15" hidden="false" customHeight="false" outlineLevel="0" collapsed="false">
      <c r="A253" s="0" t="s">
        <v>52</v>
      </c>
      <c r="B253" s="0" t="s">
        <v>53</v>
      </c>
      <c r="C253" s="0" t="s">
        <v>28</v>
      </c>
      <c r="D253" s="0" t="s">
        <v>132</v>
      </c>
      <c r="E253" s="0" t="n">
        <v>6</v>
      </c>
      <c r="F253" s="0" t="n">
        <v>1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0" t="n">
        <v>3</v>
      </c>
      <c r="S253" s="0" t="n">
        <v>10.5</v>
      </c>
      <c r="T253" s="0" t="n">
        <f aca="false">(S253/55)*5</f>
        <v>0.954545454545455</v>
      </c>
      <c r="V253" s="0" t="n">
        <v>9</v>
      </c>
      <c r="W253" s="0" t="n">
        <v>4</v>
      </c>
      <c r="X253" s="3" t="n">
        <v>1.0341</v>
      </c>
      <c r="Y253" s="2" t="n">
        <f aca="false">(V253*((W253+T253)/1000)*X253)/((((W253+T253)/1000)*X253)-((W253/1000)*0.9982))</f>
        <v>40.7815021326376</v>
      </c>
      <c r="Z253" s="3" t="n">
        <f aca="false">X253*(V253/100)*((W253+T253)/1000)*1000</f>
        <v>0.461114590909091</v>
      </c>
    </row>
    <row r="254" customFormat="false" ht="15" hidden="false" customHeight="false" outlineLevel="0" collapsed="false">
      <c r="A254" s="0" t="s">
        <v>54</v>
      </c>
      <c r="B254" s="0" t="s">
        <v>55</v>
      </c>
      <c r="C254" s="0" t="s">
        <v>56</v>
      </c>
      <c r="D254" s="0" t="s">
        <v>132</v>
      </c>
      <c r="E254" s="0" t="n">
        <v>6</v>
      </c>
      <c r="F254" s="0" t="n">
        <v>0</v>
      </c>
      <c r="G254" s="1"/>
      <c r="H254" s="1"/>
      <c r="I254" s="0" t="n">
        <v>0</v>
      </c>
      <c r="J254" s="0" t="n">
        <f aca="false">(I254/55)*5</f>
        <v>0</v>
      </c>
      <c r="L254" s="0" t="n">
        <v>0</v>
      </c>
      <c r="M254" s="0" t="n">
        <v>0</v>
      </c>
      <c r="N254" s="0" t="n">
        <f aca="false">L254</f>
        <v>0</v>
      </c>
      <c r="O254" s="3" t="n">
        <v>0</v>
      </c>
      <c r="P254" s="3" t="n">
        <f aca="false">(O254*(N254/100)*(J254/1000))*1000</f>
        <v>0</v>
      </c>
      <c r="Q254" s="3"/>
      <c r="R254" s="1"/>
      <c r="S254" s="1"/>
      <c r="T254" s="1"/>
      <c r="U254" s="1"/>
      <c r="V254" s="1"/>
      <c r="W254" s="1"/>
      <c r="X254" s="1"/>
      <c r="Y254" s="5"/>
      <c r="Z254" s="1"/>
    </row>
    <row r="255" customFormat="false" ht="15" hidden="false" customHeight="false" outlineLevel="0" collapsed="false">
      <c r="A255" s="0" t="s">
        <v>57</v>
      </c>
      <c r="B255" s="0" t="s">
        <v>58</v>
      </c>
      <c r="C255" s="0" t="s">
        <v>56</v>
      </c>
      <c r="D255" s="0" t="s">
        <v>132</v>
      </c>
      <c r="E255" s="0" t="n">
        <v>6</v>
      </c>
      <c r="F255" s="0" t="n">
        <v>2</v>
      </c>
      <c r="G255" s="1"/>
      <c r="H255" s="1"/>
      <c r="I255" s="0" t="n">
        <f aca="false">71.1+73.9</f>
        <v>145</v>
      </c>
      <c r="J255" s="0" t="n">
        <f aca="false">(I255/55)*5</f>
        <v>13.1818181818182</v>
      </c>
      <c r="L255" s="0" t="n">
        <v>25.5</v>
      </c>
      <c r="M255" s="0" t="n">
        <v>0</v>
      </c>
      <c r="N255" s="0" t="n">
        <f aca="false">L255</f>
        <v>25.5</v>
      </c>
      <c r="O255" s="3" t="n">
        <v>1.105825</v>
      </c>
      <c r="P255" s="3" t="n">
        <f aca="false">(O255*(N255/100)*(J255/1000))*1000</f>
        <v>3.71707994318182</v>
      </c>
      <c r="Q255" s="3"/>
      <c r="R255" s="1"/>
      <c r="S255" s="1"/>
      <c r="T255" s="1"/>
      <c r="U255" s="1"/>
      <c r="V255" s="1"/>
      <c r="W255" s="1"/>
      <c r="X255" s="1"/>
      <c r="Y255" s="5"/>
      <c r="Z255" s="1"/>
    </row>
    <row r="256" customFormat="false" ht="15" hidden="false" customHeight="false" outlineLevel="0" collapsed="false">
      <c r="A256" s="0" t="s">
        <v>59</v>
      </c>
      <c r="B256" s="0" t="s">
        <v>60</v>
      </c>
      <c r="C256" s="0" t="s">
        <v>56</v>
      </c>
      <c r="D256" s="0" t="s">
        <v>132</v>
      </c>
      <c r="E256" s="0" t="n">
        <v>6</v>
      </c>
      <c r="F256" s="0" t="n">
        <v>0</v>
      </c>
      <c r="G256" s="1"/>
      <c r="H256" s="1"/>
      <c r="I256" s="0" t="n">
        <v>0</v>
      </c>
      <c r="J256" s="0" t="n">
        <f aca="false">(I256/55)*5</f>
        <v>0</v>
      </c>
      <c r="L256" s="0" t="n">
        <v>0</v>
      </c>
      <c r="M256" s="0" t="n">
        <v>0</v>
      </c>
      <c r="N256" s="0" t="n">
        <f aca="false">L256</f>
        <v>0</v>
      </c>
      <c r="O256" s="3" t="n">
        <v>0</v>
      </c>
      <c r="P256" s="3" t="n">
        <f aca="false">(O256*(N256/100)*(J256/1000))*1000</f>
        <v>0</v>
      </c>
      <c r="Q256" s="3"/>
      <c r="R256" s="1"/>
      <c r="S256" s="1"/>
      <c r="T256" s="1"/>
      <c r="U256" s="1"/>
      <c r="V256" s="1"/>
      <c r="W256" s="1"/>
      <c r="X256" s="1"/>
      <c r="Y256" s="5"/>
      <c r="Z256" s="1"/>
    </row>
    <row r="257" customFormat="false" ht="15" hidden="false" customHeight="false" outlineLevel="0" collapsed="false">
      <c r="A257" s="0" t="s">
        <v>61</v>
      </c>
      <c r="B257" s="0" t="s">
        <v>62</v>
      </c>
      <c r="C257" s="0" t="s">
        <v>56</v>
      </c>
      <c r="D257" s="0" t="s">
        <v>132</v>
      </c>
      <c r="E257" s="0" t="n">
        <v>6</v>
      </c>
      <c r="F257" s="0" t="n">
        <v>3</v>
      </c>
      <c r="G257" s="1"/>
      <c r="H257" s="1"/>
      <c r="I257" s="0" t="n">
        <f aca="false">59.9+81.6+99</f>
        <v>240.5</v>
      </c>
      <c r="J257" s="0" t="n">
        <f aca="false">(I257/55)*5</f>
        <v>21.8636363636364</v>
      </c>
      <c r="L257" s="0" t="n">
        <v>22</v>
      </c>
      <c r="M257" s="0" t="n">
        <v>0</v>
      </c>
      <c r="N257" s="0" t="n">
        <f aca="false">L257</f>
        <v>22</v>
      </c>
      <c r="O257" s="3" t="n">
        <v>1.0899</v>
      </c>
      <c r="P257" s="3" t="n">
        <f aca="false">(O257*(N257/100)*(J257/1000))*1000</f>
        <v>5.242419</v>
      </c>
      <c r="Q257" s="3"/>
      <c r="R257" s="1"/>
      <c r="S257" s="1"/>
      <c r="T257" s="1"/>
      <c r="U257" s="1"/>
      <c r="V257" s="1"/>
      <c r="W257" s="1"/>
      <c r="X257" s="1"/>
      <c r="Y257" s="5"/>
      <c r="Z257" s="1"/>
    </row>
    <row r="258" customFormat="false" ht="15" hidden="false" customHeight="false" outlineLevel="0" collapsed="false">
      <c r="A258" s="0" t="s">
        <v>63</v>
      </c>
      <c r="B258" s="0" t="s">
        <v>64</v>
      </c>
      <c r="C258" s="0" t="s">
        <v>56</v>
      </c>
      <c r="D258" s="0" t="s">
        <v>132</v>
      </c>
      <c r="E258" s="0" t="n">
        <v>6</v>
      </c>
      <c r="F258" s="0" t="n">
        <v>1</v>
      </c>
      <c r="G258" s="1"/>
      <c r="H258" s="1"/>
      <c r="I258" s="0" t="n">
        <f aca="false">71.7-13.2-5.1</f>
        <v>53.4</v>
      </c>
      <c r="J258" s="0" t="n">
        <f aca="false">(I258/55)*5</f>
        <v>4.85454545454545</v>
      </c>
      <c r="L258" s="0" t="n">
        <v>25</v>
      </c>
      <c r="M258" s="0" t="n">
        <v>0</v>
      </c>
      <c r="N258" s="0" t="n">
        <f aca="false">L258</f>
        <v>25</v>
      </c>
      <c r="O258" s="3" t="n">
        <v>1.10355</v>
      </c>
      <c r="P258" s="3" t="n">
        <f aca="false">(O258*(N258/100)*(J258/1000))*1000</f>
        <v>1.33930840909091</v>
      </c>
      <c r="Q258" s="3"/>
      <c r="R258" s="1"/>
      <c r="S258" s="1"/>
      <c r="T258" s="1"/>
      <c r="U258" s="1"/>
      <c r="V258" s="1"/>
      <c r="W258" s="1"/>
      <c r="X258" s="1"/>
      <c r="Y258" s="5"/>
      <c r="Z258" s="1"/>
    </row>
    <row r="259" customFormat="false" ht="15" hidden="false" customHeight="false" outlineLevel="0" collapsed="false">
      <c r="A259" s="0" t="s">
        <v>65</v>
      </c>
      <c r="B259" s="0" t="s">
        <v>66</v>
      </c>
      <c r="C259" s="0" t="s">
        <v>56</v>
      </c>
      <c r="D259" s="0" t="s">
        <v>132</v>
      </c>
      <c r="E259" s="0" t="n">
        <v>6</v>
      </c>
      <c r="F259" s="0" t="n">
        <v>2</v>
      </c>
      <c r="G259" s="1"/>
      <c r="H259" s="1"/>
      <c r="I259" s="0" t="n">
        <f aca="false">86.7+33</f>
        <v>119.7</v>
      </c>
      <c r="J259" s="0" t="n">
        <f aca="false">(I259/55)*5</f>
        <v>10.8818181818182</v>
      </c>
      <c r="L259" s="0" t="n">
        <v>24.5</v>
      </c>
      <c r="M259" s="0" t="n">
        <v>0</v>
      </c>
      <c r="N259" s="0" t="n">
        <f aca="false">L259</f>
        <v>24.5</v>
      </c>
      <c r="O259" s="3" t="n">
        <v>1.101275</v>
      </c>
      <c r="P259" s="3" t="n">
        <f aca="false">(O259*(N259/100)*(J259/1000))*1000</f>
        <v>2.93604920795454</v>
      </c>
      <c r="Q259" s="3"/>
      <c r="R259" s="1"/>
      <c r="S259" s="1"/>
      <c r="T259" s="1"/>
      <c r="U259" s="1"/>
      <c r="V259" s="1"/>
      <c r="W259" s="1"/>
      <c r="X259" s="1"/>
      <c r="Y259" s="5"/>
      <c r="Z259" s="1"/>
    </row>
    <row r="260" customFormat="false" ht="15" hidden="false" customHeight="false" outlineLevel="0" collapsed="false">
      <c r="A260" s="0" t="s">
        <v>67</v>
      </c>
      <c r="B260" s="0" t="s">
        <v>68</v>
      </c>
      <c r="C260" s="0" t="s">
        <v>56</v>
      </c>
      <c r="D260" s="0" t="s">
        <v>132</v>
      </c>
      <c r="E260" s="0" t="n">
        <v>6</v>
      </c>
      <c r="F260" s="0" t="n">
        <v>1</v>
      </c>
      <c r="G260" s="1"/>
      <c r="H260" s="1"/>
      <c r="I260" s="0" t="n">
        <v>78.8</v>
      </c>
      <c r="J260" s="0" t="n">
        <f aca="false">(I260/55)*5</f>
        <v>7.16363636363636</v>
      </c>
      <c r="L260" s="0" t="n">
        <v>25</v>
      </c>
      <c r="M260" s="0" t="n">
        <v>0</v>
      </c>
      <c r="N260" s="0" t="n">
        <f aca="false">L260</f>
        <v>25</v>
      </c>
      <c r="O260" s="3" t="n">
        <v>1.10355</v>
      </c>
      <c r="P260" s="3" t="n">
        <f aca="false">(O260*(N260/100)*(J260/1000))*1000</f>
        <v>1.97635772727273</v>
      </c>
      <c r="Q260" s="3"/>
      <c r="R260" s="1"/>
      <c r="S260" s="1"/>
      <c r="T260" s="1"/>
      <c r="U260" s="1"/>
      <c r="V260" s="1"/>
      <c r="W260" s="1"/>
      <c r="X260" s="1"/>
      <c r="Y260" s="5"/>
      <c r="Z260" s="1"/>
    </row>
    <row r="261" customFormat="false" ht="15" hidden="false" customHeight="false" outlineLevel="0" collapsed="false">
      <c r="A261" s="0" t="s">
        <v>69</v>
      </c>
      <c r="B261" s="0" t="s">
        <v>70</v>
      </c>
      <c r="C261" s="0" t="s">
        <v>56</v>
      </c>
      <c r="D261" s="0" t="s">
        <v>132</v>
      </c>
      <c r="E261" s="0" t="n">
        <v>6</v>
      </c>
      <c r="F261" s="0" t="n">
        <v>2</v>
      </c>
      <c r="G261" s="1"/>
      <c r="H261" s="1"/>
      <c r="I261" s="0" t="n">
        <f aca="false">94.9+35.9</f>
        <v>130.8</v>
      </c>
      <c r="J261" s="0" t="n">
        <f aca="false">(I261/55)*5</f>
        <v>11.8909090909091</v>
      </c>
      <c r="L261" s="0" t="n">
        <v>23</v>
      </c>
      <c r="M261" s="0" t="n">
        <v>0</v>
      </c>
      <c r="N261" s="0" t="n">
        <f aca="false">L261</f>
        <v>23</v>
      </c>
      <c r="O261" s="3" t="n">
        <v>1.09445</v>
      </c>
      <c r="P261" s="3" t="n">
        <f aca="false">(O261*(N261/100)*(J261/1000))*1000</f>
        <v>2.99322125454546</v>
      </c>
      <c r="Q261" s="3"/>
      <c r="R261" s="1"/>
      <c r="S261" s="1"/>
      <c r="T261" s="1"/>
      <c r="U261" s="1"/>
      <c r="V261" s="1"/>
      <c r="W261" s="1"/>
      <c r="X261" s="1"/>
      <c r="Y261" s="5"/>
      <c r="Z261" s="1"/>
    </row>
    <row r="262" customFormat="false" ht="15" hidden="false" customHeight="false" outlineLevel="0" collapsed="false">
      <c r="A262" s="0" t="s">
        <v>71</v>
      </c>
      <c r="B262" s="0" t="s">
        <v>72</v>
      </c>
      <c r="C262" s="0" t="s">
        <v>56</v>
      </c>
      <c r="D262" s="0" t="s">
        <v>132</v>
      </c>
      <c r="E262" s="0" t="n">
        <v>6</v>
      </c>
      <c r="F262" s="0" t="n">
        <v>0</v>
      </c>
      <c r="G262" s="1"/>
      <c r="H262" s="1"/>
      <c r="I262" s="0" t="n">
        <v>0</v>
      </c>
      <c r="J262" s="0" t="n">
        <f aca="false">(I262/55)*5</f>
        <v>0</v>
      </c>
      <c r="L262" s="0" t="n">
        <v>0</v>
      </c>
      <c r="M262" s="0" t="n">
        <v>0</v>
      </c>
      <c r="N262" s="0" t="n">
        <f aca="false">L262</f>
        <v>0</v>
      </c>
      <c r="O262" s="3" t="n">
        <v>0</v>
      </c>
      <c r="P262" s="3" t="n">
        <f aca="false">(O262*(N262/100)*(J262/1000))*1000</f>
        <v>0</v>
      </c>
      <c r="Q262" s="3"/>
      <c r="R262" s="1"/>
      <c r="S262" s="1"/>
      <c r="T262" s="1"/>
      <c r="U262" s="1"/>
      <c r="V262" s="1"/>
      <c r="W262" s="1"/>
      <c r="X262" s="1"/>
      <c r="Y262" s="5"/>
      <c r="Z262" s="1"/>
    </row>
    <row r="263" customFormat="false" ht="15" hidden="false" customHeight="false" outlineLevel="0" collapsed="false">
      <c r="A263" s="0" t="s">
        <v>73</v>
      </c>
      <c r="B263" s="0" t="s">
        <v>74</v>
      </c>
      <c r="C263" s="0" t="s">
        <v>56</v>
      </c>
      <c r="D263" s="0" t="s">
        <v>132</v>
      </c>
      <c r="E263" s="0" t="n">
        <v>6</v>
      </c>
      <c r="F263" s="0" t="n">
        <v>1</v>
      </c>
      <c r="G263" s="1"/>
      <c r="H263" s="1"/>
      <c r="I263" s="0" t="n">
        <v>108.5</v>
      </c>
      <c r="J263" s="0" t="n">
        <f aca="false">(I263/55)*5</f>
        <v>9.86363636363636</v>
      </c>
      <c r="L263" s="0" t="n">
        <v>23</v>
      </c>
      <c r="M263" s="0" t="n">
        <v>0</v>
      </c>
      <c r="N263" s="0" t="n">
        <f aca="false">L263</f>
        <v>23</v>
      </c>
      <c r="O263" s="3" t="n">
        <v>1.09445</v>
      </c>
      <c r="P263" s="3" t="n">
        <f aca="false">(O263*(N263/100)*(J263/1000))*1000</f>
        <v>2.48290906818182</v>
      </c>
      <c r="Q263" s="3"/>
      <c r="R263" s="1"/>
      <c r="S263" s="1"/>
      <c r="T263" s="1"/>
      <c r="U263" s="1"/>
      <c r="V263" s="1"/>
      <c r="W263" s="1"/>
      <c r="X263" s="1"/>
      <c r="Y263" s="5"/>
      <c r="Z263" s="1"/>
    </row>
    <row r="264" customFormat="false" ht="15" hidden="false" customHeight="false" outlineLevel="0" collapsed="false">
      <c r="A264" s="0" t="s">
        <v>75</v>
      </c>
      <c r="B264" s="0" t="s">
        <v>76</v>
      </c>
      <c r="C264" s="0" t="s">
        <v>56</v>
      </c>
      <c r="D264" s="0" t="s">
        <v>132</v>
      </c>
      <c r="E264" s="0" t="n">
        <v>6</v>
      </c>
      <c r="F264" s="0" t="n">
        <v>1</v>
      </c>
      <c r="G264" s="1"/>
      <c r="H264" s="1"/>
      <c r="I264" s="0" t="n">
        <v>78.1</v>
      </c>
      <c r="J264" s="0" t="n">
        <f aca="false">(I264/55)*5</f>
        <v>7.1</v>
      </c>
      <c r="L264" s="0" t="n">
        <v>24.5</v>
      </c>
      <c r="M264" s="0" t="n">
        <v>0</v>
      </c>
      <c r="N264" s="0" t="n">
        <f aca="false">L264</f>
        <v>24.5</v>
      </c>
      <c r="O264" s="3" t="n">
        <v>1.101275</v>
      </c>
      <c r="P264" s="3" t="n">
        <f aca="false">(O264*(N264/100)*(J264/1000))*1000</f>
        <v>1.9156678625</v>
      </c>
      <c r="Q264" s="3"/>
      <c r="R264" s="1"/>
      <c r="S264" s="1"/>
      <c r="T264" s="1"/>
      <c r="U264" s="1"/>
      <c r="V264" s="1"/>
      <c r="W264" s="1"/>
      <c r="X264" s="1"/>
      <c r="Y264" s="5"/>
      <c r="Z264" s="1"/>
    </row>
    <row r="265" customFormat="false" ht="15" hidden="false" customHeight="false" outlineLevel="0" collapsed="false">
      <c r="A265" s="0" t="s">
        <v>77</v>
      </c>
      <c r="B265" s="0" t="s">
        <v>78</v>
      </c>
      <c r="C265" s="0" t="s">
        <v>56</v>
      </c>
      <c r="D265" s="0" t="s">
        <v>132</v>
      </c>
      <c r="E265" s="0" t="n">
        <v>6</v>
      </c>
      <c r="F265" s="0" t="n">
        <v>1</v>
      </c>
      <c r="G265" s="1"/>
      <c r="H265" s="1"/>
      <c r="I265" s="0" t="n">
        <v>77.5</v>
      </c>
      <c r="J265" s="0" t="n">
        <f aca="false">(I265/55)*5</f>
        <v>7.04545454545455</v>
      </c>
      <c r="L265" s="0" t="n">
        <v>26.5</v>
      </c>
      <c r="M265" s="0" t="n">
        <v>0</v>
      </c>
      <c r="N265" s="0" t="n">
        <f aca="false">L265</f>
        <v>26.5</v>
      </c>
      <c r="O265" s="3" t="n">
        <v>1.11045</v>
      </c>
      <c r="P265" s="3" t="n">
        <f aca="false">(O265*(N265/100)*(J265/1000))*1000</f>
        <v>2.073260625</v>
      </c>
      <c r="Q265" s="3"/>
      <c r="R265" s="1"/>
      <c r="S265" s="1"/>
      <c r="T265" s="1"/>
      <c r="U265" s="1"/>
      <c r="V265" s="1"/>
      <c r="W265" s="1"/>
      <c r="X265" s="1"/>
      <c r="Y265" s="5"/>
      <c r="Z265" s="1"/>
    </row>
    <row r="266" customFormat="false" ht="15" hidden="false" customHeight="false" outlineLevel="0" collapsed="false">
      <c r="A266" s="0" t="s">
        <v>79</v>
      </c>
      <c r="B266" s="0" t="s">
        <v>80</v>
      </c>
      <c r="C266" s="0" t="s">
        <v>81</v>
      </c>
      <c r="D266" s="0" t="s">
        <v>132</v>
      </c>
      <c r="E266" s="0" t="n">
        <v>6</v>
      </c>
      <c r="F266" s="0" t="n">
        <v>0</v>
      </c>
      <c r="G266" s="1"/>
      <c r="H266" s="1"/>
      <c r="I266" s="0" t="n">
        <v>0</v>
      </c>
      <c r="J266" s="0" t="n">
        <f aca="false">(I266/55)*5</f>
        <v>0</v>
      </c>
      <c r="L266" s="0" t="n">
        <v>0</v>
      </c>
      <c r="M266" s="0" t="n">
        <v>0</v>
      </c>
      <c r="N266" s="0" t="n">
        <f aca="false">L266</f>
        <v>0</v>
      </c>
      <c r="O266" s="3" t="n">
        <v>0</v>
      </c>
      <c r="P266" s="3" t="n">
        <f aca="false">(O266*(N266/100)*(J266/1000))*1000</f>
        <v>0</v>
      </c>
      <c r="Q266" s="3"/>
      <c r="R266" s="0" t="n">
        <v>3</v>
      </c>
      <c r="S266" s="0" t="n">
        <v>10.9</v>
      </c>
      <c r="T266" s="0" t="n">
        <f aca="false">(S266/55)*5</f>
        <v>0.990909090909091</v>
      </c>
      <c r="V266" s="0" t="n">
        <v>14</v>
      </c>
      <c r="W266" s="0" t="n">
        <v>4</v>
      </c>
      <c r="X266" s="3" t="n">
        <v>1.0549</v>
      </c>
      <c r="Y266" s="2" t="n">
        <f aca="false">(V266*((W266+T266)/1000)*X266)/((((W266+T266)/1000)*X266)-((W266/1000)*0.9982))</f>
        <v>57.9421119242833</v>
      </c>
      <c r="Z266" s="3" t="n">
        <f aca="false">X266*(V266/100)*((W266+T266)/1000)*1000</f>
        <v>0.7370874</v>
      </c>
    </row>
    <row r="267" customFormat="false" ht="15" hidden="false" customHeight="false" outlineLevel="0" collapsed="false">
      <c r="A267" s="0" t="s">
        <v>82</v>
      </c>
      <c r="B267" s="0" t="s">
        <v>83</v>
      </c>
      <c r="C267" s="0" t="s">
        <v>81</v>
      </c>
      <c r="D267" s="0" t="s">
        <v>132</v>
      </c>
      <c r="E267" s="0" t="n">
        <v>6</v>
      </c>
      <c r="F267" s="0" t="n">
        <v>0</v>
      </c>
      <c r="G267" s="1"/>
      <c r="H267" s="1"/>
      <c r="I267" s="0" t="n">
        <v>0</v>
      </c>
      <c r="J267" s="0" t="n">
        <f aca="false">(I267/55)*5</f>
        <v>0</v>
      </c>
      <c r="L267" s="0" t="n">
        <v>0</v>
      </c>
      <c r="M267" s="0" t="n">
        <v>0</v>
      </c>
      <c r="N267" s="0" t="n">
        <f aca="false">L267</f>
        <v>0</v>
      </c>
      <c r="O267" s="3" t="n">
        <v>0</v>
      </c>
      <c r="P267" s="3" t="n">
        <f aca="false">(O267*(N267/100)*(J267/1000))*1000</f>
        <v>0</v>
      </c>
      <c r="Q267" s="3"/>
      <c r="R267" s="0" t="n">
        <v>1</v>
      </c>
      <c r="S267" s="0" t="n">
        <v>9.2</v>
      </c>
      <c r="T267" s="0" t="n">
        <f aca="false">(S267/55)*5</f>
        <v>0.836363636363636</v>
      </c>
      <c r="V267" s="0" t="n">
        <v>12.5</v>
      </c>
      <c r="W267" s="0" t="n">
        <v>4</v>
      </c>
      <c r="X267" s="3" t="n">
        <v>1.0486</v>
      </c>
      <c r="Y267" s="2" t="n">
        <f aca="false">(V267*((W267+T267)/1000)*X267)/((((W267+T267)/1000)*X267)-((W267/1000)*0.9982))</f>
        <v>58.7724784065701</v>
      </c>
      <c r="Z267" s="3" t="n">
        <f aca="false">X267*(V267/100)*((W267+T267)/1000)*1000</f>
        <v>0.633926363636364</v>
      </c>
    </row>
    <row r="268" customFormat="false" ht="15" hidden="false" customHeight="false" outlineLevel="0" collapsed="false">
      <c r="A268" s="0" t="s">
        <v>84</v>
      </c>
      <c r="B268" s="0" t="s">
        <v>85</v>
      </c>
      <c r="C268" s="0" t="s">
        <v>81</v>
      </c>
      <c r="D268" s="0" t="s">
        <v>132</v>
      </c>
      <c r="E268" s="0" t="n">
        <v>6</v>
      </c>
      <c r="F268" s="0" t="n">
        <v>0</v>
      </c>
      <c r="G268" s="1"/>
      <c r="H268" s="1"/>
      <c r="I268" s="0" t="n">
        <v>0</v>
      </c>
      <c r="J268" s="0" t="n">
        <f aca="false">(I268/55)*5</f>
        <v>0</v>
      </c>
      <c r="L268" s="0" t="n">
        <v>0</v>
      </c>
      <c r="M268" s="0" t="n">
        <v>0</v>
      </c>
      <c r="N268" s="0" t="n">
        <f aca="false">L268</f>
        <v>0</v>
      </c>
      <c r="O268" s="3" t="n">
        <v>0</v>
      </c>
      <c r="P268" s="3" t="n">
        <f aca="false">(O268*(N268/100)*(J268/1000))*1000</f>
        <v>0</v>
      </c>
      <c r="Q268" s="3"/>
      <c r="R268" s="0" t="n">
        <v>1</v>
      </c>
      <c r="S268" s="0" t="n">
        <v>4.8</v>
      </c>
      <c r="T268" s="0" t="n">
        <f aca="false">(S268/55)*5</f>
        <v>0.436363636363636</v>
      </c>
      <c r="V268" s="0" t="n">
        <v>7</v>
      </c>
      <c r="W268" s="0" t="n">
        <v>4</v>
      </c>
      <c r="X268" s="3" t="n">
        <v>1.0259</v>
      </c>
      <c r="Y268" s="2" t="n">
        <f aca="false">(V268*((W268+T268)/1000)*X268)/((((W268+T268)/1000)*X268)-((W268/1000)*0.9982))</f>
        <v>57.0471421688002</v>
      </c>
      <c r="Z268" s="3" t="n">
        <f aca="false">X268*(V268/100)*((W268+T268)/1000)*1000</f>
        <v>0.318588581818182</v>
      </c>
    </row>
    <row r="269" customFormat="false" ht="15" hidden="false" customHeight="false" outlineLevel="0" collapsed="false">
      <c r="A269" s="0" t="s">
        <v>86</v>
      </c>
      <c r="B269" s="0" t="s">
        <v>87</v>
      </c>
      <c r="C269" s="0" t="s">
        <v>81</v>
      </c>
      <c r="D269" s="0" t="s">
        <v>132</v>
      </c>
      <c r="E269" s="0" t="n">
        <v>6</v>
      </c>
      <c r="F269" s="0" t="n">
        <v>1</v>
      </c>
      <c r="G269" s="1"/>
      <c r="H269" s="1"/>
      <c r="I269" s="0" t="n">
        <v>89.3</v>
      </c>
      <c r="J269" s="0" t="n">
        <f aca="false">(I269/55)*5</f>
        <v>8.11818181818182</v>
      </c>
      <c r="L269" s="0" t="n">
        <v>24</v>
      </c>
      <c r="M269" s="0" t="n">
        <v>0</v>
      </c>
      <c r="N269" s="0" t="n">
        <f aca="false">L269</f>
        <v>24</v>
      </c>
      <c r="O269" s="3" t="n">
        <v>1.099</v>
      </c>
      <c r="P269" s="3" t="n">
        <f aca="false">(O269*(N269/100)*(J269/1000))*1000</f>
        <v>2.14125163636364</v>
      </c>
      <c r="Q269" s="3"/>
      <c r="R269" s="0" t="n">
        <v>3</v>
      </c>
      <c r="S269" s="0" t="n">
        <v>4.2</v>
      </c>
      <c r="T269" s="0" t="n">
        <f aca="false">(S269/55)*5</f>
        <v>0.381818181818182</v>
      </c>
      <c r="V269" s="0" t="n">
        <v>3</v>
      </c>
      <c r="W269" s="0" t="n">
        <v>4</v>
      </c>
      <c r="X269" s="3" t="n">
        <v>1.0099</v>
      </c>
      <c r="Y269" s="2" t="n">
        <f aca="false">(V269*((W269+T269)/1000)*X269)/((((W269+T269)/1000)*X269)-((W269/1000)*0.9982))</f>
        <v>30.7022441436555</v>
      </c>
      <c r="Z269" s="3" t="n">
        <f aca="false">X269*(V269/100)*((W269+T269)/1000)*1000</f>
        <v>0.132755945454545</v>
      </c>
    </row>
    <row r="270" customFormat="false" ht="15" hidden="false" customHeight="false" outlineLevel="0" collapsed="false">
      <c r="A270" s="0" t="s">
        <v>88</v>
      </c>
      <c r="B270" s="0" t="s">
        <v>89</v>
      </c>
      <c r="C270" s="0" t="s">
        <v>81</v>
      </c>
      <c r="D270" s="0" t="s">
        <v>132</v>
      </c>
      <c r="E270" s="0" t="n">
        <v>6</v>
      </c>
      <c r="F270" s="0" t="n">
        <v>2</v>
      </c>
      <c r="G270" s="1"/>
      <c r="H270" s="1"/>
      <c r="I270" s="0" t="n">
        <f aca="false">10.6+89.5+93.7</f>
        <v>193.8</v>
      </c>
      <c r="J270" s="0" t="n">
        <f aca="false">(I270/55)*5</f>
        <v>17.6181818181818</v>
      </c>
      <c r="L270" s="0" t="n">
        <v>24</v>
      </c>
      <c r="M270" s="0" t="n">
        <v>0</v>
      </c>
      <c r="N270" s="0" t="n">
        <f aca="false">L270</f>
        <v>24</v>
      </c>
      <c r="O270" s="3" t="n">
        <v>1.099</v>
      </c>
      <c r="P270" s="3" t="n">
        <f aca="false">(O270*(N270/100)*(J270/1000))*1000</f>
        <v>4.64697163636364</v>
      </c>
      <c r="Q270" s="3"/>
      <c r="R270" s="0" t="n">
        <v>3</v>
      </c>
      <c r="S270" s="0" t="n">
        <v>5.3</v>
      </c>
      <c r="T270" s="0" t="n">
        <f aca="false">(S270/55)*5</f>
        <v>0.481818181818182</v>
      </c>
      <c r="V270" s="0" t="n">
        <v>5.5</v>
      </c>
      <c r="W270" s="0" t="n">
        <v>4</v>
      </c>
      <c r="X270" s="3" t="n">
        <v>1.01985</v>
      </c>
      <c r="Y270" s="2" t="n">
        <f aca="false">(V270*((W270+T270)/1000)*X270)/((((W270+T270)/1000)*X270)-((W270/1000)*0.9982))</f>
        <v>43.49493693185</v>
      </c>
      <c r="Z270" s="3" t="n">
        <f aca="false">X270*(V270/100)*((W270+T270)/1000)*1000</f>
        <v>0.251393025</v>
      </c>
    </row>
    <row r="271" customFormat="false" ht="15" hidden="false" customHeight="false" outlineLevel="0" collapsed="false">
      <c r="A271" s="0" t="s">
        <v>90</v>
      </c>
      <c r="B271" s="0" t="s">
        <v>91</v>
      </c>
      <c r="C271" s="0" t="s">
        <v>81</v>
      </c>
      <c r="D271" s="0" t="s">
        <v>132</v>
      </c>
      <c r="E271" s="0" t="n">
        <v>6</v>
      </c>
      <c r="F271" s="0" t="n">
        <v>0</v>
      </c>
      <c r="G271" s="1"/>
      <c r="H271" s="1"/>
      <c r="I271" s="0" t="n">
        <v>0</v>
      </c>
      <c r="J271" s="0" t="n">
        <f aca="false">(I271/55)*5</f>
        <v>0</v>
      </c>
      <c r="L271" s="0" t="n">
        <v>0</v>
      </c>
      <c r="M271" s="0" t="n">
        <v>0</v>
      </c>
      <c r="N271" s="0" t="n">
        <f aca="false">L271</f>
        <v>0</v>
      </c>
      <c r="O271" s="3" t="n">
        <v>0</v>
      </c>
      <c r="P271" s="3" t="n">
        <f aca="false">(O271*(N271/100)*(J271/1000))*1000</f>
        <v>0</v>
      </c>
      <c r="Q271" s="3"/>
      <c r="R271" s="0" t="n">
        <v>0</v>
      </c>
      <c r="S271" s="0" t="n">
        <v>0</v>
      </c>
      <c r="T271" s="0" t="n">
        <f aca="false">(S271/55)*5</f>
        <v>0</v>
      </c>
      <c r="V271" s="0" t="n">
        <v>0</v>
      </c>
      <c r="W271" s="0" t="n">
        <v>0</v>
      </c>
      <c r="X271" s="3" t="n">
        <v>0</v>
      </c>
      <c r="Y271" s="2" t="n">
        <v>0</v>
      </c>
      <c r="Z271" s="3" t="n">
        <f aca="false">X271*(V271/100)*((W271+T271)/1000)*1000</f>
        <v>0</v>
      </c>
    </row>
    <row r="272" customFormat="false" ht="15" hidden="false" customHeight="false" outlineLevel="0" collapsed="false">
      <c r="A272" s="0" t="s">
        <v>92</v>
      </c>
      <c r="B272" s="0" t="s">
        <v>93</v>
      </c>
      <c r="C272" s="0" t="s">
        <v>81</v>
      </c>
      <c r="D272" s="0" t="s">
        <v>132</v>
      </c>
      <c r="E272" s="0" t="n">
        <v>6</v>
      </c>
      <c r="F272" s="0" t="n">
        <v>1</v>
      </c>
      <c r="G272" s="1"/>
      <c r="H272" s="1"/>
      <c r="I272" s="0" t="n">
        <v>61.9</v>
      </c>
      <c r="J272" s="0" t="n">
        <f aca="false">(I272/55)*5</f>
        <v>5.62727272727273</v>
      </c>
      <c r="L272" s="0" t="n">
        <v>21</v>
      </c>
      <c r="M272" s="0" t="n">
        <v>0</v>
      </c>
      <c r="N272" s="0" t="n">
        <f aca="false">L272</f>
        <v>21</v>
      </c>
      <c r="O272" s="3" t="n">
        <v>1.08545</v>
      </c>
      <c r="P272" s="3" t="n">
        <f aca="false">(O272*(N272/100)*(J272/1000))*1000</f>
        <v>1.28270586818182</v>
      </c>
      <c r="Q272" s="3"/>
      <c r="R272" s="0" t="n">
        <v>3</v>
      </c>
      <c r="S272" s="0" t="n">
        <v>4.6</v>
      </c>
      <c r="T272" s="0" t="n">
        <f aca="false">(S272/55)*5</f>
        <v>0.418181818181818</v>
      </c>
      <c r="V272" s="0" t="n">
        <v>5</v>
      </c>
      <c r="W272" s="0" t="n">
        <v>4</v>
      </c>
      <c r="X272" s="3" t="n">
        <v>1.0179</v>
      </c>
      <c r="Y272" s="2" t="n">
        <f aca="false">(V272*((W272+T272)/1000)*X272)/((((W272+T272)/1000)*X272)-((W272/1000)*0.9982))</f>
        <v>44.5744205408406</v>
      </c>
      <c r="Z272" s="3" t="n">
        <f aca="false">X272*(V272/100)*((W272+T272)/1000)*1000</f>
        <v>0.224863363636364</v>
      </c>
    </row>
    <row r="273" customFormat="false" ht="15" hidden="false" customHeight="false" outlineLevel="0" collapsed="false">
      <c r="A273" s="0" t="s">
        <v>94</v>
      </c>
      <c r="B273" s="0" t="s">
        <v>95</v>
      </c>
      <c r="C273" s="0" t="s">
        <v>81</v>
      </c>
      <c r="D273" s="0" t="s">
        <v>132</v>
      </c>
      <c r="E273" s="0" t="n">
        <v>6</v>
      </c>
      <c r="F273" s="0" t="n">
        <v>1</v>
      </c>
      <c r="G273" s="1"/>
      <c r="H273" s="1"/>
      <c r="I273" s="0" t="n">
        <v>73.7</v>
      </c>
      <c r="J273" s="0" t="n">
        <f aca="false">(I273/55)*5</f>
        <v>6.7</v>
      </c>
      <c r="L273" s="0" t="n">
        <v>21.5</v>
      </c>
      <c r="M273" s="0" t="n">
        <v>0</v>
      </c>
      <c r="N273" s="0" t="n">
        <f aca="false">L273</f>
        <v>21.5</v>
      </c>
      <c r="O273" s="3" t="n">
        <v>1.087675</v>
      </c>
      <c r="P273" s="3" t="n">
        <f aca="false">(O273*(N273/100)*(J273/1000))*1000</f>
        <v>1.5667958375</v>
      </c>
      <c r="Q273" s="3"/>
      <c r="R273" s="0" t="n">
        <v>3</v>
      </c>
      <c r="S273" s="0" t="n">
        <v>14.1</v>
      </c>
      <c r="T273" s="0" t="n">
        <f aca="false">(S273/55)*5</f>
        <v>1.28181818181818</v>
      </c>
      <c r="V273" s="0" t="n">
        <v>12.5</v>
      </c>
      <c r="W273" s="0" t="n">
        <v>4</v>
      </c>
      <c r="X273" s="3" t="n">
        <v>1.0486</v>
      </c>
      <c r="Y273" s="2" t="n">
        <f aca="false">(V273*((W273+T273)/1000)*X273)/((((W273+T273)/1000)*X273)-((W273/1000)*0.9982))</f>
        <v>44.7892736868974</v>
      </c>
      <c r="Z273" s="3" t="n">
        <f aca="false">X273*(V273/100)*((W273+T273)/1000)*1000</f>
        <v>0.692314318181818</v>
      </c>
    </row>
    <row r="274" customFormat="false" ht="15" hidden="false" customHeight="false" outlineLevel="0" collapsed="false">
      <c r="A274" s="0" t="s">
        <v>96</v>
      </c>
      <c r="B274" s="0" t="s">
        <v>97</v>
      </c>
      <c r="C274" s="0" t="s">
        <v>81</v>
      </c>
      <c r="D274" s="0" t="s">
        <v>132</v>
      </c>
      <c r="E274" s="0" t="n">
        <v>6</v>
      </c>
      <c r="F274" s="0" t="n">
        <v>0</v>
      </c>
      <c r="G274" s="1"/>
      <c r="H274" s="1"/>
      <c r="I274" s="0" t="n">
        <v>0</v>
      </c>
      <c r="J274" s="0" t="n">
        <f aca="false">(I274/55)*5</f>
        <v>0</v>
      </c>
      <c r="L274" s="0" t="n">
        <v>0</v>
      </c>
      <c r="M274" s="0" t="n">
        <v>0</v>
      </c>
      <c r="N274" s="0" t="n">
        <f aca="false">L274</f>
        <v>0</v>
      </c>
      <c r="O274" s="3" t="n">
        <v>0</v>
      </c>
      <c r="P274" s="3" t="n">
        <f aca="false">(O274*(N274/100)*(J274/1000))*1000</f>
        <v>0</v>
      </c>
      <c r="Q274" s="3"/>
      <c r="R274" s="0" t="n">
        <v>2</v>
      </c>
      <c r="S274" s="0" t="n">
        <v>8.7</v>
      </c>
      <c r="T274" s="0" t="n">
        <f aca="false">(S274/55)*5</f>
        <v>0.790909090909091</v>
      </c>
      <c r="V274" s="0" t="n">
        <v>9.5</v>
      </c>
      <c r="W274" s="0" t="n">
        <v>4</v>
      </c>
      <c r="X274" s="3" t="n">
        <v>1.0361</v>
      </c>
      <c r="Y274" s="2" t="n">
        <f aca="false">(V274*((W274+T274)/1000)*X274)/((((W274+T274)/1000)*X274)-((W274/1000)*0.9982))</f>
        <v>48.5620193284384</v>
      </c>
      <c r="Z274" s="3" t="n">
        <f aca="false">X274*(V274/100)*((W274+T274)/1000)*1000</f>
        <v>0.471566786363636</v>
      </c>
    </row>
    <row r="275" customFormat="false" ht="15" hidden="false" customHeight="false" outlineLevel="0" collapsed="false">
      <c r="A275" s="0" t="s">
        <v>98</v>
      </c>
      <c r="B275" s="0" t="s">
        <v>99</v>
      </c>
      <c r="C275" s="0" t="s">
        <v>81</v>
      </c>
      <c r="D275" s="0" t="s">
        <v>132</v>
      </c>
      <c r="E275" s="0" t="n">
        <v>6</v>
      </c>
      <c r="F275" s="0" t="n">
        <v>2</v>
      </c>
      <c r="G275" s="1"/>
      <c r="H275" s="1"/>
      <c r="I275" s="0" t="n">
        <f aca="false">63+54.1</f>
        <v>117.1</v>
      </c>
      <c r="J275" s="0" t="n">
        <f aca="false">(I275/55)*5</f>
        <v>10.6454545454545</v>
      </c>
      <c r="L275" s="0" t="n">
        <v>26</v>
      </c>
      <c r="M275" s="0" t="n">
        <v>0</v>
      </c>
      <c r="N275" s="0" t="n">
        <f aca="false">L275</f>
        <v>26</v>
      </c>
      <c r="O275" s="3" t="n">
        <v>1.1081</v>
      </c>
      <c r="P275" s="3" t="n">
        <f aca="false">(O275*(N275/100)*(J275/1000))*1000</f>
        <v>3.06701932727273</v>
      </c>
      <c r="Q275" s="3"/>
      <c r="R275" s="0" t="n">
        <v>2</v>
      </c>
      <c r="S275" s="0" t="n">
        <v>8.6</v>
      </c>
      <c r="T275" s="0" t="n">
        <f aca="false">(S275/55)*5</f>
        <v>0.781818181818182</v>
      </c>
      <c r="V275" s="0" t="n">
        <v>12</v>
      </c>
      <c r="W275" s="0" t="n">
        <v>4</v>
      </c>
      <c r="X275" s="3" t="n">
        <v>1.0465</v>
      </c>
      <c r="Y275" s="2" t="n">
        <f aca="false">(V275*((W275+T275)/1000)*X275)/((((W275+T275)/1000)*X275)-((W275/1000)*0.9982))</f>
        <v>59.3748191027497</v>
      </c>
      <c r="Z275" s="3" t="n">
        <f aca="false">X275*(V275/100)*((W275+T275)/1000)*1000</f>
        <v>0.600500727272727</v>
      </c>
    </row>
    <row r="276" customFormat="false" ht="15" hidden="false" customHeight="false" outlineLevel="0" collapsed="false">
      <c r="A276" s="0" t="s">
        <v>100</v>
      </c>
      <c r="B276" s="0" t="s">
        <v>101</v>
      </c>
      <c r="C276" s="0" t="s">
        <v>81</v>
      </c>
      <c r="D276" s="0" t="s">
        <v>132</v>
      </c>
      <c r="E276" s="0" t="n">
        <v>6</v>
      </c>
      <c r="F276" s="0" t="n">
        <v>0</v>
      </c>
      <c r="G276" s="1"/>
      <c r="H276" s="1"/>
      <c r="I276" s="0" t="n">
        <v>0</v>
      </c>
      <c r="J276" s="0" t="n">
        <f aca="false">(I276/55)*5</f>
        <v>0</v>
      </c>
      <c r="L276" s="0" t="n">
        <v>0</v>
      </c>
      <c r="M276" s="0" t="n">
        <v>0</v>
      </c>
      <c r="N276" s="0" t="n">
        <f aca="false">L276</f>
        <v>0</v>
      </c>
      <c r="O276" s="3" t="n">
        <v>0</v>
      </c>
      <c r="P276" s="3" t="n">
        <f aca="false">(O276*(N276/100)*(J276/1000))*1000</f>
        <v>0</v>
      </c>
      <c r="Q276" s="3"/>
      <c r="R276" s="0" t="n">
        <v>3</v>
      </c>
      <c r="S276" s="0" t="n">
        <v>7.4</v>
      </c>
      <c r="T276" s="0" t="n">
        <f aca="false">(S276/55)*5</f>
        <v>0.672727272727273</v>
      </c>
      <c r="V276" s="0" t="n">
        <v>16</v>
      </c>
      <c r="W276" s="0" t="n">
        <v>4</v>
      </c>
      <c r="X276" s="3" t="n">
        <v>1.0635</v>
      </c>
      <c r="Y276" s="2" t="n">
        <f aca="false">(V276*((W276+T276)/1000)*X276)/((((W276+T276)/1000)*X276)-((W276/1000)*0.9982))</f>
        <v>81.4124787072633</v>
      </c>
      <c r="Z276" s="3" t="n">
        <f aca="false">X276*(V276/100)*((W276+T276)/1000)*1000</f>
        <v>0.795111272727273</v>
      </c>
    </row>
    <row r="277" customFormat="false" ht="15" hidden="false" customHeight="false" outlineLevel="0" collapsed="false">
      <c r="A277" s="0" t="s">
        <v>102</v>
      </c>
      <c r="B277" s="0" t="s">
        <v>103</v>
      </c>
      <c r="C277" s="0" t="s">
        <v>81</v>
      </c>
      <c r="D277" s="0" t="s">
        <v>132</v>
      </c>
      <c r="E277" s="0" t="n">
        <v>6</v>
      </c>
      <c r="F277" s="0" t="n">
        <v>1</v>
      </c>
      <c r="G277" s="1"/>
      <c r="H277" s="1"/>
      <c r="I277" s="0" t="n">
        <v>44.5</v>
      </c>
      <c r="J277" s="0" t="n">
        <f aca="false">(I277/55)*5</f>
        <v>4.04545454545455</v>
      </c>
      <c r="L277" s="0" t="n">
        <v>21</v>
      </c>
      <c r="M277" s="0" t="n">
        <v>0</v>
      </c>
      <c r="N277" s="0" t="n">
        <f aca="false">L277</f>
        <v>21</v>
      </c>
      <c r="O277" s="3" t="n">
        <v>1.08545</v>
      </c>
      <c r="P277" s="3" t="n">
        <f aca="false">(O277*(N277/100)*(J277/1000))*1000</f>
        <v>0.922139113636363</v>
      </c>
      <c r="Q277" s="3"/>
      <c r="R277" s="0" t="n">
        <v>1</v>
      </c>
      <c r="S277" s="0" t="n">
        <v>2.4</v>
      </c>
      <c r="T277" s="0" t="n">
        <f aca="false">(S277/55)*5</f>
        <v>0.218181818181818</v>
      </c>
      <c r="V277" s="0" t="n">
        <v>15</v>
      </c>
      <c r="W277" s="0" t="n">
        <v>1</v>
      </c>
      <c r="X277" s="3" t="n">
        <v>1.0592</v>
      </c>
      <c r="Y277" s="2" t="n">
        <f aca="false">(V277*((W277+T277)/1000)*X277)/((((W277+T277)/1000)*X277)-((W277/1000)*0.9982))</f>
        <v>66.2601615895029</v>
      </c>
      <c r="Z277" s="3" t="n">
        <f aca="false">X277*(V277/100)*((W277+T277)/1000)*1000</f>
        <v>0.193544727272727</v>
      </c>
    </row>
    <row r="278" customFormat="false" ht="15" hidden="false" customHeight="false" outlineLevel="0" collapsed="false">
      <c r="A278" s="0" t="s">
        <v>104</v>
      </c>
      <c r="B278" s="0" t="s">
        <v>105</v>
      </c>
      <c r="C278" s="0" t="s">
        <v>106</v>
      </c>
      <c r="D278" s="0" t="s">
        <v>132</v>
      </c>
      <c r="E278" s="0" t="n">
        <v>6</v>
      </c>
      <c r="F278" s="0" t="n">
        <v>1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0" t="n">
        <v>5</v>
      </c>
      <c r="S278" s="1"/>
      <c r="T278" s="1"/>
      <c r="U278" s="1"/>
      <c r="V278" s="1"/>
      <c r="W278" s="1"/>
      <c r="X278" s="1"/>
      <c r="Y278" s="5"/>
      <c r="Z278" s="1"/>
    </row>
    <row r="279" customFormat="false" ht="15" hidden="false" customHeight="false" outlineLevel="0" collapsed="false">
      <c r="A279" s="0" t="s">
        <v>107</v>
      </c>
      <c r="B279" s="0" t="s">
        <v>37</v>
      </c>
      <c r="C279" s="0" t="s">
        <v>106</v>
      </c>
      <c r="D279" s="0" t="s">
        <v>132</v>
      </c>
      <c r="E279" s="0" t="n">
        <v>6</v>
      </c>
      <c r="F279" s="0" t="n">
        <v>1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0" t="n">
        <v>3</v>
      </c>
      <c r="S279" s="1"/>
      <c r="T279" s="1"/>
      <c r="U279" s="1"/>
      <c r="V279" s="1"/>
      <c r="W279" s="1"/>
      <c r="X279" s="1"/>
      <c r="Y279" s="5"/>
      <c r="Z279" s="1"/>
    </row>
    <row r="280" customFormat="false" ht="15" hidden="false" customHeight="false" outlineLevel="0" collapsed="false">
      <c r="A280" s="0" t="s">
        <v>108</v>
      </c>
      <c r="B280" s="0" t="s">
        <v>109</v>
      </c>
      <c r="C280" s="0" t="s">
        <v>106</v>
      </c>
      <c r="D280" s="0" t="s">
        <v>132</v>
      </c>
      <c r="E280" s="0" t="n">
        <v>6</v>
      </c>
      <c r="F280" s="0" t="n">
        <v>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0" t="n">
        <v>4</v>
      </c>
      <c r="S280" s="1"/>
      <c r="T280" s="1"/>
      <c r="U280" s="1"/>
      <c r="V280" s="1"/>
      <c r="W280" s="1"/>
      <c r="X280" s="1"/>
      <c r="Y280" s="5"/>
      <c r="Z280" s="1"/>
    </row>
    <row r="281" customFormat="false" ht="15" hidden="false" customHeight="false" outlineLevel="0" collapsed="false">
      <c r="A281" s="0" t="s">
        <v>110</v>
      </c>
      <c r="B281" s="0" t="s">
        <v>111</v>
      </c>
      <c r="C281" s="0" t="s">
        <v>106</v>
      </c>
      <c r="D281" s="0" t="s">
        <v>132</v>
      </c>
      <c r="E281" s="0" t="n">
        <v>6</v>
      </c>
      <c r="F281" s="0" t="n">
        <v>3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0" t="n">
        <v>5</v>
      </c>
      <c r="S281" s="1"/>
      <c r="T281" s="1"/>
      <c r="U281" s="1"/>
      <c r="V281" s="1"/>
      <c r="W281" s="1"/>
      <c r="X281" s="1"/>
      <c r="Y281" s="5"/>
      <c r="Z281" s="1"/>
    </row>
    <row r="282" customFormat="false" ht="15" hidden="false" customHeight="false" outlineLevel="0" collapsed="false">
      <c r="A282" s="0" t="s">
        <v>112</v>
      </c>
      <c r="B282" s="0" t="s">
        <v>113</v>
      </c>
      <c r="C282" s="0" t="s">
        <v>106</v>
      </c>
      <c r="D282" s="0" t="s">
        <v>132</v>
      </c>
      <c r="E282" s="0" t="n">
        <v>6</v>
      </c>
      <c r="F282" s="0" t="n">
        <v>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0" t="n">
        <v>4</v>
      </c>
      <c r="S282" s="1"/>
      <c r="T282" s="1"/>
      <c r="U282" s="1"/>
      <c r="V282" s="1"/>
      <c r="W282" s="1"/>
      <c r="X282" s="1"/>
      <c r="Y282" s="5"/>
      <c r="Z282" s="1"/>
    </row>
    <row r="283" customFormat="false" ht="15" hidden="false" customHeight="false" outlineLevel="0" collapsed="false">
      <c r="A283" s="0" t="s">
        <v>114</v>
      </c>
      <c r="B283" s="0" t="s">
        <v>115</v>
      </c>
      <c r="C283" s="0" t="s">
        <v>106</v>
      </c>
      <c r="D283" s="0" t="s">
        <v>132</v>
      </c>
      <c r="E283" s="0" t="n">
        <v>6</v>
      </c>
      <c r="F283" s="0" t="n">
        <v>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0" t="n">
        <v>5</v>
      </c>
      <c r="S283" s="1"/>
      <c r="T283" s="1"/>
      <c r="U283" s="1"/>
      <c r="V283" s="1"/>
      <c r="W283" s="1"/>
      <c r="X283" s="1"/>
      <c r="Y283" s="5"/>
      <c r="Z283" s="1"/>
    </row>
    <row r="284" customFormat="false" ht="15" hidden="false" customHeight="false" outlineLevel="0" collapsed="false">
      <c r="A284" s="0" t="s">
        <v>116</v>
      </c>
      <c r="B284" s="0" t="s">
        <v>117</v>
      </c>
      <c r="C284" s="0" t="s">
        <v>106</v>
      </c>
      <c r="D284" s="0" t="s">
        <v>132</v>
      </c>
      <c r="E284" s="0" t="n">
        <v>6</v>
      </c>
      <c r="F284" s="0" t="n">
        <v>1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0" t="n">
        <v>4</v>
      </c>
      <c r="S284" s="1"/>
      <c r="T284" s="1"/>
      <c r="U284" s="1"/>
      <c r="V284" s="1"/>
      <c r="W284" s="1"/>
      <c r="X284" s="1"/>
      <c r="Y284" s="5"/>
      <c r="Z284" s="1"/>
    </row>
    <row r="285" customFormat="false" ht="15" hidden="false" customHeight="false" outlineLevel="0" collapsed="false">
      <c r="A285" s="0" t="s">
        <v>118</v>
      </c>
      <c r="B285" s="0" t="s">
        <v>119</v>
      </c>
      <c r="C285" s="0" t="s">
        <v>106</v>
      </c>
      <c r="D285" s="0" t="s">
        <v>132</v>
      </c>
      <c r="E285" s="0" t="n">
        <v>6</v>
      </c>
      <c r="F285" s="0" t="n">
        <v>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0" t="n">
        <v>5</v>
      </c>
      <c r="S285" s="1"/>
      <c r="T285" s="1"/>
      <c r="U285" s="1"/>
      <c r="V285" s="1"/>
      <c r="W285" s="1"/>
      <c r="X285" s="1"/>
      <c r="Y285" s="5"/>
      <c r="Z285" s="1"/>
    </row>
    <row r="286" customFormat="false" ht="15" hidden="false" customHeight="false" outlineLevel="0" collapsed="false">
      <c r="A286" s="0" t="s">
        <v>120</v>
      </c>
      <c r="B286" s="0" t="s">
        <v>121</v>
      </c>
      <c r="C286" s="0" t="s">
        <v>106</v>
      </c>
      <c r="D286" s="0" t="s">
        <v>132</v>
      </c>
      <c r="E286" s="0" t="n">
        <v>6</v>
      </c>
      <c r="F286" s="0" t="n">
        <v>2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0" t="n">
        <v>6</v>
      </c>
      <c r="S286" s="1"/>
      <c r="T286" s="1"/>
      <c r="U286" s="1"/>
      <c r="V286" s="1"/>
      <c r="W286" s="1"/>
      <c r="X286" s="1"/>
      <c r="Y286" s="5"/>
      <c r="Z286" s="1"/>
    </row>
    <row r="287" customFormat="false" ht="15" hidden="false" customHeight="false" outlineLevel="0" collapsed="false">
      <c r="A287" s="0" t="s">
        <v>122</v>
      </c>
      <c r="B287" s="0" t="s">
        <v>123</v>
      </c>
      <c r="C287" s="0" t="s">
        <v>106</v>
      </c>
      <c r="D287" s="0" t="s">
        <v>132</v>
      </c>
      <c r="E287" s="0" t="n">
        <v>6</v>
      </c>
      <c r="F287" s="0" t="n">
        <v>2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0" t="n">
        <v>4</v>
      </c>
      <c r="S287" s="1"/>
      <c r="T287" s="1"/>
      <c r="U287" s="1"/>
      <c r="V287" s="1"/>
      <c r="W287" s="1"/>
      <c r="X287" s="1"/>
      <c r="Y287" s="5"/>
      <c r="Z287" s="1"/>
    </row>
    <row r="288" customFormat="false" ht="15" hidden="false" customHeight="false" outlineLevel="0" collapsed="false">
      <c r="A288" s="0" t="s">
        <v>124</v>
      </c>
      <c r="B288" s="0" t="s">
        <v>125</v>
      </c>
      <c r="C288" s="0" t="s">
        <v>106</v>
      </c>
      <c r="D288" s="0" t="s">
        <v>132</v>
      </c>
      <c r="E288" s="0" t="n">
        <v>6</v>
      </c>
      <c r="F288" s="0" t="n">
        <v>2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0" t="n">
        <v>3</v>
      </c>
      <c r="S288" s="1"/>
      <c r="T288" s="1"/>
      <c r="U288" s="1"/>
      <c r="V288" s="1"/>
      <c r="W288" s="1"/>
      <c r="X288" s="1"/>
      <c r="Y288" s="5"/>
      <c r="Z288" s="1"/>
    </row>
    <row r="289" customFormat="false" ht="15" hidden="false" customHeight="false" outlineLevel="0" collapsed="false">
      <c r="A289" s="0" t="s">
        <v>126</v>
      </c>
      <c r="B289" s="0" t="s">
        <v>127</v>
      </c>
      <c r="C289" s="0" t="s">
        <v>106</v>
      </c>
      <c r="D289" s="0" t="s">
        <v>132</v>
      </c>
      <c r="E289" s="0" t="n">
        <v>6</v>
      </c>
      <c r="F289" s="0" t="n">
        <v>1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0" t="n">
        <v>4</v>
      </c>
      <c r="S289" s="1"/>
      <c r="T289" s="1"/>
      <c r="U289" s="1"/>
      <c r="V289" s="1"/>
      <c r="W289" s="1"/>
      <c r="X289" s="1"/>
      <c r="Y289" s="5"/>
      <c r="Z289" s="1"/>
    </row>
    <row r="290" customFormat="false" ht="15" hidden="false" customHeight="false" outlineLevel="0" collapsed="false">
      <c r="A290" s="0" t="s">
        <v>26</v>
      </c>
      <c r="B290" s="0" t="s">
        <v>27</v>
      </c>
      <c r="C290" s="0" t="s">
        <v>28</v>
      </c>
      <c r="D290" s="0" t="s">
        <v>133</v>
      </c>
      <c r="E290" s="0" t="n">
        <v>7</v>
      </c>
      <c r="F290" s="0" t="n">
        <v>1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0" t="n">
        <v>3</v>
      </c>
      <c r="S290" s="0" t="n">
        <v>14.6</v>
      </c>
      <c r="T290" s="0" t="n">
        <f aca="false">(S290/55)*5</f>
        <v>1.32727272727273</v>
      </c>
      <c r="V290" s="0" t="n">
        <v>18</v>
      </c>
      <c r="W290" s="0" t="n">
        <v>4</v>
      </c>
      <c r="X290" s="3" t="n">
        <v>1.0722</v>
      </c>
      <c r="Y290" s="2" t="n">
        <f aca="false">(V290*((W290+T290)/1000)*X290)/((((W290+T290)/1000)*X290)-((W290/1000)*0.9982))</f>
        <v>59.8069478141863</v>
      </c>
      <c r="Z290" s="3" t="n">
        <f aca="false">X290*(V290/100)*((W290+T290)/1000)*1000</f>
        <v>1.02814232727273</v>
      </c>
    </row>
    <row r="291" customFormat="false" ht="15" hidden="false" customHeight="false" outlineLevel="0" collapsed="false">
      <c r="A291" s="0" t="s">
        <v>32</v>
      </c>
      <c r="B291" s="0" t="s">
        <v>33</v>
      </c>
      <c r="C291" s="0" t="s">
        <v>28</v>
      </c>
      <c r="D291" s="0" t="s">
        <v>133</v>
      </c>
      <c r="E291" s="0" t="n">
        <v>7</v>
      </c>
      <c r="F291" s="0" t="n">
        <v>1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0" t="n">
        <v>7</v>
      </c>
      <c r="S291" s="0" t="n">
        <v>15.4</v>
      </c>
      <c r="T291" s="0" t="n">
        <f aca="false">(S291/55)*5</f>
        <v>1.4</v>
      </c>
      <c r="V291" s="0" t="n">
        <v>25</v>
      </c>
      <c r="W291" s="0" t="n">
        <v>4</v>
      </c>
      <c r="X291" s="3" t="n">
        <v>1.10355</v>
      </c>
      <c r="Y291" s="2" t="n">
        <f aca="false">(V291*((W291+T291)/1000)*X291)/((((W291+T291)/1000)*X291)-((W291/1000)*0.9982))</f>
        <v>75.7635897618455</v>
      </c>
      <c r="Z291" s="3" t="n">
        <f aca="false">X291*(V291/100)*((W291+T291)/1000)*1000</f>
        <v>1.4897925</v>
      </c>
    </row>
    <row r="292" customFormat="false" ht="15" hidden="false" customHeight="false" outlineLevel="0" collapsed="false">
      <c r="A292" s="0" t="s">
        <v>34</v>
      </c>
      <c r="B292" s="0" t="s">
        <v>35</v>
      </c>
      <c r="C292" s="0" t="s">
        <v>28</v>
      </c>
      <c r="D292" s="0" t="s">
        <v>133</v>
      </c>
      <c r="E292" s="0" t="n">
        <v>7</v>
      </c>
      <c r="F292" s="0" t="n">
        <v>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0" t="n">
        <v>9</v>
      </c>
      <c r="S292" s="0" t="n">
        <v>11.3</v>
      </c>
      <c r="T292" s="0" t="n">
        <f aca="false">(S292/55)*5</f>
        <v>1.02727272727273</v>
      </c>
      <c r="V292" s="0" t="n">
        <v>9</v>
      </c>
      <c r="W292" s="0" t="n">
        <v>4</v>
      </c>
      <c r="X292" s="3" t="n">
        <v>1.0341</v>
      </c>
      <c r="Y292" s="2" t="n">
        <f aca="false">(V292*((W292+T292)/1000)*X292)/((((W292+T292)/1000)*X292)-((W292/1000)*0.9982))</f>
        <v>38.7994184665882</v>
      </c>
      <c r="Z292" s="3" t="n">
        <f aca="false">X292*(V292/100)*((W292+T292)/1000)*1000</f>
        <v>0.467883245454545</v>
      </c>
    </row>
    <row r="293" customFormat="false" ht="15" hidden="false" customHeight="false" outlineLevel="0" collapsed="false">
      <c r="A293" s="0" t="s">
        <v>36</v>
      </c>
      <c r="B293" s="0" t="s">
        <v>37</v>
      </c>
      <c r="C293" s="0" t="s">
        <v>28</v>
      </c>
      <c r="D293" s="0" t="s">
        <v>133</v>
      </c>
      <c r="E293" s="0" t="n">
        <v>7</v>
      </c>
      <c r="F293" s="0" t="n">
        <v>1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0" t="n">
        <v>1</v>
      </c>
      <c r="S293" s="0" t="n">
        <v>0.5</v>
      </c>
      <c r="T293" s="0" t="n">
        <f aca="false">(S293/55)*5</f>
        <v>0.0454545454545455</v>
      </c>
      <c r="V293" s="0" t="n">
        <v>0.5</v>
      </c>
      <c r="W293" s="0" t="n">
        <v>4</v>
      </c>
      <c r="X293" s="3" t="n">
        <v>1.00015</v>
      </c>
      <c r="Y293" s="2" t="n">
        <f aca="false">(V293*((W293+T293)/1000)*X293)/((((W293+T293)/1000)*X293)-((W293/1000)*0.9982))</f>
        <v>37.9830808619585</v>
      </c>
      <c r="Z293" s="3" t="n">
        <f aca="false">X293*(V293/100)*((W293+T293)/1000)*1000</f>
        <v>0.0202303068181818</v>
      </c>
    </row>
    <row r="294" customFormat="false" ht="15" hidden="false" customHeight="false" outlineLevel="0" collapsed="false">
      <c r="A294" s="0" t="s">
        <v>38</v>
      </c>
      <c r="B294" s="0" t="s">
        <v>39</v>
      </c>
      <c r="C294" s="0" t="s">
        <v>28</v>
      </c>
      <c r="D294" s="0" t="s">
        <v>133</v>
      </c>
      <c r="E294" s="0" t="n">
        <v>7</v>
      </c>
      <c r="F294" s="0" t="n">
        <v>2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0" t="n">
        <v>3</v>
      </c>
      <c r="S294" s="0" t="n">
        <v>3.9</v>
      </c>
      <c r="T294" s="0" t="n">
        <f aca="false">(S294/55)*5</f>
        <v>0.354545454545455</v>
      </c>
      <c r="V294" s="0" t="n">
        <v>3</v>
      </c>
      <c r="W294" s="0" t="n">
        <v>4</v>
      </c>
      <c r="X294" s="3" t="n">
        <v>1.0099</v>
      </c>
      <c r="Y294" s="2" t="n">
        <f aca="false">(V294*((W294+T294)/1000)*X294)/((((W294+T294)/1000)*X294)-((W294/1000)*0.9982))</f>
        <v>32.5868559149057</v>
      </c>
      <c r="Z294" s="3" t="n">
        <f aca="false">X294*(V294/100)*((W294+T294)/1000)*1000</f>
        <v>0.131929663636364</v>
      </c>
    </row>
    <row r="295" customFormat="false" ht="15" hidden="false" customHeight="false" outlineLevel="0" collapsed="false">
      <c r="A295" s="0" t="s">
        <v>40</v>
      </c>
      <c r="B295" s="0" t="s">
        <v>41</v>
      </c>
      <c r="C295" s="0" t="s">
        <v>28</v>
      </c>
      <c r="D295" s="0" t="s">
        <v>133</v>
      </c>
      <c r="E295" s="0" t="n">
        <v>7</v>
      </c>
      <c r="F295" s="0" t="n">
        <v>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0" t="n">
        <v>3</v>
      </c>
      <c r="S295" s="0" t="n">
        <v>7.4</v>
      </c>
      <c r="T295" s="0" t="n">
        <f aca="false">(S295/55)*5</f>
        <v>0.672727272727273</v>
      </c>
      <c r="V295" s="0" t="n">
        <v>14</v>
      </c>
      <c r="W295" s="0" t="n">
        <v>4</v>
      </c>
      <c r="X295" s="3" t="n">
        <v>1.0549</v>
      </c>
      <c r="Y295" s="2" t="n">
        <f aca="false">(V295*((W295+T295)/1000)*X295)/((((W295+T295)/1000)*X295)-((W295/1000)*0.9982))</f>
        <v>73.6920316938256</v>
      </c>
      <c r="Z295" s="3" t="n">
        <f aca="false">X295*(V295/100)*((W295+T295)/1000)*1000</f>
        <v>0.6900964</v>
      </c>
    </row>
    <row r="296" customFormat="false" ht="15" hidden="false" customHeight="false" outlineLevel="0" collapsed="false">
      <c r="A296" s="0" t="s">
        <v>42</v>
      </c>
      <c r="B296" s="0" t="s">
        <v>43</v>
      </c>
      <c r="C296" s="0" t="s">
        <v>28</v>
      </c>
      <c r="D296" s="0" t="s">
        <v>133</v>
      </c>
      <c r="E296" s="0" t="n">
        <v>7</v>
      </c>
      <c r="F296" s="0" t="n">
        <v>1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0" t="n">
        <v>4</v>
      </c>
      <c r="S296" s="0" t="n">
        <v>9.8</v>
      </c>
      <c r="T296" s="0" t="n">
        <f aca="false">(S296/55)*5</f>
        <v>0.890909090909091</v>
      </c>
      <c r="V296" s="0" t="n">
        <v>14</v>
      </c>
      <c r="W296" s="0" t="n">
        <v>4</v>
      </c>
      <c r="X296" s="3" t="n">
        <v>1.0549</v>
      </c>
      <c r="Y296" s="2" t="n">
        <f aca="false">(V296*((W296+T296)/1000)*X296)/((((W296+T296)/1000)*X296)-((W296/1000)*0.9982))</f>
        <v>61.9155166206648</v>
      </c>
      <c r="Z296" s="3" t="n">
        <f aca="false">X296*(V296/100)*((W296+T296)/1000)*1000</f>
        <v>0.7223188</v>
      </c>
    </row>
    <row r="297" customFormat="false" ht="15" hidden="false" customHeight="false" outlineLevel="0" collapsed="false">
      <c r="A297" s="0" t="s">
        <v>44</v>
      </c>
      <c r="B297" s="0" t="s">
        <v>45</v>
      </c>
      <c r="C297" s="0" t="s">
        <v>28</v>
      </c>
      <c r="D297" s="0" t="s">
        <v>133</v>
      </c>
      <c r="E297" s="0" t="n">
        <v>7</v>
      </c>
      <c r="F297" s="0" t="n">
        <v>1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0" t="n">
        <v>2</v>
      </c>
      <c r="S297" s="0" t="n">
        <v>7.2</v>
      </c>
      <c r="T297" s="0" t="n">
        <f aca="false">(S297/55)*5</f>
        <v>0.654545454545455</v>
      </c>
      <c r="V297" s="0" t="n">
        <v>7</v>
      </c>
      <c r="W297" s="0" t="n">
        <v>4</v>
      </c>
      <c r="X297" s="3" t="n">
        <v>1.0259</v>
      </c>
      <c r="Y297" s="2" t="n">
        <f aca="false">(V297*((W297+T297)/1000)*X297)/((((W297+T297)/1000)*X297)-((W297/1000)*0.9982))</f>
        <v>42.7275533161036</v>
      </c>
      <c r="Z297" s="3" t="n">
        <f aca="false">X297*(V297/100)*((W297+T297)/1000)*1000</f>
        <v>0.334256872727273</v>
      </c>
    </row>
    <row r="298" customFormat="false" ht="15" hidden="false" customHeight="false" outlineLevel="0" collapsed="false">
      <c r="A298" s="0" t="s">
        <v>46</v>
      </c>
      <c r="B298" s="0" t="s">
        <v>47</v>
      </c>
      <c r="C298" s="0" t="s">
        <v>28</v>
      </c>
      <c r="D298" s="0" t="s">
        <v>133</v>
      </c>
      <c r="E298" s="0" t="n">
        <v>7</v>
      </c>
      <c r="F298" s="0" t="n">
        <v>1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0" t="n">
        <v>3</v>
      </c>
      <c r="S298" s="0" t="n">
        <v>17.3</v>
      </c>
      <c r="T298" s="0" t="n">
        <f aca="false">(S298/55)*5</f>
        <v>1.57272727272727</v>
      </c>
      <c r="V298" s="0" t="n">
        <v>21</v>
      </c>
      <c r="W298" s="0" t="n">
        <v>4</v>
      </c>
      <c r="X298" s="3" t="n">
        <v>1.08545</v>
      </c>
      <c r="Y298" s="2" t="n">
        <f aca="false">(V298*((W298+T298)/1000)*X298)/((((W298+T298)/1000)*X298)-((W298/1000)*0.9982))</f>
        <v>61.7801732170771</v>
      </c>
      <c r="Z298" s="3" t="n">
        <f aca="false">X298*(V298/100)*((W298+T298)/1000)*1000</f>
        <v>1.27027253181818</v>
      </c>
    </row>
    <row r="299" customFormat="false" ht="15" hidden="false" customHeight="false" outlineLevel="0" collapsed="false">
      <c r="A299" s="0" t="s">
        <v>48</v>
      </c>
      <c r="B299" s="0" t="s">
        <v>49</v>
      </c>
      <c r="C299" s="0" t="s">
        <v>28</v>
      </c>
      <c r="D299" s="0" t="s">
        <v>133</v>
      </c>
      <c r="E299" s="0" t="n">
        <v>7</v>
      </c>
      <c r="F299" s="0" t="n">
        <v>1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0" t="n">
        <v>1</v>
      </c>
      <c r="S299" s="0" t="n">
        <v>2.8</v>
      </c>
      <c r="T299" s="0" t="n">
        <f aca="false">(S299/55)*5</f>
        <v>0.254545454545454</v>
      </c>
      <c r="V299" s="0" t="n">
        <v>2.5</v>
      </c>
      <c r="W299" s="0" t="n">
        <v>4</v>
      </c>
      <c r="X299" s="3" t="n">
        <v>1.00795</v>
      </c>
      <c r="Y299" s="2" t="n">
        <f aca="false">(V299*((W299+T299)/1000)*X299)/((((W299+T299)/1000)*X299)-((W299/1000)*0.9982))</f>
        <v>36.2721375712801</v>
      </c>
      <c r="Z299" s="3" t="n">
        <f aca="false">X299*(V299/100)*((W299+T299)/1000)*1000</f>
        <v>0.107209227272727</v>
      </c>
    </row>
    <row r="300" customFormat="false" ht="15" hidden="false" customHeight="false" outlineLevel="0" collapsed="false">
      <c r="A300" s="0" t="s">
        <v>50</v>
      </c>
      <c r="B300" s="0" t="s">
        <v>51</v>
      </c>
      <c r="C300" s="0" t="s">
        <v>28</v>
      </c>
      <c r="D300" s="0" t="s">
        <v>133</v>
      </c>
      <c r="E300" s="0" t="n">
        <v>7</v>
      </c>
      <c r="F300" s="0" t="n">
        <v>3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0" t="n">
        <v>4</v>
      </c>
      <c r="S300" s="0" t="n">
        <v>11.6</v>
      </c>
      <c r="T300" s="0" t="n">
        <f aca="false">(S300/55)*5</f>
        <v>1.05454545454545</v>
      </c>
      <c r="V300" s="0" t="n">
        <v>12.5</v>
      </c>
      <c r="W300" s="0" t="n">
        <v>4</v>
      </c>
      <c r="X300" s="3" t="n">
        <v>1.0486</v>
      </c>
      <c r="Y300" s="2" t="n">
        <f aca="false">(V300*((W300+T300)/1000)*X300)/((((W300+T300)/1000)*X300)-((W300/1000)*0.9982))</f>
        <v>50.6751100035045</v>
      </c>
      <c r="Z300" s="3" t="n">
        <f aca="false">X300*(V300/100)*((W300+T300)/1000)*1000</f>
        <v>0.662524545454546</v>
      </c>
    </row>
    <row r="301" customFormat="false" ht="15" hidden="false" customHeight="false" outlineLevel="0" collapsed="false">
      <c r="A301" s="0" t="s">
        <v>52</v>
      </c>
      <c r="B301" s="0" t="s">
        <v>53</v>
      </c>
      <c r="C301" s="0" t="s">
        <v>28</v>
      </c>
      <c r="D301" s="0" t="s">
        <v>133</v>
      </c>
      <c r="E301" s="0" t="n">
        <v>7</v>
      </c>
      <c r="F301" s="0" t="n">
        <v>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0" t="n">
        <v>3</v>
      </c>
      <c r="S301" s="0" t="n">
        <v>18.5</v>
      </c>
      <c r="T301" s="0" t="n">
        <f aca="false">(S301/55)*5</f>
        <v>1.68181818181818</v>
      </c>
      <c r="V301" s="0" t="n">
        <v>20.5</v>
      </c>
      <c r="W301" s="0" t="n">
        <v>4</v>
      </c>
      <c r="X301" s="3" t="n">
        <v>1.083225</v>
      </c>
      <c r="Y301" s="2" t="n">
        <f aca="false">(V301*((W301+T301)/1000)*X301)/((((W301+T301)/1000)*X301)-((W301/1000)*0.9982))</f>
        <v>58.3615445993374</v>
      </c>
      <c r="Z301" s="3" t="n">
        <f aca="false">X301*(V301/100)*((W301+T301)/1000)*1000</f>
        <v>1.2617109375</v>
      </c>
    </row>
    <row r="302" customFormat="false" ht="15" hidden="false" customHeight="false" outlineLevel="0" collapsed="false">
      <c r="A302" s="0" t="s">
        <v>54</v>
      </c>
      <c r="B302" s="0" t="s">
        <v>55</v>
      </c>
      <c r="C302" s="0" t="s">
        <v>56</v>
      </c>
      <c r="D302" s="0" t="s">
        <v>133</v>
      </c>
      <c r="E302" s="0" t="n">
        <v>7</v>
      </c>
      <c r="F302" s="0" t="n">
        <v>1</v>
      </c>
      <c r="G302" s="1"/>
      <c r="H302" s="1"/>
      <c r="I302" s="0" t="n">
        <v>61.7</v>
      </c>
      <c r="J302" s="0" t="n">
        <f aca="false">(I302/55)*5</f>
        <v>5.60909090909091</v>
      </c>
      <c r="L302" s="0" t="n">
        <v>20.5</v>
      </c>
      <c r="M302" s="0" t="n">
        <v>0</v>
      </c>
      <c r="N302" s="0" t="n">
        <f aca="false">L302</f>
        <v>20.5</v>
      </c>
      <c r="O302" s="3" t="n">
        <v>1.083225</v>
      </c>
      <c r="P302" s="3" t="n">
        <f aca="false">(O302*(N302/100)*(J302/1000))*1000</f>
        <v>1.2455610375</v>
      </c>
      <c r="Q302" s="3"/>
      <c r="R302" s="1"/>
      <c r="S302" s="1"/>
      <c r="T302" s="1"/>
      <c r="U302" s="1"/>
      <c r="V302" s="1"/>
      <c r="W302" s="1"/>
      <c r="X302" s="1"/>
      <c r="Y302" s="5"/>
      <c r="Z302" s="1"/>
    </row>
    <row r="303" customFormat="false" ht="15" hidden="false" customHeight="false" outlineLevel="0" collapsed="false">
      <c r="A303" s="0" t="s">
        <v>57</v>
      </c>
      <c r="B303" s="0" t="s">
        <v>58</v>
      </c>
      <c r="C303" s="0" t="s">
        <v>56</v>
      </c>
      <c r="D303" s="0" t="s">
        <v>133</v>
      </c>
      <c r="E303" s="0" t="n">
        <v>7</v>
      </c>
      <c r="F303" s="0" t="n">
        <v>0</v>
      </c>
      <c r="G303" s="1"/>
      <c r="H303" s="1"/>
      <c r="I303" s="0" t="n">
        <v>0</v>
      </c>
      <c r="J303" s="0" t="n">
        <f aca="false">(I303/55)*5</f>
        <v>0</v>
      </c>
      <c r="L303" s="0" t="n">
        <v>0</v>
      </c>
      <c r="M303" s="0" t="n">
        <v>0</v>
      </c>
      <c r="N303" s="0" t="n">
        <f aca="false">L303</f>
        <v>0</v>
      </c>
      <c r="O303" s="3" t="n">
        <v>0</v>
      </c>
      <c r="P303" s="3" t="n">
        <f aca="false">(O303*(N303/100)*(J303/1000))*1000</f>
        <v>0</v>
      </c>
      <c r="Q303" s="3"/>
      <c r="R303" s="1"/>
      <c r="S303" s="1"/>
      <c r="T303" s="1"/>
      <c r="U303" s="1"/>
      <c r="V303" s="1"/>
      <c r="W303" s="1"/>
      <c r="X303" s="1"/>
      <c r="Y303" s="5"/>
      <c r="Z303" s="1"/>
    </row>
    <row r="304" customFormat="false" ht="15" hidden="false" customHeight="false" outlineLevel="0" collapsed="false">
      <c r="A304" s="0" t="s">
        <v>59</v>
      </c>
      <c r="B304" s="0" t="s">
        <v>60</v>
      </c>
      <c r="C304" s="0" t="s">
        <v>56</v>
      </c>
      <c r="D304" s="0" t="s">
        <v>133</v>
      </c>
      <c r="E304" s="0" t="n">
        <v>7</v>
      </c>
      <c r="F304" s="0" t="n">
        <v>2</v>
      </c>
      <c r="G304" s="1"/>
      <c r="H304" s="1"/>
      <c r="I304" s="0" t="n">
        <f aca="false">53.4-6.1+84.5</f>
        <v>131.8</v>
      </c>
      <c r="J304" s="0" t="n">
        <f aca="false">(I304/55)*5</f>
        <v>11.9818181818182</v>
      </c>
      <c r="L304" s="0" t="n">
        <v>22.5</v>
      </c>
      <c r="M304" s="0" t="n">
        <v>0</v>
      </c>
      <c r="N304" s="0" t="n">
        <f aca="false">L304</f>
        <v>22.5</v>
      </c>
      <c r="O304" s="3" t="n">
        <v>1.092175</v>
      </c>
      <c r="P304" s="3" t="n">
        <f aca="false">(O304*(N304/100)*(J304/1000))*1000</f>
        <v>2.94440451136364</v>
      </c>
      <c r="Q304" s="3"/>
      <c r="R304" s="1"/>
      <c r="S304" s="1"/>
      <c r="T304" s="1"/>
      <c r="U304" s="1"/>
      <c r="V304" s="1"/>
      <c r="W304" s="1"/>
      <c r="X304" s="1"/>
      <c r="Y304" s="5"/>
      <c r="Z304" s="1"/>
    </row>
    <row r="305" customFormat="false" ht="15" hidden="false" customHeight="false" outlineLevel="0" collapsed="false">
      <c r="A305" s="0" t="s">
        <v>61</v>
      </c>
      <c r="B305" s="0" t="s">
        <v>62</v>
      </c>
      <c r="C305" s="0" t="s">
        <v>56</v>
      </c>
      <c r="D305" s="0" t="s">
        <v>133</v>
      </c>
      <c r="E305" s="0" t="n">
        <v>7</v>
      </c>
      <c r="F305" s="0" t="n">
        <v>2</v>
      </c>
      <c r="G305" s="1"/>
      <c r="H305" s="1"/>
      <c r="I305" s="0" t="n">
        <f aca="false">82.7+51.1</f>
        <v>133.8</v>
      </c>
      <c r="J305" s="0" t="n">
        <f aca="false">(I305/55)*5</f>
        <v>12.1636363636364</v>
      </c>
      <c r="L305" s="0" t="n">
        <v>22.5</v>
      </c>
      <c r="M305" s="0" t="n">
        <v>0</v>
      </c>
      <c r="N305" s="0" t="n">
        <f aca="false">L305</f>
        <v>22.5</v>
      </c>
      <c r="O305" s="3" t="n">
        <v>1.092175</v>
      </c>
      <c r="P305" s="3" t="n">
        <f aca="false">(O305*(N305/100)*(J305/1000))*1000</f>
        <v>2.98908439772727</v>
      </c>
      <c r="Q305" s="3"/>
      <c r="R305" s="1"/>
      <c r="S305" s="1"/>
      <c r="T305" s="1"/>
      <c r="U305" s="1"/>
      <c r="V305" s="1"/>
      <c r="W305" s="1"/>
      <c r="X305" s="1"/>
      <c r="Y305" s="5"/>
      <c r="Z305" s="1"/>
    </row>
    <row r="306" customFormat="false" ht="15" hidden="false" customHeight="false" outlineLevel="0" collapsed="false">
      <c r="A306" s="0" t="s">
        <v>63</v>
      </c>
      <c r="B306" s="0" t="s">
        <v>64</v>
      </c>
      <c r="C306" s="0" t="s">
        <v>56</v>
      </c>
      <c r="D306" s="0" t="s">
        <v>133</v>
      </c>
      <c r="E306" s="0" t="n">
        <v>7</v>
      </c>
      <c r="F306" s="0" t="n">
        <v>1</v>
      </c>
      <c r="G306" s="1"/>
      <c r="H306" s="1"/>
      <c r="I306" s="0" t="n">
        <f aca="false">33.7+111</f>
        <v>144.7</v>
      </c>
      <c r="J306" s="0" t="n">
        <f aca="false">(I306/55)*5</f>
        <v>13.1545454545455</v>
      </c>
      <c r="L306" s="0" t="n">
        <v>20.5</v>
      </c>
      <c r="M306" s="0" t="n">
        <v>0</v>
      </c>
      <c r="N306" s="0" t="n">
        <f aca="false">L306</f>
        <v>20.5</v>
      </c>
      <c r="O306" s="3" t="n">
        <v>1.083225</v>
      </c>
      <c r="P306" s="3" t="n">
        <f aca="false">(O306*(N306/100)*(J306/1000))*1000</f>
        <v>2.9211131625</v>
      </c>
      <c r="Q306" s="3"/>
      <c r="R306" s="1"/>
      <c r="S306" s="1"/>
      <c r="T306" s="1"/>
      <c r="U306" s="1"/>
      <c r="V306" s="1"/>
      <c r="W306" s="1"/>
      <c r="X306" s="1"/>
      <c r="Y306" s="5"/>
      <c r="Z306" s="1"/>
    </row>
    <row r="307" customFormat="false" ht="15" hidden="false" customHeight="false" outlineLevel="0" collapsed="false">
      <c r="A307" s="0" t="s">
        <v>65</v>
      </c>
      <c r="B307" s="0" t="s">
        <v>66</v>
      </c>
      <c r="C307" s="0" t="s">
        <v>56</v>
      </c>
      <c r="D307" s="0" t="s">
        <v>133</v>
      </c>
      <c r="E307" s="0" t="n">
        <v>7</v>
      </c>
      <c r="F307" s="0" t="n">
        <v>2</v>
      </c>
      <c r="G307" s="1"/>
      <c r="H307" s="1"/>
      <c r="I307" s="0" t="n">
        <f aca="false">111+5.7</f>
        <v>116.7</v>
      </c>
      <c r="J307" s="0" t="n">
        <f aca="false">(I307/55)*5</f>
        <v>10.6090909090909</v>
      </c>
      <c r="L307" s="0" t="n">
        <v>21</v>
      </c>
      <c r="M307" s="0" t="n">
        <v>0</v>
      </c>
      <c r="N307" s="0" t="n">
        <f aca="false">L307</f>
        <v>21</v>
      </c>
      <c r="O307" s="3" t="n">
        <v>1.08545</v>
      </c>
      <c r="P307" s="3" t="n">
        <f aca="false">(O307*(N307/100)*(J307/1000))*1000</f>
        <v>2.41828392272727</v>
      </c>
      <c r="Q307" s="3"/>
      <c r="R307" s="1"/>
      <c r="S307" s="1"/>
      <c r="T307" s="1"/>
      <c r="U307" s="1"/>
      <c r="V307" s="1"/>
      <c r="W307" s="1"/>
      <c r="X307" s="1"/>
      <c r="Y307" s="5"/>
      <c r="Z307" s="1"/>
    </row>
    <row r="308" customFormat="false" ht="15" hidden="false" customHeight="false" outlineLevel="0" collapsed="false">
      <c r="A308" s="0" t="s">
        <v>67</v>
      </c>
      <c r="B308" s="0" t="s">
        <v>68</v>
      </c>
      <c r="C308" s="0" t="s">
        <v>56</v>
      </c>
      <c r="D308" s="0" t="s">
        <v>133</v>
      </c>
      <c r="E308" s="0" t="n">
        <v>7</v>
      </c>
      <c r="F308" s="0" t="n">
        <v>1</v>
      </c>
      <c r="G308" s="1"/>
      <c r="H308" s="1"/>
      <c r="I308" s="0" t="n">
        <f aca="false">102.2</f>
        <v>102.2</v>
      </c>
      <c r="J308" s="0" t="n">
        <f aca="false">(I308/55)*5</f>
        <v>9.29090909090909</v>
      </c>
      <c r="L308" s="0" t="n">
        <v>21.5</v>
      </c>
      <c r="M308" s="0" t="n">
        <v>0</v>
      </c>
      <c r="N308" s="0" t="n">
        <f aca="false">L308</f>
        <v>21.5</v>
      </c>
      <c r="O308" s="3" t="n">
        <v>1.087675</v>
      </c>
      <c r="P308" s="3" t="n">
        <f aca="false">(O308*(N308/100)*(J308/1000))*1000</f>
        <v>2.17268025227273</v>
      </c>
      <c r="Q308" s="3"/>
      <c r="R308" s="1"/>
      <c r="S308" s="1"/>
      <c r="T308" s="1"/>
      <c r="U308" s="1"/>
      <c r="V308" s="1"/>
      <c r="W308" s="1"/>
      <c r="X308" s="1"/>
      <c r="Y308" s="5"/>
      <c r="Z308" s="1"/>
    </row>
    <row r="309" customFormat="false" ht="15" hidden="false" customHeight="false" outlineLevel="0" collapsed="false">
      <c r="A309" s="0" t="s">
        <v>69</v>
      </c>
      <c r="B309" s="0" t="s">
        <v>70</v>
      </c>
      <c r="C309" s="0" t="s">
        <v>56</v>
      </c>
      <c r="D309" s="0" t="s">
        <v>133</v>
      </c>
      <c r="E309" s="0" t="n">
        <v>7</v>
      </c>
      <c r="F309" s="0" t="n">
        <v>1</v>
      </c>
      <c r="G309" s="1"/>
      <c r="H309" s="1"/>
      <c r="I309" s="0" t="n">
        <v>10.3</v>
      </c>
      <c r="J309" s="0" t="n">
        <f aca="false">(I309/55)*5</f>
        <v>0.936363636363636</v>
      </c>
      <c r="L309" s="0" t="n">
        <v>17</v>
      </c>
      <c r="M309" s="0" t="n">
        <v>0</v>
      </c>
      <c r="N309" s="0" t="n">
        <f aca="false">L309</f>
        <v>17</v>
      </c>
      <c r="O309" s="3" t="n">
        <v>1.0678</v>
      </c>
      <c r="P309" s="3" t="n">
        <f aca="false">(O309*(N309/100)*(J309/1000))*1000</f>
        <v>0.169974345454545</v>
      </c>
      <c r="Q309" s="3"/>
      <c r="R309" s="1"/>
      <c r="S309" s="1"/>
      <c r="T309" s="1"/>
      <c r="U309" s="1"/>
      <c r="V309" s="1"/>
      <c r="W309" s="1"/>
      <c r="X309" s="1"/>
      <c r="Y309" s="5"/>
      <c r="Z309" s="1"/>
    </row>
    <row r="310" customFormat="false" ht="15" hidden="false" customHeight="false" outlineLevel="0" collapsed="false">
      <c r="A310" s="0" t="s">
        <v>71</v>
      </c>
      <c r="B310" s="0" t="s">
        <v>72</v>
      </c>
      <c r="C310" s="0" t="s">
        <v>56</v>
      </c>
      <c r="D310" s="0" t="s">
        <v>133</v>
      </c>
      <c r="E310" s="0" t="n">
        <v>7</v>
      </c>
      <c r="F310" s="0" t="n">
        <v>1</v>
      </c>
      <c r="G310" s="1"/>
      <c r="H310" s="1"/>
      <c r="I310" s="0" t="n">
        <v>83.7</v>
      </c>
      <c r="J310" s="0" t="n">
        <f aca="false">(I310/55)*5</f>
        <v>7.60909090909091</v>
      </c>
      <c r="L310" s="0" t="n">
        <v>14.5</v>
      </c>
      <c r="M310" s="0" t="n">
        <v>0</v>
      </c>
      <c r="N310" s="0" t="n">
        <f aca="false">L310</f>
        <v>14.5</v>
      </c>
      <c r="O310" s="3" t="n">
        <v>1.05705</v>
      </c>
      <c r="P310" s="3" t="n">
        <f aca="false">(O310*(N310/100)*(J310/1000))*1000</f>
        <v>1.16626248409091</v>
      </c>
      <c r="Q310" s="3"/>
      <c r="R310" s="1"/>
      <c r="S310" s="1"/>
      <c r="T310" s="1"/>
      <c r="U310" s="1"/>
      <c r="V310" s="1"/>
      <c r="W310" s="1"/>
      <c r="X310" s="1"/>
      <c r="Y310" s="5"/>
      <c r="Z310" s="1"/>
    </row>
    <row r="311" customFormat="false" ht="15" hidden="false" customHeight="false" outlineLevel="0" collapsed="false">
      <c r="A311" s="0" t="s">
        <v>73</v>
      </c>
      <c r="B311" s="0" t="s">
        <v>74</v>
      </c>
      <c r="C311" s="0" t="s">
        <v>56</v>
      </c>
      <c r="D311" s="0" t="s">
        <v>133</v>
      </c>
      <c r="E311" s="0" t="n">
        <v>7</v>
      </c>
      <c r="F311" s="0" t="n">
        <v>1</v>
      </c>
      <c r="G311" s="1"/>
      <c r="H311" s="1"/>
      <c r="I311" s="0" t="n">
        <f aca="false">100.5-16.8</f>
        <v>83.7</v>
      </c>
      <c r="J311" s="0" t="n">
        <f aca="false">(I311/55)*5</f>
        <v>7.60909090909091</v>
      </c>
      <c r="L311" s="0" t="n">
        <v>16</v>
      </c>
      <c r="M311" s="0" t="n">
        <v>0</v>
      </c>
      <c r="N311" s="0" t="n">
        <f aca="false">L311</f>
        <v>16</v>
      </c>
      <c r="O311" s="3" t="n">
        <v>1.0635</v>
      </c>
      <c r="P311" s="3" t="n">
        <f aca="false">(O311*(N311/100)*(J311/1000))*1000</f>
        <v>1.29476290909091</v>
      </c>
      <c r="Q311" s="3"/>
      <c r="R311" s="1"/>
      <c r="S311" s="1"/>
      <c r="T311" s="1"/>
      <c r="U311" s="1"/>
      <c r="V311" s="1"/>
      <c r="W311" s="1"/>
      <c r="X311" s="1"/>
      <c r="Y311" s="5"/>
      <c r="Z311" s="1"/>
    </row>
    <row r="312" customFormat="false" ht="15" hidden="false" customHeight="false" outlineLevel="0" collapsed="false">
      <c r="A312" s="0" t="s">
        <v>75</v>
      </c>
      <c r="B312" s="0" t="s">
        <v>76</v>
      </c>
      <c r="C312" s="0" t="s">
        <v>56</v>
      </c>
      <c r="D312" s="0" t="s">
        <v>133</v>
      </c>
      <c r="E312" s="0" t="n">
        <v>7</v>
      </c>
      <c r="F312" s="0" t="n">
        <v>1</v>
      </c>
      <c r="G312" s="1"/>
      <c r="H312" s="1"/>
      <c r="I312" s="0" t="n">
        <v>75.2</v>
      </c>
      <c r="J312" s="0" t="n">
        <f aca="false">(I312/55)*5</f>
        <v>6.83636363636364</v>
      </c>
      <c r="L312" s="0" t="n">
        <v>19</v>
      </c>
      <c r="M312" s="0" t="n">
        <v>0</v>
      </c>
      <c r="N312" s="0" t="n">
        <f aca="false">L312</f>
        <v>19</v>
      </c>
      <c r="O312" s="3" t="n">
        <v>1.0765</v>
      </c>
      <c r="P312" s="3" t="n">
        <f aca="false">(O312*(N312/100)*(J312/1000))*1000</f>
        <v>1.39827563636364</v>
      </c>
      <c r="Q312" s="3"/>
      <c r="R312" s="1"/>
      <c r="S312" s="1"/>
      <c r="T312" s="1"/>
      <c r="U312" s="1"/>
      <c r="V312" s="1"/>
      <c r="W312" s="1"/>
      <c r="X312" s="1"/>
      <c r="Y312" s="5"/>
      <c r="Z312" s="1"/>
    </row>
    <row r="313" customFormat="false" ht="15" hidden="false" customHeight="false" outlineLevel="0" collapsed="false">
      <c r="A313" s="0" t="s">
        <v>77</v>
      </c>
      <c r="B313" s="0" t="s">
        <v>78</v>
      </c>
      <c r="C313" s="0" t="s">
        <v>56</v>
      </c>
      <c r="D313" s="0" t="s">
        <v>133</v>
      </c>
      <c r="E313" s="0" t="n">
        <v>7</v>
      </c>
      <c r="F313" s="0" t="n">
        <v>1</v>
      </c>
      <c r="G313" s="1"/>
      <c r="H313" s="1"/>
      <c r="I313" s="0" t="n">
        <v>66.4</v>
      </c>
      <c r="J313" s="0" t="n">
        <f aca="false">(I313/55)*5</f>
        <v>6.03636363636364</v>
      </c>
      <c r="L313" s="0" t="n">
        <v>25</v>
      </c>
      <c r="M313" s="0" t="n">
        <v>0</v>
      </c>
      <c r="N313" s="0" t="n">
        <f aca="false">L313</f>
        <v>25</v>
      </c>
      <c r="O313" s="3" t="n">
        <v>1.10355</v>
      </c>
      <c r="P313" s="3" t="n">
        <f aca="false">(O313*(N313/100)*(J313/1000))*1000</f>
        <v>1.66535727272727</v>
      </c>
      <c r="Q313" s="3"/>
      <c r="R313" s="1"/>
      <c r="S313" s="1"/>
      <c r="T313" s="1"/>
      <c r="U313" s="1"/>
      <c r="V313" s="1"/>
      <c r="W313" s="1"/>
      <c r="X313" s="1"/>
      <c r="Y313" s="5"/>
      <c r="Z313" s="1"/>
    </row>
    <row r="314" customFormat="false" ht="15" hidden="false" customHeight="false" outlineLevel="0" collapsed="false">
      <c r="A314" s="0" t="s">
        <v>79</v>
      </c>
      <c r="B314" s="0" t="s">
        <v>80</v>
      </c>
      <c r="C314" s="0" t="s">
        <v>81</v>
      </c>
      <c r="D314" s="0" t="s">
        <v>133</v>
      </c>
      <c r="E314" s="0" t="n">
        <v>7</v>
      </c>
      <c r="F314" s="0" t="n">
        <v>3</v>
      </c>
      <c r="G314" s="1"/>
      <c r="H314" s="1"/>
      <c r="I314" s="0" t="n">
        <f aca="false">69.9+105</f>
        <v>174.9</v>
      </c>
      <c r="J314" s="0" t="n">
        <f aca="false">(I314/55)*5</f>
        <v>15.9</v>
      </c>
      <c r="L314" s="0" t="n">
        <v>19.5</v>
      </c>
      <c r="M314" s="0" t="n">
        <v>0</v>
      </c>
      <c r="N314" s="0" t="n">
        <f aca="false">L314</f>
        <v>19.5</v>
      </c>
      <c r="O314" s="3" t="n">
        <v>1.07875</v>
      </c>
      <c r="P314" s="3" t="n">
        <f aca="false">(O314*(N314/100)*(J314/1000))*1000</f>
        <v>3.344664375</v>
      </c>
      <c r="Q314" s="3"/>
      <c r="R314" s="0" t="n">
        <v>4</v>
      </c>
      <c r="S314" s="0" t="n">
        <v>19.5</v>
      </c>
      <c r="T314" s="0" t="n">
        <f aca="false">(S314/55)*5</f>
        <v>1.77272727272727</v>
      </c>
      <c r="V314" s="0" t="n">
        <v>5.5</v>
      </c>
      <c r="W314" s="0" t="n">
        <v>4</v>
      </c>
      <c r="X314" s="3" t="n">
        <v>1.01985</v>
      </c>
      <c r="Y314" s="2" t="n">
        <f aca="false">(V314*((W314+T314)/1000)*X314)/((((W314+T314)/1000)*X314)-((W314/1000)*0.9982))</f>
        <v>17.0915627283055</v>
      </c>
      <c r="Z314" s="3" t="n">
        <f aca="false">X314*(V314/100)*((W314+T314)/1000)*1000</f>
        <v>0.323802375</v>
      </c>
    </row>
    <row r="315" customFormat="false" ht="15" hidden="false" customHeight="false" outlineLevel="0" collapsed="false">
      <c r="A315" s="0" t="s">
        <v>82</v>
      </c>
      <c r="B315" s="0" t="s">
        <v>83</v>
      </c>
      <c r="C315" s="0" t="s">
        <v>81</v>
      </c>
      <c r="D315" s="0" t="s">
        <v>133</v>
      </c>
      <c r="E315" s="0" t="n">
        <v>7</v>
      </c>
      <c r="F315" s="0" t="n">
        <v>2</v>
      </c>
      <c r="G315" s="1"/>
      <c r="H315" s="1"/>
      <c r="I315" s="0" t="n">
        <f aca="false">14.5+36.3</f>
        <v>50.8</v>
      </c>
      <c r="J315" s="0" t="n">
        <f aca="false">(I315/55)*5</f>
        <v>4.61818181818182</v>
      </c>
      <c r="L315" s="0" t="n">
        <v>17.5</v>
      </c>
      <c r="M315" s="0" t="n">
        <v>0</v>
      </c>
      <c r="N315" s="0" t="n">
        <f aca="false">L315</f>
        <v>17.5</v>
      </c>
      <c r="O315" s="3" t="n">
        <v>1.07</v>
      </c>
      <c r="P315" s="3" t="n">
        <f aca="false">(O315*(N315/100)*(J315/1000))*1000</f>
        <v>0.864754545454545</v>
      </c>
      <c r="Q315" s="3"/>
      <c r="R315" s="0" t="n">
        <v>2</v>
      </c>
      <c r="S315" s="0" t="n">
        <v>17.5</v>
      </c>
      <c r="T315" s="0" t="n">
        <f aca="false">(S315/55)*5</f>
        <v>1.59090909090909</v>
      </c>
      <c r="V315" s="0" t="n">
        <v>13.5</v>
      </c>
      <c r="W315" s="0" t="n">
        <v>4</v>
      </c>
      <c r="X315" s="3" t="n">
        <v>1.0528</v>
      </c>
      <c r="Y315" s="2" t="n">
        <f aca="false">(V315*((W315+T315)/1000)*X315)/((((W315+T315)/1000)*X315)-((W315/1000)*0.9982))</f>
        <v>41.9701532670073</v>
      </c>
      <c r="Z315" s="3" t="n">
        <f aca="false">X315*(V315/100)*((W315+T315)/1000)*1000</f>
        <v>0.794624727272727</v>
      </c>
    </row>
    <row r="316" customFormat="false" ht="15" hidden="false" customHeight="false" outlineLevel="0" collapsed="false">
      <c r="A316" s="0" t="s">
        <v>84</v>
      </c>
      <c r="B316" s="0" t="s">
        <v>85</v>
      </c>
      <c r="C316" s="0" t="s">
        <v>81</v>
      </c>
      <c r="D316" s="0" t="s">
        <v>133</v>
      </c>
      <c r="E316" s="0" t="n">
        <v>7</v>
      </c>
      <c r="F316" s="0" t="n">
        <v>1</v>
      </c>
      <c r="G316" s="1"/>
      <c r="H316" s="1"/>
      <c r="I316" s="0" t="n">
        <v>41.8</v>
      </c>
      <c r="J316" s="0" t="n">
        <f aca="false">(I316/55)*5</f>
        <v>3.8</v>
      </c>
      <c r="L316" s="0" t="n">
        <v>25.5</v>
      </c>
      <c r="M316" s="0" t="n">
        <v>0</v>
      </c>
      <c r="N316" s="0" t="n">
        <f aca="false">L316</f>
        <v>25.5</v>
      </c>
      <c r="O316" s="3" t="n">
        <v>1.105825</v>
      </c>
      <c r="P316" s="3" t="n">
        <f aca="false">(O316*(N316/100)*(J316/1000))*1000</f>
        <v>1.071544425</v>
      </c>
      <c r="Q316" s="3"/>
      <c r="R316" s="0" t="n">
        <v>3</v>
      </c>
      <c r="S316" s="0" t="n">
        <v>25.5</v>
      </c>
      <c r="T316" s="0" t="n">
        <f aca="false">(S316/55)*5</f>
        <v>2.31818181818182</v>
      </c>
      <c r="V316" s="0" t="n">
        <v>20</v>
      </c>
      <c r="W316" s="0" t="n">
        <v>4</v>
      </c>
      <c r="X316" s="3" t="n">
        <v>1.081</v>
      </c>
      <c r="Y316" s="2" t="n">
        <f aca="false">(V316*((W316+T316)/1000)*X316)/((((W316+T316)/1000)*X316)-((W316/1000)*0.9982))</f>
        <v>48.1465104281819</v>
      </c>
      <c r="Z316" s="3" t="n">
        <f aca="false">X316*(V316/100)*((W316+T316)/1000)*1000</f>
        <v>1.36599090909091</v>
      </c>
    </row>
    <row r="317" customFormat="false" ht="15" hidden="false" customHeight="false" outlineLevel="0" collapsed="false">
      <c r="A317" s="0" t="s">
        <v>86</v>
      </c>
      <c r="B317" s="0" t="s">
        <v>87</v>
      </c>
      <c r="C317" s="0" t="s">
        <v>81</v>
      </c>
      <c r="D317" s="0" t="s">
        <v>133</v>
      </c>
      <c r="E317" s="0" t="n">
        <v>7</v>
      </c>
      <c r="F317" s="0" t="n">
        <v>0</v>
      </c>
      <c r="G317" s="1"/>
      <c r="H317" s="1"/>
      <c r="I317" s="0" t="n">
        <v>0</v>
      </c>
      <c r="J317" s="0" t="n">
        <f aca="false">(I317/55)*5</f>
        <v>0</v>
      </c>
      <c r="L317" s="0" t="n">
        <v>0</v>
      </c>
      <c r="M317" s="0" t="n">
        <v>0</v>
      </c>
      <c r="N317" s="0" t="n">
        <f aca="false">L317</f>
        <v>0</v>
      </c>
      <c r="O317" s="3" t="n">
        <v>0</v>
      </c>
      <c r="P317" s="3" t="n">
        <f aca="false">(O317*(N317/100)*(J317/1000))*1000</f>
        <v>0</v>
      </c>
      <c r="Q317" s="3"/>
      <c r="R317" s="0" t="n">
        <v>4</v>
      </c>
      <c r="S317" s="0" t="n">
        <v>0</v>
      </c>
      <c r="T317" s="0" t="n">
        <f aca="false">(S317/55)*5</f>
        <v>0</v>
      </c>
      <c r="V317" s="0" t="n">
        <v>10</v>
      </c>
      <c r="W317" s="0" t="n">
        <v>4</v>
      </c>
      <c r="X317" s="3" t="n">
        <v>1.0381</v>
      </c>
      <c r="Y317" s="2" t="n">
        <f aca="false">(V317*((W317+T317)/1000)*X317)/((((W317+T317)/1000)*X317)-((W317/1000)*0.9982))</f>
        <v>260.175438596492</v>
      </c>
      <c r="Z317" s="3" t="n">
        <f aca="false">X317*(V317/100)*((W317+T317)/1000)*1000</f>
        <v>0.41524</v>
      </c>
    </row>
    <row r="318" customFormat="false" ht="15" hidden="false" customHeight="false" outlineLevel="0" collapsed="false">
      <c r="A318" s="0" t="s">
        <v>88</v>
      </c>
      <c r="B318" s="0" t="s">
        <v>89</v>
      </c>
      <c r="C318" s="0" t="s">
        <v>81</v>
      </c>
      <c r="D318" s="0" t="s">
        <v>133</v>
      </c>
      <c r="E318" s="0" t="n">
        <v>7</v>
      </c>
      <c r="F318" s="0" t="n">
        <v>1</v>
      </c>
      <c r="G318" s="1"/>
      <c r="H318" s="1"/>
      <c r="I318" s="0" t="n">
        <v>63</v>
      </c>
      <c r="J318" s="0" t="n">
        <f aca="false">(I318/55)*5</f>
        <v>5.72727272727273</v>
      </c>
      <c r="L318" s="0" t="n">
        <v>23</v>
      </c>
      <c r="M318" s="0" t="n">
        <v>0</v>
      </c>
      <c r="N318" s="0" t="n">
        <f aca="false">L318</f>
        <v>23</v>
      </c>
      <c r="O318" s="3" t="n">
        <v>1.09445</v>
      </c>
      <c r="P318" s="3" t="n">
        <f aca="false">(O318*(N318/100)*(J318/1000))*1000</f>
        <v>1.44168913636364</v>
      </c>
      <c r="Q318" s="3"/>
      <c r="R318" s="0" t="n">
        <v>2</v>
      </c>
      <c r="S318" s="0" t="n">
        <v>23</v>
      </c>
      <c r="T318" s="0" t="n">
        <f aca="false">(S318/55)*5</f>
        <v>2.09090909090909</v>
      </c>
      <c r="V318" s="0" t="n">
        <v>5</v>
      </c>
      <c r="W318" s="0" t="n">
        <v>4</v>
      </c>
      <c r="X318" s="3" t="n">
        <v>1.0179</v>
      </c>
      <c r="Y318" s="2" t="n">
        <f aca="false">(V318*((W318+T318)/1000)*X318)/((((W318+T318)/1000)*X318)-((W318/1000)*0.9982))</f>
        <v>14.0452046048973</v>
      </c>
      <c r="Z318" s="3" t="n">
        <f aca="false">X318*(V318/100)*((W318+T318)/1000)*1000</f>
        <v>0.309996818181818</v>
      </c>
    </row>
    <row r="319" customFormat="false" ht="15" hidden="false" customHeight="false" outlineLevel="0" collapsed="false">
      <c r="A319" s="0" t="s">
        <v>90</v>
      </c>
      <c r="B319" s="0" t="s">
        <v>91</v>
      </c>
      <c r="C319" s="0" t="s">
        <v>81</v>
      </c>
      <c r="D319" s="0" t="s">
        <v>133</v>
      </c>
      <c r="E319" s="0" t="n">
        <v>7</v>
      </c>
      <c r="F319" s="0" t="n">
        <v>1</v>
      </c>
      <c r="G319" s="1"/>
      <c r="H319" s="1"/>
      <c r="I319" s="0" t="n">
        <v>0</v>
      </c>
      <c r="J319" s="0" t="n">
        <f aca="false">(I319/55)*5</f>
        <v>0</v>
      </c>
      <c r="L319" s="0" t="n">
        <v>0</v>
      </c>
      <c r="M319" s="0" t="n">
        <v>0</v>
      </c>
      <c r="N319" s="0" t="n">
        <f aca="false">L319</f>
        <v>0</v>
      </c>
      <c r="O319" s="3" t="n">
        <v>0</v>
      </c>
      <c r="P319" s="3" t="n">
        <f aca="false">(O319*(N319/100)*(J319/1000))*1000</f>
        <v>0</v>
      </c>
      <c r="Q319" s="3"/>
      <c r="R319" s="0" t="n">
        <v>1</v>
      </c>
      <c r="S319" s="0" t="n">
        <v>0</v>
      </c>
      <c r="T319" s="0" t="n">
        <f aca="false">(S319/55)*5</f>
        <v>0</v>
      </c>
      <c r="V319" s="0" t="n">
        <v>6</v>
      </c>
      <c r="W319" s="0" t="n">
        <v>4</v>
      </c>
      <c r="X319" s="3" t="n">
        <v>1.0218</v>
      </c>
      <c r="Y319" s="2" t="n">
        <f aca="false">(V319*((W319+T319)/1000)*X319)/((((W319+T319)/1000)*X319)-((W319/1000)*0.9982))</f>
        <v>259.77966101695</v>
      </c>
      <c r="Z319" s="3" t="n">
        <f aca="false">X319*(V319/100)*((W319+T319)/1000)*1000</f>
        <v>0.245232</v>
      </c>
    </row>
    <row r="320" customFormat="false" ht="15" hidden="false" customHeight="false" outlineLevel="0" collapsed="false">
      <c r="A320" s="0" t="s">
        <v>92</v>
      </c>
      <c r="B320" s="0" t="s">
        <v>93</v>
      </c>
      <c r="C320" s="0" t="s">
        <v>81</v>
      </c>
      <c r="D320" s="0" t="s">
        <v>133</v>
      </c>
      <c r="E320" s="0" t="n">
        <v>7</v>
      </c>
      <c r="F320" s="0" t="n">
        <v>1</v>
      </c>
      <c r="G320" s="1"/>
      <c r="H320" s="1"/>
      <c r="I320" s="0" t="n">
        <v>48.9</v>
      </c>
      <c r="J320" s="0" t="n">
        <f aca="false">(I320/55)*5</f>
        <v>4.44545454545455</v>
      </c>
      <c r="L320" s="0" t="n">
        <v>23.5</v>
      </c>
      <c r="M320" s="0" t="n">
        <v>0</v>
      </c>
      <c r="N320" s="0" t="n">
        <f aca="false">L320</f>
        <v>23.5</v>
      </c>
      <c r="O320" s="3" t="n">
        <v>1.096725</v>
      </c>
      <c r="P320" s="3" t="n">
        <f aca="false">(O320*(N320/100)*(J320/1000))*1000</f>
        <v>1.14572866704545</v>
      </c>
      <c r="Q320" s="3"/>
      <c r="R320" s="0" t="n">
        <v>4</v>
      </c>
      <c r="S320" s="0" t="n">
        <v>23.5</v>
      </c>
      <c r="T320" s="0" t="n">
        <f aca="false">(S320/55)*5</f>
        <v>2.13636363636364</v>
      </c>
      <c r="V320" s="0" t="n">
        <v>11.5</v>
      </c>
      <c r="W320" s="0" t="n">
        <v>4</v>
      </c>
      <c r="X320" s="3" t="n">
        <v>1.0444</v>
      </c>
      <c r="Y320" s="2" t="n">
        <f aca="false">(V320*((W320+T320)/1000)*X320)/((((W320+T320)/1000)*X320)-((W320/1000)*0.9982))</f>
        <v>30.5053205499658</v>
      </c>
      <c r="Z320" s="3" t="n">
        <f aca="false">X320*(V320/100)*((W320+T320)/1000)*1000</f>
        <v>0.737014090909091</v>
      </c>
    </row>
    <row r="321" customFormat="false" ht="15" hidden="false" customHeight="false" outlineLevel="0" collapsed="false">
      <c r="A321" s="0" t="s">
        <v>94</v>
      </c>
      <c r="B321" s="0" t="s">
        <v>95</v>
      </c>
      <c r="C321" s="0" t="s">
        <v>81</v>
      </c>
      <c r="D321" s="0" t="s">
        <v>133</v>
      </c>
      <c r="E321" s="0" t="n">
        <v>7</v>
      </c>
      <c r="F321" s="0" t="n">
        <v>1</v>
      </c>
      <c r="G321" s="1"/>
      <c r="H321" s="1"/>
      <c r="I321" s="0" t="n">
        <v>49.8</v>
      </c>
      <c r="J321" s="0" t="n">
        <f aca="false">(I321/55)*5</f>
        <v>4.52727272727273</v>
      </c>
      <c r="L321" s="0" t="n">
        <v>19</v>
      </c>
      <c r="M321" s="0" t="n">
        <v>0</v>
      </c>
      <c r="N321" s="0" t="n">
        <f aca="false">L321</f>
        <v>19</v>
      </c>
      <c r="O321" s="3" t="n">
        <v>1.0765</v>
      </c>
      <c r="P321" s="3" t="n">
        <f aca="false">(O321*(N321/100)*(J321/1000))*1000</f>
        <v>0.925985727272727</v>
      </c>
      <c r="Q321" s="3"/>
      <c r="R321" s="0" t="n">
        <v>2</v>
      </c>
      <c r="S321" s="0" t="n">
        <v>19</v>
      </c>
      <c r="T321" s="0" t="n">
        <f aca="false">(S321/55)*5</f>
        <v>1.72727272727273</v>
      </c>
      <c r="V321" s="0" t="n">
        <v>12</v>
      </c>
      <c r="W321" s="0" t="n">
        <v>4</v>
      </c>
      <c r="X321" s="3" t="n">
        <v>1.0465</v>
      </c>
      <c r="Y321" s="2" t="n">
        <f aca="false">(V321*((W321+T321)/1000)*X321)/((((W321+T321)/1000)*X321)-((W321/1000)*0.9982))</f>
        <v>35.9473299195318</v>
      </c>
      <c r="Z321" s="3" t="n">
        <f aca="false">X321*(V321/100)*((W321+T321)/1000)*1000</f>
        <v>0.719230909090909</v>
      </c>
    </row>
    <row r="322" customFormat="false" ht="15" hidden="false" customHeight="false" outlineLevel="0" collapsed="false">
      <c r="A322" s="0" t="s">
        <v>96</v>
      </c>
      <c r="B322" s="0" t="s">
        <v>97</v>
      </c>
      <c r="C322" s="0" t="s">
        <v>81</v>
      </c>
      <c r="D322" s="0" t="s">
        <v>133</v>
      </c>
      <c r="E322" s="0" t="n">
        <v>7</v>
      </c>
      <c r="F322" s="0" t="n">
        <v>0</v>
      </c>
      <c r="G322" s="1"/>
      <c r="H322" s="1"/>
      <c r="I322" s="0" t="n">
        <v>0</v>
      </c>
      <c r="J322" s="0" t="n">
        <f aca="false">(I322/55)*5</f>
        <v>0</v>
      </c>
      <c r="L322" s="0" t="n">
        <v>0</v>
      </c>
      <c r="M322" s="0" t="n">
        <v>0</v>
      </c>
      <c r="N322" s="0" t="n">
        <f aca="false">L322</f>
        <v>0</v>
      </c>
      <c r="O322" s="3" t="n">
        <v>0</v>
      </c>
      <c r="P322" s="3" t="n">
        <f aca="false">(O322*(N322/100)*(J322/1000))*1000</f>
        <v>0</v>
      </c>
      <c r="Q322" s="3"/>
      <c r="R322" s="0" t="n">
        <v>1</v>
      </c>
      <c r="S322" s="0" t="n">
        <v>0</v>
      </c>
      <c r="T322" s="0" t="n">
        <f aca="false">(S322/55)*5</f>
        <v>0</v>
      </c>
      <c r="V322" s="0" t="n">
        <v>13</v>
      </c>
      <c r="W322" s="0" t="n">
        <v>4</v>
      </c>
      <c r="X322" s="3" t="n">
        <v>1.0507</v>
      </c>
      <c r="Y322" s="2" t="n">
        <f aca="false">(V322*((W322+T322)/1000)*X322)/((((W322+T322)/1000)*X322)-((W322/1000)*0.9982))</f>
        <v>260.173333333334</v>
      </c>
      <c r="Z322" s="3" t="n">
        <f aca="false">X322*(V322/100)*((W322+T322)/1000)*1000</f>
        <v>0.546364</v>
      </c>
    </row>
    <row r="323" customFormat="false" ht="15" hidden="false" customHeight="false" outlineLevel="0" collapsed="false">
      <c r="A323" s="0" t="s">
        <v>98</v>
      </c>
      <c r="B323" s="0" t="s">
        <v>99</v>
      </c>
      <c r="C323" s="0" t="s">
        <v>81</v>
      </c>
      <c r="D323" s="0" t="s">
        <v>133</v>
      </c>
      <c r="E323" s="0" t="n">
        <v>7</v>
      </c>
      <c r="F323" s="0" t="n">
        <v>1</v>
      </c>
      <c r="G323" s="1"/>
      <c r="H323" s="1"/>
      <c r="I323" s="0" t="n">
        <v>32.5</v>
      </c>
      <c r="J323" s="0" t="n">
        <f aca="false">(I323/55)*5</f>
        <v>2.95454545454545</v>
      </c>
      <c r="L323" s="0" t="n">
        <v>22</v>
      </c>
      <c r="M323" s="0" t="n">
        <v>0</v>
      </c>
      <c r="N323" s="0" t="n">
        <f aca="false">L323</f>
        <v>22</v>
      </c>
      <c r="O323" s="3" t="n">
        <v>1.0899</v>
      </c>
      <c r="P323" s="3" t="n">
        <f aca="false">(O323*(N323/100)*(J323/1000))*1000</f>
        <v>0.708435</v>
      </c>
      <c r="Q323" s="3"/>
      <c r="R323" s="0" t="n">
        <v>4</v>
      </c>
      <c r="S323" s="0" t="n">
        <v>22</v>
      </c>
      <c r="T323" s="0" t="n">
        <f aca="false">(S323/55)*5</f>
        <v>2</v>
      </c>
      <c r="V323" s="0" t="n">
        <v>8</v>
      </c>
      <c r="W323" s="0" t="n">
        <v>4</v>
      </c>
      <c r="X323" s="3" t="n">
        <v>1.0299</v>
      </c>
      <c r="Y323" s="2" t="n">
        <f aca="false">(V323*((W323+T323)/1000)*X323)/((((W323+T323)/1000)*X323)-((W323/1000)*0.9982))</f>
        <v>22.6082502515321</v>
      </c>
      <c r="Z323" s="3" t="n">
        <f aca="false">X323*(V323/100)*((W323+T323)/1000)*1000</f>
        <v>0.494352</v>
      </c>
    </row>
    <row r="324" customFormat="false" ht="15" hidden="false" customHeight="false" outlineLevel="0" collapsed="false">
      <c r="A324" s="0" t="s">
        <v>100</v>
      </c>
      <c r="B324" s="0" t="s">
        <v>101</v>
      </c>
      <c r="C324" s="0" t="s">
        <v>81</v>
      </c>
      <c r="D324" s="0" t="s">
        <v>133</v>
      </c>
      <c r="E324" s="0" t="n">
        <v>7</v>
      </c>
      <c r="F324" s="0" t="n">
        <v>1</v>
      </c>
      <c r="G324" s="1"/>
      <c r="H324" s="1"/>
      <c r="I324" s="0" t="n">
        <v>51.8</v>
      </c>
      <c r="J324" s="0" t="n">
        <f aca="false">(I324/55)*5</f>
        <v>4.70909090909091</v>
      </c>
      <c r="L324" s="0" t="n">
        <v>22.5</v>
      </c>
      <c r="M324" s="0" t="n">
        <v>0</v>
      </c>
      <c r="N324" s="0" t="n">
        <f aca="false">L324</f>
        <v>22.5</v>
      </c>
      <c r="O324" s="3" t="n">
        <v>1.092175</v>
      </c>
      <c r="P324" s="3" t="n">
        <f aca="false">(O324*(N324/100)*(J324/1000))*1000</f>
        <v>1.15720905681818</v>
      </c>
      <c r="Q324" s="3"/>
      <c r="R324" s="0" t="n">
        <v>2</v>
      </c>
      <c r="S324" s="0" t="n">
        <v>22.5</v>
      </c>
      <c r="T324" s="0" t="n">
        <f aca="false">(S324/55)*5</f>
        <v>2.04545454545455</v>
      </c>
      <c r="V324" s="0" t="n">
        <v>12</v>
      </c>
      <c r="W324" s="0" t="n">
        <v>4</v>
      </c>
      <c r="X324" s="3" t="n">
        <v>1.0465</v>
      </c>
      <c r="Y324" s="2" t="n">
        <f aca="false">(V324*((W324+T324)/1000)*X324)/((((W324+T324)/1000)*X324)-((W324/1000)*0.9982))</f>
        <v>32.5305738476011</v>
      </c>
      <c r="Z324" s="3" t="n">
        <f aca="false">X324*(V324/100)*((W324+T324)/1000)*1000</f>
        <v>0.759188181818182</v>
      </c>
    </row>
    <row r="325" customFormat="false" ht="15" hidden="false" customHeight="false" outlineLevel="0" collapsed="false">
      <c r="A325" s="0" t="s">
        <v>102</v>
      </c>
      <c r="B325" s="0" t="s">
        <v>103</v>
      </c>
      <c r="C325" s="0" t="s">
        <v>81</v>
      </c>
      <c r="D325" s="0" t="s">
        <v>133</v>
      </c>
      <c r="E325" s="0" t="n">
        <v>7</v>
      </c>
      <c r="F325" s="0" t="n">
        <v>1</v>
      </c>
      <c r="G325" s="1"/>
      <c r="H325" s="1"/>
      <c r="I325" s="0" t="n">
        <v>89.8</v>
      </c>
      <c r="J325" s="0" t="n">
        <f aca="false">(I325/55)*5</f>
        <v>8.16363636363636</v>
      </c>
      <c r="L325" s="0" t="n">
        <v>17.5</v>
      </c>
      <c r="M325" s="0" t="n">
        <v>0</v>
      </c>
      <c r="N325" s="0" t="n">
        <f aca="false">L325</f>
        <v>17.5</v>
      </c>
      <c r="O325" s="3" t="n">
        <v>1.07</v>
      </c>
      <c r="P325" s="3" t="n">
        <f aca="false">(O325*(N325/100)*(J325/1000))*1000</f>
        <v>1.52864090909091</v>
      </c>
      <c r="Q325" s="3"/>
      <c r="R325" s="0" t="n">
        <v>3</v>
      </c>
      <c r="S325" s="0" t="n">
        <v>17.5</v>
      </c>
      <c r="T325" s="0" t="n">
        <f aca="false">(S325/55)*5</f>
        <v>1.59090909090909</v>
      </c>
      <c r="V325" s="0" t="n">
        <v>17</v>
      </c>
      <c r="W325" s="0" t="n">
        <v>4</v>
      </c>
      <c r="X325" s="3" t="n">
        <v>1.0678</v>
      </c>
      <c r="Y325" s="2" t="n">
        <f aca="false">(V325*((W325+T325)/1000)*X325)/((((W325+T325)/1000)*X325)-((W325/1000)*0.9982))</f>
        <v>51.3306374115473</v>
      </c>
      <c r="Z325" s="3" t="n">
        <f aca="false">X325*(V325/100)*((W325+T325)/1000)*1000</f>
        <v>1.01489536363636</v>
      </c>
    </row>
    <row r="326" customFormat="false" ht="15" hidden="false" customHeight="false" outlineLevel="0" collapsed="false">
      <c r="A326" s="0" t="s">
        <v>104</v>
      </c>
      <c r="B326" s="0" t="s">
        <v>105</v>
      </c>
      <c r="C326" s="0" t="s">
        <v>106</v>
      </c>
      <c r="D326" s="0" t="s">
        <v>133</v>
      </c>
      <c r="E326" s="0" t="n">
        <v>7</v>
      </c>
      <c r="F326" s="0" t="n">
        <v>1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0" t="n">
        <v>14</v>
      </c>
      <c r="S326" s="1"/>
      <c r="T326" s="1"/>
      <c r="U326" s="1"/>
      <c r="V326" s="1"/>
      <c r="W326" s="1"/>
      <c r="X326" s="1"/>
      <c r="Y326" s="5"/>
      <c r="Z326" s="1"/>
    </row>
    <row r="327" customFormat="false" ht="15" hidden="false" customHeight="false" outlineLevel="0" collapsed="false">
      <c r="A327" s="0" t="s">
        <v>107</v>
      </c>
      <c r="B327" s="0" t="s">
        <v>37</v>
      </c>
      <c r="C327" s="0" t="s">
        <v>106</v>
      </c>
      <c r="D327" s="0" t="s">
        <v>133</v>
      </c>
      <c r="E327" s="0" t="n">
        <v>7</v>
      </c>
      <c r="F327" s="0" t="n">
        <v>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0" t="n">
        <v>3</v>
      </c>
      <c r="S327" s="1"/>
      <c r="T327" s="1"/>
      <c r="U327" s="1"/>
      <c r="V327" s="1"/>
      <c r="W327" s="1"/>
      <c r="X327" s="1"/>
      <c r="Y327" s="5"/>
      <c r="Z327" s="1"/>
    </row>
    <row r="328" customFormat="false" ht="15" hidden="false" customHeight="false" outlineLevel="0" collapsed="false">
      <c r="A328" s="0" t="s">
        <v>108</v>
      </c>
      <c r="B328" s="0" t="s">
        <v>109</v>
      </c>
      <c r="C328" s="0" t="s">
        <v>106</v>
      </c>
      <c r="D328" s="0" t="s">
        <v>133</v>
      </c>
      <c r="E328" s="0" t="n">
        <v>7</v>
      </c>
      <c r="F328" s="0" t="n">
        <v>2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0" t="n">
        <v>4</v>
      </c>
      <c r="S328" s="1"/>
      <c r="T328" s="1"/>
      <c r="U328" s="1"/>
      <c r="V328" s="1"/>
      <c r="W328" s="1"/>
      <c r="X328" s="1"/>
      <c r="Y328" s="5"/>
      <c r="Z328" s="1"/>
    </row>
    <row r="329" customFormat="false" ht="15" hidden="false" customHeight="false" outlineLevel="0" collapsed="false">
      <c r="A329" s="0" t="s">
        <v>110</v>
      </c>
      <c r="B329" s="0" t="s">
        <v>111</v>
      </c>
      <c r="C329" s="0" t="s">
        <v>106</v>
      </c>
      <c r="D329" s="0" t="s">
        <v>133</v>
      </c>
      <c r="E329" s="0" t="n">
        <v>7</v>
      </c>
      <c r="F329" s="0" t="n">
        <v>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0" t="n">
        <v>5</v>
      </c>
      <c r="S329" s="1"/>
      <c r="T329" s="1"/>
      <c r="U329" s="1"/>
      <c r="V329" s="1"/>
      <c r="W329" s="1"/>
      <c r="X329" s="1"/>
      <c r="Y329" s="5"/>
      <c r="Z329" s="1"/>
    </row>
    <row r="330" customFormat="false" ht="15" hidden="false" customHeight="false" outlineLevel="0" collapsed="false">
      <c r="A330" s="0" t="s">
        <v>112</v>
      </c>
      <c r="B330" s="0" t="s">
        <v>113</v>
      </c>
      <c r="C330" s="0" t="s">
        <v>106</v>
      </c>
      <c r="D330" s="0" t="s">
        <v>133</v>
      </c>
      <c r="E330" s="0" t="n">
        <v>7</v>
      </c>
      <c r="F330" s="0" t="n">
        <v>1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0" t="n">
        <v>9</v>
      </c>
      <c r="S330" s="1"/>
      <c r="T330" s="1"/>
      <c r="U330" s="1"/>
      <c r="V330" s="1"/>
      <c r="W330" s="1"/>
      <c r="X330" s="1"/>
      <c r="Y330" s="5"/>
      <c r="Z330" s="1"/>
    </row>
    <row r="331" customFormat="false" ht="15" hidden="false" customHeight="false" outlineLevel="0" collapsed="false">
      <c r="A331" s="0" t="s">
        <v>114</v>
      </c>
      <c r="B331" s="0" t="s">
        <v>115</v>
      </c>
      <c r="C331" s="0" t="s">
        <v>106</v>
      </c>
      <c r="D331" s="0" t="s">
        <v>133</v>
      </c>
      <c r="E331" s="0" t="n">
        <v>7</v>
      </c>
      <c r="F331" s="0" t="n">
        <v>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0" t="n">
        <v>11</v>
      </c>
      <c r="S331" s="1"/>
      <c r="T331" s="1"/>
      <c r="U331" s="1"/>
      <c r="V331" s="1"/>
      <c r="W331" s="1"/>
      <c r="X331" s="1"/>
      <c r="Y331" s="5"/>
      <c r="Z331" s="1"/>
    </row>
    <row r="332" customFormat="false" ht="15" hidden="false" customHeight="false" outlineLevel="0" collapsed="false">
      <c r="A332" s="0" t="s">
        <v>116</v>
      </c>
      <c r="B332" s="0" t="s">
        <v>117</v>
      </c>
      <c r="C332" s="0" t="s">
        <v>106</v>
      </c>
      <c r="D332" s="0" t="s">
        <v>133</v>
      </c>
      <c r="E332" s="0" t="n">
        <v>7</v>
      </c>
      <c r="F332" s="0" t="n">
        <v>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0" t="n">
        <v>9</v>
      </c>
      <c r="S332" s="1"/>
      <c r="T332" s="1"/>
      <c r="U332" s="1"/>
      <c r="V332" s="1"/>
      <c r="W332" s="1"/>
      <c r="X332" s="1"/>
      <c r="Y332" s="5"/>
      <c r="Z332" s="1"/>
    </row>
    <row r="333" customFormat="false" ht="15" hidden="false" customHeight="false" outlineLevel="0" collapsed="false">
      <c r="A333" s="0" t="s">
        <v>118</v>
      </c>
      <c r="B333" s="0" t="s">
        <v>119</v>
      </c>
      <c r="C333" s="0" t="s">
        <v>106</v>
      </c>
      <c r="D333" s="0" t="s">
        <v>133</v>
      </c>
      <c r="E333" s="0" t="n">
        <v>7</v>
      </c>
      <c r="F333" s="0" t="n">
        <v>1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0" t="n">
        <v>10</v>
      </c>
      <c r="S333" s="1"/>
      <c r="T333" s="1"/>
      <c r="U333" s="1"/>
      <c r="V333" s="1"/>
      <c r="W333" s="1"/>
      <c r="X333" s="1"/>
      <c r="Y333" s="5"/>
      <c r="Z333" s="1"/>
    </row>
    <row r="334" customFormat="false" ht="15" hidden="false" customHeight="false" outlineLevel="0" collapsed="false">
      <c r="A334" s="0" t="s">
        <v>120</v>
      </c>
      <c r="B334" s="0" t="s">
        <v>121</v>
      </c>
      <c r="C334" s="0" t="s">
        <v>106</v>
      </c>
      <c r="D334" s="0" t="s">
        <v>133</v>
      </c>
      <c r="E334" s="0" t="n">
        <v>7</v>
      </c>
      <c r="F334" s="0" t="n">
        <v>1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0" t="n">
        <v>6</v>
      </c>
      <c r="S334" s="1"/>
      <c r="T334" s="1"/>
      <c r="U334" s="1"/>
      <c r="V334" s="1"/>
      <c r="W334" s="1"/>
      <c r="X334" s="1"/>
      <c r="Y334" s="5"/>
      <c r="Z334" s="1"/>
    </row>
    <row r="335" customFormat="false" ht="15" hidden="false" customHeight="false" outlineLevel="0" collapsed="false">
      <c r="A335" s="0" t="s">
        <v>122</v>
      </c>
      <c r="B335" s="0" t="s">
        <v>123</v>
      </c>
      <c r="C335" s="0" t="s">
        <v>106</v>
      </c>
      <c r="D335" s="0" t="s">
        <v>133</v>
      </c>
      <c r="E335" s="0" t="n">
        <v>7</v>
      </c>
      <c r="F335" s="0" t="n">
        <v>2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0" t="n">
        <v>6</v>
      </c>
      <c r="S335" s="1"/>
      <c r="T335" s="1"/>
      <c r="U335" s="1"/>
      <c r="V335" s="1"/>
      <c r="W335" s="1"/>
      <c r="X335" s="1"/>
      <c r="Y335" s="5"/>
      <c r="Z335" s="1"/>
    </row>
    <row r="336" customFormat="false" ht="15" hidden="false" customHeight="false" outlineLevel="0" collapsed="false">
      <c r="A336" s="0" t="s">
        <v>124</v>
      </c>
      <c r="B336" s="0" t="s">
        <v>125</v>
      </c>
      <c r="C336" s="0" t="s">
        <v>106</v>
      </c>
      <c r="D336" s="0" t="s">
        <v>133</v>
      </c>
      <c r="E336" s="0" t="n">
        <v>7</v>
      </c>
      <c r="F336" s="0" t="n">
        <v>1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0" t="n">
        <v>4</v>
      </c>
      <c r="S336" s="1"/>
      <c r="T336" s="1"/>
      <c r="U336" s="1"/>
      <c r="V336" s="1"/>
      <c r="W336" s="1"/>
      <c r="X336" s="1"/>
      <c r="Y336" s="5"/>
      <c r="Z336" s="1"/>
    </row>
    <row r="337" customFormat="false" ht="15" hidden="false" customHeight="false" outlineLevel="0" collapsed="false">
      <c r="A337" s="0" t="s">
        <v>126</v>
      </c>
      <c r="B337" s="0" t="s">
        <v>127</v>
      </c>
      <c r="C337" s="0" t="s">
        <v>106</v>
      </c>
      <c r="D337" s="0" t="s">
        <v>133</v>
      </c>
      <c r="E337" s="0" t="n">
        <v>7</v>
      </c>
      <c r="F337" s="0" t="n">
        <v>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0" t="n">
        <v>7</v>
      </c>
      <c r="S337" s="1"/>
      <c r="T337" s="1"/>
      <c r="U337" s="1"/>
      <c r="V337" s="1"/>
      <c r="W337" s="1"/>
      <c r="X337" s="1"/>
      <c r="Y337" s="5"/>
      <c r="Z337" s="1"/>
    </row>
    <row r="338" customFormat="false" ht="15" hidden="false" customHeight="false" outlineLevel="0" collapsed="false">
      <c r="A338" s="0" t="s">
        <v>26</v>
      </c>
      <c r="B338" s="0" t="s">
        <v>27</v>
      </c>
      <c r="C338" s="0" t="s">
        <v>28</v>
      </c>
      <c r="D338" s="0" t="s">
        <v>134</v>
      </c>
      <c r="E338" s="0" t="n">
        <v>8</v>
      </c>
      <c r="F338" s="0" t="n">
        <v>1</v>
      </c>
      <c r="G338" s="0" t="n">
        <v>4</v>
      </c>
      <c r="H338" s="0" t="n">
        <v>46</v>
      </c>
      <c r="I338" s="1"/>
      <c r="J338" s="1"/>
      <c r="K338" s="1"/>
      <c r="L338" s="1"/>
      <c r="M338" s="1"/>
      <c r="N338" s="1"/>
      <c r="O338" s="1"/>
      <c r="P338" s="1"/>
      <c r="Q338" s="1"/>
      <c r="R338" s="0" t="n">
        <v>5</v>
      </c>
      <c r="S338" s="0" t="n">
        <v>7.2</v>
      </c>
      <c r="T338" s="0" t="n">
        <f aca="false">(S338/55)*5</f>
        <v>0.654545454545455</v>
      </c>
      <c r="V338" s="0" t="n">
        <v>19.5</v>
      </c>
      <c r="W338" s="0" t="n">
        <v>4</v>
      </c>
      <c r="X338" s="3" t="n">
        <v>1.07875</v>
      </c>
      <c r="Y338" s="2" t="n">
        <f aca="false">(V338*((W338+T338)/1000)*X338)/((((W338+T338)/1000)*X338)-((W338/1000)*0.9982))</f>
        <v>95.2174835561215</v>
      </c>
      <c r="Z338" s="3" t="n">
        <f aca="false">X338*(V338/100)*((W338+T338)/1000)*1000</f>
        <v>0.979112727272727</v>
      </c>
    </row>
    <row r="339" customFormat="false" ht="15" hidden="false" customHeight="false" outlineLevel="0" collapsed="false">
      <c r="A339" s="0" t="s">
        <v>32</v>
      </c>
      <c r="B339" s="0" t="s">
        <v>33</v>
      </c>
      <c r="C339" s="0" t="s">
        <v>28</v>
      </c>
      <c r="D339" s="0" t="s">
        <v>134</v>
      </c>
      <c r="E339" s="0" t="n">
        <v>8</v>
      </c>
      <c r="F339" s="0" t="n">
        <v>2</v>
      </c>
      <c r="G339" s="0" t="n">
        <v>7</v>
      </c>
      <c r="H339" s="0" t="n">
        <v>68</v>
      </c>
      <c r="I339" s="1"/>
      <c r="J339" s="1"/>
      <c r="K339" s="1"/>
      <c r="L339" s="1"/>
      <c r="M339" s="1"/>
      <c r="N339" s="1"/>
      <c r="O339" s="1"/>
      <c r="P339" s="1"/>
      <c r="Q339" s="1"/>
      <c r="R339" s="0" t="n">
        <v>5</v>
      </c>
      <c r="S339" s="0" t="n">
        <v>17.6</v>
      </c>
      <c r="T339" s="0" t="n">
        <f aca="false">(S339/55)*5</f>
        <v>1.6</v>
      </c>
      <c r="V339" s="0" t="n">
        <v>14</v>
      </c>
      <c r="W339" s="0" t="n">
        <v>4</v>
      </c>
      <c r="X339" s="3" t="n">
        <v>1.0549</v>
      </c>
      <c r="Y339" s="2" t="n">
        <f aca="false">(V339*((W339+T339)/1000)*X339)/((((W339+T339)/1000)*X339)-((W339/1000)*0.9982))</f>
        <v>43.1956712489032</v>
      </c>
      <c r="Z339" s="3" t="n">
        <f aca="false">X339*(V339/100)*((W339+T339)/1000)*1000</f>
        <v>0.8270416</v>
      </c>
    </row>
    <row r="340" customFormat="false" ht="15" hidden="false" customHeight="false" outlineLevel="0" collapsed="false">
      <c r="A340" s="0" t="s">
        <v>34</v>
      </c>
      <c r="B340" s="0" t="s">
        <v>35</v>
      </c>
      <c r="C340" s="0" t="s">
        <v>28</v>
      </c>
      <c r="D340" s="0" t="s">
        <v>134</v>
      </c>
      <c r="E340" s="0" t="n">
        <v>8</v>
      </c>
      <c r="F340" s="0" t="n">
        <v>1</v>
      </c>
      <c r="G340" s="0" t="n">
        <v>5</v>
      </c>
      <c r="H340" s="0" t="n">
        <v>58</v>
      </c>
      <c r="I340" s="1"/>
      <c r="J340" s="1"/>
      <c r="K340" s="1"/>
      <c r="L340" s="1"/>
      <c r="M340" s="1"/>
      <c r="N340" s="1"/>
      <c r="O340" s="1"/>
      <c r="P340" s="1"/>
      <c r="Q340" s="1"/>
      <c r="R340" s="0" t="n">
        <v>4</v>
      </c>
      <c r="S340" s="0" t="n">
        <v>17.5</v>
      </c>
      <c r="T340" s="0" t="n">
        <f aca="false">(S340/55)*5</f>
        <v>1.59090909090909</v>
      </c>
      <c r="V340" s="0" t="n">
        <v>13.5</v>
      </c>
      <c r="W340" s="0" t="n">
        <v>4</v>
      </c>
      <c r="X340" s="3" t="n">
        <v>1.0528</v>
      </c>
      <c r="Y340" s="2" t="n">
        <f aca="false">(V340*((W340+T340)/1000)*X340)/((((W340+T340)/1000)*X340)-((W340/1000)*0.9982))</f>
        <v>41.9701532670073</v>
      </c>
      <c r="Z340" s="3" t="n">
        <f aca="false">X340*(V340/100)*((W340+T340)/1000)*1000</f>
        <v>0.794624727272727</v>
      </c>
    </row>
    <row r="341" customFormat="false" ht="15" hidden="false" customHeight="false" outlineLevel="0" collapsed="false">
      <c r="A341" s="0" t="s">
        <v>36</v>
      </c>
      <c r="B341" s="0" t="s">
        <v>37</v>
      </c>
      <c r="C341" s="0" t="s">
        <v>28</v>
      </c>
      <c r="D341" s="0" t="s">
        <v>134</v>
      </c>
      <c r="E341" s="0" t="n">
        <v>8</v>
      </c>
      <c r="F341" s="0" t="n">
        <v>1</v>
      </c>
      <c r="G341" s="0" t="n">
        <v>3</v>
      </c>
      <c r="H341" s="0" t="n">
        <v>44</v>
      </c>
      <c r="I341" s="1"/>
      <c r="J341" s="1"/>
      <c r="K341" s="1"/>
      <c r="L341" s="1"/>
      <c r="M341" s="1"/>
      <c r="N341" s="1"/>
      <c r="O341" s="1"/>
      <c r="P341" s="1"/>
      <c r="Q341" s="1"/>
      <c r="R341" s="0" t="n">
        <v>1</v>
      </c>
      <c r="S341" s="0" t="n">
        <v>1.2</v>
      </c>
      <c r="T341" s="0" t="n">
        <f aca="false">(S341/55)*5</f>
        <v>0.109090909090909</v>
      </c>
      <c r="V341" s="0" t="n">
        <v>3</v>
      </c>
      <c r="W341" s="0" t="n">
        <v>4</v>
      </c>
      <c r="X341" s="3" t="n">
        <v>1.0099</v>
      </c>
      <c r="Y341" s="2" t="n">
        <f aca="false">(V341*((W341+T341)/1000)*X341)/((((W341+T341)/1000)*X341)-((W341/1000)*0.9982))</f>
        <v>79.3096810063241</v>
      </c>
      <c r="Z341" s="3" t="n">
        <f aca="false">X341*(V341/100)*((W341+T341)/1000)*1000</f>
        <v>0.124493127272727</v>
      </c>
    </row>
    <row r="342" customFormat="false" ht="15" hidden="false" customHeight="false" outlineLevel="0" collapsed="false">
      <c r="A342" s="0" t="s">
        <v>38</v>
      </c>
      <c r="B342" s="0" t="s">
        <v>39</v>
      </c>
      <c r="C342" s="0" t="s">
        <v>28</v>
      </c>
      <c r="D342" s="0" t="s">
        <v>134</v>
      </c>
      <c r="E342" s="0" t="n">
        <v>8</v>
      </c>
      <c r="F342" s="0" t="n">
        <v>1</v>
      </c>
      <c r="G342" s="0" t="n">
        <v>6</v>
      </c>
      <c r="H342" s="0" t="n">
        <v>83</v>
      </c>
      <c r="I342" s="1"/>
      <c r="J342" s="1"/>
      <c r="K342" s="1"/>
      <c r="L342" s="1"/>
      <c r="M342" s="1"/>
      <c r="N342" s="1"/>
      <c r="O342" s="1"/>
      <c r="P342" s="1"/>
      <c r="Q342" s="1"/>
      <c r="R342" s="0" t="n">
        <v>5</v>
      </c>
      <c r="S342" s="0" t="n">
        <v>8.4</v>
      </c>
      <c r="T342" s="0" t="n">
        <f aca="false">(S342/55)*5</f>
        <v>0.763636363636364</v>
      </c>
      <c r="V342" s="0" t="n">
        <v>16.5</v>
      </c>
      <c r="W342" s="0" t="n">
        <v>4</v>
      </c>
      <c r="X342" s="3" t="n">
        <v>1.06565</v>
      </c>
      <c r="Y342" s="2" t="n">
        <f aca="false">(V342*((W342+T342)/1000)*X342)/((((W342+T342)/1000)*X342)-((W342/1000)*0.9982))</f>
        <v>77.3001839040344</v>
      </c>
      <c r="Z342" s="3" t="n">
        <f aca="false">X342*(V342/100)*((W342+T342)/1000)*1000</f>
        <v>0.8376009</v>
      </c>
    </row>
    <row r="343" customFormat="false" ht="15" hidden="false" customHeight="false" outlineLevel="0" collapsed="false">
      <c r="A343" s="0" t="s">
        <v>40</v>
      </c>
      <c r="B343" s="0" t="s">
        <v>41</v>
      </c>
      <c r="C343" s="0" t="s">
        <v>28</v>
      </c>
      <c r="D343" s="0" t="s">
        <v>134</v>
      </c>
      <c r="E343" s="0" t="n">
        <v>8</v>
      </c>
      <c r="F343" s="0" t="n">
        <v>1</v>
      </c>
      <c r="G343" s="0" t="n">
        <v>4</v>
      </c>
      <c r="H343" s="0" t="n">
        <v>49</v>
      </c>
      <c r="I343" s="1"/>
      <c r="J343" s="1"/>
      <c r="K343" s="1"/>
      <c r="L343" s="1"/>
      <c r="M343" s="1"/>
      <c r="N343" s="1"/>
      <c r="O343" s="1"/>
      <c r="P343" s="1"/>
      <c r="Q343" s="1"/>
      <c r="R343" s="0" t="n">
        <v>1</v>
      </c>
      <c r="S343" s="0" t="n">
        <v>3.8</v>
      </c>
      <c r="T343" s="0" t="n">
        <f aca="false">(S343/55)*5</f>
        <v>0.345454545454545</v>
      </c>
      <c r="V343" s="0" t="n">
        <v>8.5</v>
      </c>
      <c r="W343" s="0" t="n">
        <v>4</v>
      </c>
      <c r="X343" s="3" t="n">
        <v>1.032</v>
      </c>
      <c r="Y343" s="2" t="n">
        <f aca="false">(V343*((W343+T343)/1000)*X343)/((((W343+T343)/1000)*X343)-((W343/1000)*0.9982))</f>
        <v>77.5221121135927</v>
      </c>
      <c r="Z343" s="3" t="n">
        <f aca="false">X343*(V343/100)*((W343+T343)/1000)*1000</f>
        <v>0.381183272727273</v>
      </c>
    </row>
    <row r="344" customFormat="false" ht="15" hidden="false" customHeight="false" outlineLevel="0" collapsed="false">
      <c r="A344" s="0" t="s">
        <v>42</v>
      </c>
      <c r="B344" s="0" t="s">
        <v>43</v>
      </c>
      <c r="C344" s="0" t="s">
        <v>28</v>
      </c>
      <c r="D344" s="0" t="s">
        <v>134</v>
      </c>
      <c r="E344" s="0" t="n">
        <v>8</v>
      </c>
      <c r="F344" s="0" t="n">
        <v>1</v>
      </c>
      <c r="G344" s="0" t="n">
        <v>6</v>
      </c>
      <c r="H344" s="0" t="n">
        <v>71</v>
      </c>
      <c r="I344" s="1"/>
      <c r="J344" s="1"/>
      <c r="K344" s="1"/>
      <c r="L344" s="1"/>
      <c r="M344" s="1"/>
      <c r="N344" s="1"/>
      <c r="O344" s="1"/>
      <c r="P344" s="1"/>
      <c r="Q344" s="1"/>
      <c r="R344" s="0" t="n">
        <v>1</v>
      </c>
      <c r="S344" s="0" t="n">
        <v>3.2</v>
      </c>
      <c r="T344" s="0" t="n">
        <f aca="false">(S344/55)*5</f>
        <v>0.290909090909091</v>
      </c>
      <c r="V344" s="0" t="n">
        <v>9</v>
      </c>
      <c r="W344" s="0" t="n">
        <v>4</v>
      </c>
      <c r="X344" s="3" t="n">
        <v>1.0341</v>
      </c>
      <c r="Y344" s="2" t="n">
        <f aca="false">(V344*((W344+T344)/1000)*X344)/((((W344+T344)/1000)*X344)-((W344/1000)*0.9982))</f>
        <v>89.8569932415847</v>
      </c>
      <c r="Z344" s="3" t="n">
        <f aca="false">X344*(V344/100)*((W344+T344)/1000)*1000</f>
        <v>0.399350618181818</v>
      </c>
    </row>
    <row r="345" customFormat="false" ht="15" hidden="false" customHeight="false" outlineLevel="0" collapsed="false">
      <c r="A345" s="0" t="s">
        <v>44</v>
      </c>
      <c r="B345" s="0" t="s">
        <v>45</v>
      </c>
      <c r="C345" s="0" t="s">
        <v>28</v>
      </c>
      <c r="D345" s="0" t="s">
        <v>134</v>
      </c>
      <c r="E345" s="0" t="n">
        <v>8</v>
      </c>
      <c r="F345" s="0" t="n">
        <v>3</v>
      </c>
      <c r="G345" s="0" t="n">
        <v>7</v>
      </c>
      <c r="H345" s="0" t="n">
        <v>57</v>
      </c>
      <c r="I345" s="1"/>
      <c r="J345" s="1"/>
      <c r="K345" s="1"/>
      <c r="L345" s="1"/>
      <c r="M345" s="1"/>
      <c r="N345" s="1"/>
      <c r="O345" s="1"/>
      <c r="P345" s="1"/>
      <c r="Q345" s="1"/>
      <c r="R345" s="0" t="n">
        <v>3</v>
      </c>
      <c r="S345" s="0" t="n">
        <v>9.2</v>
      </c>
      <c r="T345" s="0" t="n">
        <f aca="false">(S345/55)*5</f>
        <v>0.836363636363636</v>
      </c>
      <c r="V345" s="0" t="n">
        <v>16</v>
      </c>
      <c r="W345" s="0" t="n">
        <v>4</v>
      </c>
      <c r="X345" s="3" t="n">
        <v>1.0635</v>
      </c>
      <c r="Y345" s="2" t="n">
        <f aca="false">(V345*((W345+T345)/1000)*X345)/((((W345+T345)/1000)*X345)-((W345/1000)*0.9982))</f>
        <v>71.5195221767504</v>
      </c>
      <c r="Z345" s="3" t="n">
        <f aca="false">X345*(V345/100)*((W345+T345)/1000)*1000</f>
        <v>0.822955636363636</v>
      </c>
    </row>
    <row r="346" customFormat="false" ht="15" hidden="false" customHeight="false" outlineLevel="0" collapsed="false">
      <c r="A346" s="0" t="s">
        <v>46</v>
      </c>
      <c r="B346" s="0" t="s">
        <v>47</v>
      </c>
      <c r="C346" s="0" t="s">
        <v>28</v>
      </c>
      <c r="D346" s="0" t="s">
        <v>134</v>
      </c>
      <c r="E346" s="0" t="n">
        <v>8</v>
      </c>
      <c r="F346" s="0" t="n">
        <v>0</v>
      </c>
      <c r="G346" s="0" t="n">
        <v>4</v>
      </c>
      <c r="H346" s="0" t="n">
        <v>76</v>
      </c>
      <c r="I346" s="1"/>
      <c r="J346" s="1"/>
      <c r="K346" s="1"/>
      <c r="L346" s="1"/>
      <c r="M346" s="1"/>
      <c r="N346" s="1"/>
      <c r="O346" s="1"/>
      <c r="P346" s="1"/>
      <c r="Q346" s="1"/>
      <c r="R346" s="0" t="n">
        <v>6</v>
      </c>
      <c r="S346" s="0" t="n">
        <v>12.4</v>
      </c>
      <c r="T346" s="0" t="n">
        <f aca="false">(S346/55)*5</f>
        <v>1.12727272727273</v>
      </c>
      <c r="V346" s="0" t="n">
        <v>14.5</v>
      </c>
      <c r="W346" s="0" t="n">
        <v>4</v>
      </c>
      <c r="X346" s="3" t="n">
        <v>1.05705</v>
      </c>
      <c r="Y346" s="2" t="n">
        <f aca="false">(V346*((W346+T346)/1000)*X346)/((((W346+T346)/1000)*X346)-((W346/1000)*0.9982))</f>
        <v>55.0720139493222</v>
      </c>
      <c r="Z346" s="3" t="n">
        <f aca="false">X346*(V346/100)*((W346+T346)/1000)*1000</f>
        <v>0.785868627272727</v>
      </c>
    </row>
    <row r="347" customFormat="false" ht="15" hidden="false" customHeight="false" outlineLevel="0" collapsed="false">
      <c r="A347" s="0" t="s">
        <v>48</v>
      </c>
      <c r="B347" s="0" t="s">
        <v>49</v>
      </c>
      <c r="C347" s="0" t="s">
        <v>28</v>
      </c>
      <c r="D347" s="0" t="s">
        <v>134</v>
      </c>
      <c r="E347" s="0" t="n">
        <v>8</v>
      </c>
      <c r="F347" s="0" t="n">
        <v>1</v>
      </c>
      <c r="G347" s="0" t="n">
        <v>4</v>
      </c>
      <c r="H347" s="0" t="n">
        <v>35</v>
      </c>
      <c r="I347" s="1"/>
      <c r="J347" s="1"/>
      <c r="K347" s="1"/>
      <c r="L347" s="1"/>
      <c r="M347" s="1"/>
      <c r="N347" s="1"/>
      <c r="O347" s="1"/>
      <c r="P347" s="1"/>
      <c r="Q347" s="1"/>
      <c r="R347" s="0" t="n">
        <v>3</v>
      </c>
      <c r="S347" s="0" t="n">
        <v>11.1</v>
      </c>
      <c r="T347" s="0" t="n">
        <f aca="false">(S347/55)*5</f>
        <v>1.00909090909091</v>
      </c>
      <c r="V347" s="0" t="n">
        <v>14</v>
      </c>
      <c r="W347" s="0" t="n">
        <v>4</v>
      </c>
      <c r="X347" s="3" t="n">
        <v>1.0549</v>
      </c>
      <c r="Y347" s="2" t="n">
        <f aca="false">(V347*((W347+T347)/1000)*X347)/((((W347+T347)/1000)*X347)-((W347/1000)*0.9982))</f>
        <v>57.28942375454</v>
      </c>
      <c r="Z347" s="3" t="n">
        <f aca="false">X347*(V347/100)*((W347+T347)/1000)*1000</f>
        <v>0.7397726</v>
      </c>
    </row>
    <row r="348" customFormat="false" ht="15" hidden="false" customHeight="false" outlineLevel="0" collapsed="false">
      <c r="A348" s="0" t="s">
        <v>50</v>
      </c>
      <c r="B348" s="0" t="s">
        <v>51</v>
      </c>
      <c r="C348" s="0" t="s">
        <v>28</v>
      </c>
      <c r="D348" s="0" t="s">
        <v>134</v>
      </c>
      <c r="E348" s="0" t="n">
        <v>8</v>
      </c>
      <c r="F348" s="0" t="n">
        <v>2</v>
      </c>
      <c r="G348" s="0" t="n">
        <v>6</v>
      </c>
      <c r="H348" s="0" t="n">
        <v>77</v>
      </c>
      <c r="I348" s="1"/>
      <c r="J348" s="1"/>
      <c r="K348" s="1"/>
      <c r="L348" s="1"/>
      <c r="M348" s="1"/>
      <c r="N348" s="1"/>
      <c r="O348" s="1"/>
      <c r="P348" s="1"/>
      <c r="Q348" s="1"/>
      <c r="R348" s="0" t="n">
        <v>5</v>
      </c>
      <c r="S348" s="0" t="n">
        <v>16.8</v>
      </c>
      <c r="T348" s="0" t="n">
        <f aca="false">(S348/55)*5</f>
        <v>1.52727272727273</v>
      </c>
      <c r="V348" s="0" t="n">
        <v>21</v>
      </c>
      <c r="W348" s="0" t="n">
        <v>4</v>
      </c>
      <c r="X348" s="3" t="n">
        <v>1.08545</v>
      </c>
      <c r="Y348" s="2" t="n">
        <f aca="false">(V348*((W348+T348)/1000)*X348)/((((W348+T348)/1000)*X348)-((W348/1000)*0.9982))</f>
        <v>62.782794311642</v>
      </c>
      <c r="Z348" s="3" t="n">
        <f aca="false">X348*(V348/100)*((W348+T348)/1000)*1000</f>
        <v>1.25991141818182</v>
      </c>
    </row>
    <row r="349" customFormat="false" ht="15" hidden="false" customHeight="false" outlineLevel="0" collapsed="false">
      <c r="A349" s="0" t="s">
        <v>52</v>
      </c>
      <c r="B349" s="0" t="s">
        <v>53</v>
      </c>
      <c r="C349" s="0" t="s">
        <v>28</v>
      </c>
      <c r="D349" s="0" t="s">
        <v>134</v>
      </c>
      <c r="E349" s="0" t="n">
        <v>8</v>
      </c>
      <c r="F349" s="0" t="n">
        <v>1</v>
      </c>
      <c r="G349" s="0" t="n">
        <v>4</v>
      </c>
      <c r="H349" s="0" t="n">
        <v>49</v>
      </c>
      <c r="I349" s="1"/>
      <c r="J349" s="1"/>
      <c r="K349" s="1"/>
      <c r="L349" s="1"/>
      <c r="M349" s="1"/>
      <c r="N349" s="1"/>
      <c r="O349" s="1"/>
      <c r="P349" s="1"/>
      <c r="Q349" s="1"/>
      <c r="R349" s="0" t="n">
        <v>1</v>
      </c>
      <c r="S349" s="0" t="n">
        <v>1.2</v>
      </c>
      <c r="T349" s="0" t="n">
        <f aca="false">(S349/55)*5</f>
        <v>0.109090909090909</v>
      </c>
      <c r="V349" s="0" t="n">
        <v>4</v>
      </c>
      <c r="W349" s="0" t="n">
        <v>4</v>
      </c>
      <c r="X349" s="3" t="n">
        <v>1.0139</v>
      </c>
      <c r="Y349" s="2" t="n">
        <f aca="false">(V349*((W349+T349)/1000)*X349)/((((W349+T349)/1000)*X349)-((W349/1000)*0.9982))</f>
        <v>96.1022500891229</v>
      </c>
      <c r="Z349" s="3" t="n">
        <f aca="false">X349*(V349/100)*((W349+T349)/1000)*1000</f>
        <v>0.166648290909091</v>
      </c>
    </row>
    <row r="350" customFormat="false" ht="15" hidden="false" customHeight="false" outlineLevel="0" collapsed="false">
      <c r="A350" s="0" t="s">
        <v>54</v>
      </c>
      <c r="B350" s="0" t="s">
        <v>55</v>
      </c>
      <c r="C350" s="0" t="s">
        <v>56</v>
      </c>
      <c r="D350" s="0" t="s">
        <v>134</v>
      </c>
      <c r="E350" s="0" t="n">
        <v>8</v>
      </c>
      <c r="F350" s="0" t="n">
        <v>0</v>
      </c>
      <c r="G350" s="0" t="n">
        <v>2</v>
      </c>
      <c r="H350" s="0" t="n">
        <v>27</v>
      </c>
      <c r="I350" s="0" t="n">
        <v>0</v>
      </c>
      <c r="J350" s="0" t="n">
        <f aca="false">(I350/55)*5</f>
        <v>0</v>
      </c>
      <c r="L350" s="0" t="n">
        <v>0</v>
      </c>
      <c r="M350" s="0" t="n">
        <v>0</v>
      </c>
      <c r="N350" s="0" t="n">
        <f aca="false">L350</f>
        <v>0</v>
      </c>
      <c r="O350" s="3" t="n">
        <v>0</v>
      </c>
      <c r="P350" s="3" t="n">
        <f aca="false">(O350*(N350/100)*(J350/1000))*1000</f>
        <v>0</v>
      </c>
      <c r="Q350" s="3"/>
      <c r="R350" s="3" t="n">
        <v>5</v>
      </c>
      <c r="S350" s="1"/>
      <c r="T350" s="1"/>
      <c r="U350" s="1"/>
      <c r="V350" s="1"/>
      <c r="W350" s="1"/>
      <c r="X350" s="1"/>
      <c r="Y350" s="5"/>
      <c r="Z350" s="1"/>
    </row>
    <row r="351" customFormat="false" ht="15" hidden="false" customHeight="false" outlineLevel="0" collapsed="false">
      <c r="A351" s="0" t="s">
        <v>57</v>
      </c>
      <c r="B351" s="0" t="s">
        <v>58</v>
      </c>
      <c r="C351" s="0" t="s">
        <v>56</v>
      </c>
      <c r="D351" s="0" t="s">
        <v>134</v>
      </c>
      <c r="E351" s="0" t="n">
        <v>8</v>
      </c>
      <c r="F351" s="0" t="n">
        <v>1</v>
      </c>
      <c r="G351" s="0" t="n">
        <v>1</v>
      </c>
      <c r="H351" s="0" t="n">
        <v>44</v>
      </c>
      <c r="I351" s="0" t="n">
        <f aca="false">105.7+16.9+22.5</f>
        <v>145.1</v>
      </c>
      <c r="J351" s="0" t="n">
        <f aca="false">(I351/55)*5</f>
        <v>13.1909090909091</v>
      </c>
      <c r="L351" s="0" t="n">
        <v>22.5</v>
      </c>
      <c r="M351" s="0" t="n">
        <v>0</v>
      </c>
      <c r="N351" s="0" t="n">
        <f aca="false">L351</f>
        <v>22.5</v>
      </c>
      <c r="O351" s="3" t="n">
        <v>1.092175</v>
      </c>
      <c r="P351" s="3" t="n">
        <f aca="false">(O351*(N351/100)*(J351/1000))*1000</f>
        <v>3.24152575568182</v>
      </c>
      <c r="Q351" s="3"/>
      <c r="R351" s="3" t="n">
        <v>4</v>
      </c>
      <c r="S351" s="1"/>
      <c r="T351" s="1"/>
      <c r="U351" s="1"/>
      <c r="V351" s="1"/>
      <c r="W351" s="1"/>
      <c r="X351" s="1"/>
      <c r="Y351" s="5"/>
      <c r="Z351" s="1"/>
    </row>
    <row r="352" customFormat="false" ht="15" hidden="false" customHeight="false" outlineLevel="0" collapsed="false">
      <c r="A352" s="0" t="s">
        <v>59</v>
      </c>
      <c r="B352" s="0" t="s">
        <v>60</v>
      </c>
      <c r="C352" s="0" t="s">
        <v>56</v>
      </c>
      <c r="D352" s="0" t="s">
        <v>134</v>
      </c>
      <c r="E352" s="0" t="n">
        <v>8</v>
      </c>
      <c r="F352" s="0" t="n">
        <v>3</v>
      </c>
      <c r="G352" s="0" t="n">
        <v>8</v>
      </c>
      <c r="H352" s="0" t="n">
        <v>58</v>
      </c>
      <c r="I352" s="0" t="n">
        <v>87.3</v>
      </c>
      <c r="J352" s="0" t="n">
        <f aca="false">(I352/55)*5</f>
        <v>7.93636363636364</v>
      </c>
      <c r="L352" s="0" t="n">
        <v>20</v>
      </c>
      <c r="M352" s="0" t="n">
        <v>0</v>
      </c>
      <c r="N352" s="0" t="n">
        <f aca="false">L352</f>
        <v>20</v>
      </c>
      <c r="O352" s="3" t="n">
        <v>1.081</v>
      </c>
      <c r="P352" s="3" t="n">
        <f aca="false">(O352*(N352/100)*(J352/1000))*1000</f>
        <v>1.71584181818182</v>
      </c>
      <c r="Q352" s="3"/>
      <c r="R352" s="3" t="n">
        <v>12</v>
      </c>
      <c r="S352" s="1"/>
      <c r="T352" s="1"/>
      <c r="U352" s="1"/>
      <c r="V352" s="1"/>
      <c r="W352" s="1"/>
      <c r="X352" s="1"/>
      <c r="Y352" s="5"/>
      <c r="Z352" s="1"/>
    </row>
    <row r="353" customFormat="false" ht="15" hidden="false" customHeight="false" outlineLevel="0" collapsed="false">
      <c r="A353" s="0" t="s">
        <v>61</v>
      </c>
      <c r="B353" s="0" t="s">
        <v>62</v>
      </c>
      <c r="C353" s="0" t="s">
        <v>56</v>
      </c>
      <c r="D353" s="0" t="s">
        <v>134</v>
      </c>
      <c r="E353" s="0" t="n">
        <v>8</v>
      </c>
      <c r="F353" s="0" t="n">
        <v>2</v>
      </c>
      <c r="G353" s="0" t="n">
        <v>9</v>
      </c>
      <c r="H353" s="0" t="n">
        <v>93</v>
      </c>
      <c r="I353" s="0" t="n">
        <f aca="false">60.4+82.1</f>
        <v>142.5</v>
      </c>
      <c r="J353" s="0" t="n">
        <f aca="false">(I353/55)*5</f>
        <v>12.9545454545455</v>
      </c>
      <c r="L353" s="0" t="n">
        <v>17</v>
      </c>
      <c r="M353" s="0" t="n">
        <v>0</v>
      </c>
      <c r="N353" s="0" t="n">
        <f aca="false">L353</f>
        <v>17</v>
      </c>
      <c r="O353" s="3" t="n">
        <v>1.0678</v>
      </c>
      <c r="P353" s="3" t="n">
        <f aca="false">(O353*(N353/100)*(J353/1000))*1000</f>
        <v>2.35158681818182</v>
      </c>
      <c r="Q353" s="3"/>
      <c r="R353" s="3" t="n">
        <v>17</v>
      </c>
      <c r="S353" s="1"/>
      <c r="T353" s="1"/>
      <c r="U353" s="1"/>
      <c r="V353" s="1"/>
      <c r="W353" s="1"/>
      <c r="X353" s="1"/>
      <c r="Y353" s="5"/>
      <c r="Z353" s="1"/>
    </row>
    <row r="354" customFormat="false" ht="15" hidden="false" customHeight="false" outlineLevel="0" collapsed="false">
      <c r="A354" s="0" t="s">
        <v>63</v>
      </c>
      <c r="B354" s="0" t="s">
        <v>64</v>
      </c>
      <c r="C354" s="0" t="s">
        <v>56</v>
      </c>
      <c r="D354" s="0" t="s">
        <v>134</v>
      </c>
      <c r="E354" s="0" t="n">
        <v>8</v>
      </c>
      <c r="F354" s="0" t="n">
        <v>0</v>
      </c>
      <c r="G354" s="0" t="n">
        <v>3</v>
      </c>
      <c r="H354" s="0" t="n">
        <v>26</v>
      </c>
      <c r="I354" s="0" t="n">
        <v>0</v>
      </c>
      <c r="J354" s="0" t="n">
        <f aca="false">(I354/55)*5</f>
        <v>0</v>
      </c>
      <c r="L354" s="0" t="n">
        <v>0</v>
      </c>
      <c r="M354" s="0" t="n">
        <v>0</v>
      </c>
      <c r="N354" s="0" t="n">
        <f aca="false">L354</f>
        <v>0</v>
      </c>
      <c r="O354" s="3" t="n">
        <v>0</v>
      </c>
      <c r="P354" s="3" t="n">
        <f aca="false">(O354*(N354/100)*(J354/1000))*1000</f>
        <v>0</v>
      </c>
      <c r="Q354" s="3"/>
      <c r="R354" s="3" t="n">
        <v>7</v>
      </c>
      <c r="S354" s="1"/>
      <c r="T354" s="1"/>
      <c r="U354" s="1"/>
      <c r="V354" s="1"/>
      <c r="W354" s="1"/>
      <c r="X354" s="1"/>
      <c r="Y354" s="5"/>
      <c r="Z354" s="1"/>
    </row>
    <row r="355" customFormat="false" ht="15" hidden="false" customHeight="false" outlineLevel="0" collapsed="false">
      <c r="A355" s="0" t="s">
        <v>65</v>
      </c>
      <c r="B355" s="0" t="s">
        <v>66</v>
      </c>
      <c r="C355" s="0" t="s">
        <v>56</v>
      </c>
      <c r="D355" s="0" t="s">
        <v>134</v>
      </c>
      <c r="E355" s="0" t="n">
        <v>8</v>
      </c>
      <c r="F355" s="0" t="n">
        <v>0</v>
      </c>
      <c r="G355" s="0" t="n">
        <v>6</v>
      </c>
      <c r="H355" s="0" t="n">
        <v>108</v>
      </c>
      <c r="I355" s="0" t="n">
        <v>0</v>
      </c>
      <c r="J355" s="0" t="n">
        <f aca="false">(I355/55)*5</f>
        <v>0</v>
      </c>
      <c r="L355" s="0" t="n">
        <v>0</v>
      </c>
      <c r="M355" s="0" t="n">
        <v>0</v>
      </c>
      <c r="N355" s="0" t="n">
        <f aca="false">L355</f>
        <v>0</v>
      </c>
      <c r="O355" s="3" t="n">
        <v>0</v>
      </c>
      <c r="P355" s="3" t="n">
        <f aca="false">(O355*(N355/100)*(J355/1000))*1000</f>
        <v>0</v>
      </c>
      <c r="Q355" s="3"/>
      <c r="R355" s="3" t="n">
        <v>23</v>
      </c>
      <c r="S355" s="1"/>
      <c r="T355" s="1"/>
      <c r="U355" s="1"/>
      <c r="V355" s="1"/>
      <c r="W355" s="1"/>
      <c r="X355" s="1"/>
      <c r="Y355" s="5"/>
      <c r="Z355" s="1"/>
    </row>
    <row r="356" customFormat="false" ht="15" hidden="false" customHeight="false" outlineLevel="0" collapsed="false">
      <c r="A356" s="0" t="s">
        <v>67</v>
      </c>
      <c r="B356" s="0" t="s">
        <v>68</v>
      </c>
      <c r="C356" s="0" t="s">
        <v>56</v>
      </c>
      <c r="D356" s="0" t="s">
        <v>134</v>
      </c>
      <c r="E356" s="0" t="n">
        <v>8</v>
      </c>
      <c r="F356" s="0" t="n">
        <v>2</v>
      </c>
      <c r="G356" s="0" t="n">
        <v>6</v>
      </c>
      <c r="H356" s="0" t="n">
        <v>76</v>
      </c>
      <c r="I356" s="0" t="n">
        <f aca="false">53.7+95.6+88.2</f>
        <v>237.5</v>
      </c>
      <c r="J356" s="0" t="n">
        <f aca="false">(I356/55)*5</f>
        <v>21.5909090909091</v>
      </c>
      <c r="L356" s="0" t="n">
        <v>17</v>
      </c>
      <c r="M356" s="0" t="n">
        <v>0</v>
      </c>
      <c r="N356" s="0" t="n">
        <f aca="false">L356</f>
        <v>17</v>
      </c>
      <c r="O356" s="3" t="n">
        <v>1.0678</v>
      </c>
      <c r="P356" s="3" t="n">
        <f aca="false">(O356*(N356/100)*(J356/1000))*1000</f>
        <v>3.91931136363636</v>
      </c>
      <c r="Q356" s="3"/>
      <c r="R356" s="3" t="n">
        <v>6</v>
      </c>
      <c r="S356" s="1"/>
      <c r="T356" s="1"/>
      <c r="U356" s="1"/>
      <c r="V356" s="1"/>
      <c r="W356" s="1"/>
      <c r="X356" s="1"/>
      <c r="Y356" s="5"/>
      <c r="Z356" s="1"/>
    </row>
    <row r="357" customFormat="false" ht="15" hidden="false" customHeight="false" outlineLevel="0" collapsed="false">
      <c r="A357" s="0" t="s">
        <v>69</v>
      </c>
      <c r="B357" s="0" t="s">
        <v>70</v>
      </c>
      <c r="C357" s="0" t="s">
        <v>56</v>
      </c>
      <c r="D357" s="0" t="s">
        <v>134</v>
      </c>
      <c r="E357" s="0" t="n">
        <v>8</v>
      </c>
      <c r="F357" s="0" t="n">
        <v>2</v>
      </c>
      <c r="G357" s="0" t="n">
        <v>7</v>
      </c>
      <c r="H357" s="0" t="n">
        <v>67</v>
      </c>
      <c r="I357" s="0" t="n">
        <f aca="false">18.2+32.3+90.7</f>
        <v>141.2</v>
      </c>
      <c r="J357" s="0" t="n">
        <f aca="false">(I357/55)*5</f>
        <v>12.8363636363636</v>
      </c>
      <c r="L357" s="0" t="n">
        <v>20</v>
      </c>
      <c r="M357" s="0" t="n">
        <v>0</v>
      </c>
      <c r="N357" s="0" t="n">
        <f aca="false">L357</f>
        <v>20</v>
      </c>
      <c r="O357" s="3" t="n">
        <v>1.081</v>
      </c>
      <c r="P357" s="3" t="n">
        <f aca="false">(O357*(N357/100)*(J357/1000))*1000</f>
        <v>2.77522181818182</v>
      </c>
      <c r="Q357" s="3"/>
      <c r="R357" s="3" t="n">
        <v>7</v>
      </c>
      <c r="S357" s="1"/>
      <c r="T357" s="1"/>
      <c r="U357" s="1"/>
      <c r="V357" s="1"/>
      <c r="W357" s="1"/>
      <c r="X357" s="1"/>
      <c r="Y357" s="5"/>
      <c r="Z357" s="1"/>
    </row>
    <row r="358" customFormat="false" ht="15" hidden="false" customHeight="false" outlineLevel="0" collapsed="false">
      <c r="A358" s="0" t="s">
        <v>71</v>
      </c>
      <c r="B358" s="0" t="s">
        <v>72</v>
      </c>
      <c r="C358" s="0" t="s">
        <v>56</v>
      </c>
      <c r="D358" s="0" t="s">
        <v>134</v>
      </c>
      <c r="E358" s="0" t="n">
        <v>8</v>
      </c>
      <c r="F358" s="0" t="n">
        <v>1</v>
      </c>
      <c r="G358" s="0" t="n">
        <v>4</v>
      </c>
      <c r="H358" s="0" t="n">
        <v>51</v>
      </c>
      <c r="I358" s="0" t="n">
        <v>95.4</v>
      </c>
      <c r="J358" s="0" t="n">
        <f aca="false">(I358/55)*5</f>
        <v>8.67272727272727</v>
      </c>
      <c r="L358" s="0" t="n">
        <v>20</v>
      </c>
      <c r="M358" s="0" t="n">
        <v>0</v>
      </c>
      <c r="N358" s="0" t="n">
        <f aca="false">L358</f>
        <v>20</v>
      </c>
      <c r="O358" s="3" t="n">
        <v>1.081</v>
      </c>
      <c r="P358" s="3" t="n">
        <f aca="false">(O358*(N358/100)*(J358/1000))*1000</f>
        <v>1.87504363636364</v>
      </c>
      <c r="Q358" s="3"/>
      <c r="R358" s="3" t="n">
        <v>14</v>
      </c>
      <c r="S358" s="1"/>
      <c r="T358" s="1"/>
      <c r="U358" s="1"/>
      <c r="V358" s="1"/>
      <c r="W358" s="1"/>
      <c r="X358" s="1"/>
      <c r="Y358" s="5"/>
      <c r="Z358" s="1"/>
    </row>
    <row r="359" customFormat="false" ht="15" hidden="false" customHeight="false" outlineLevel="0" collapsed="false">
      <c r="A359" s="0" t="s">
        <v>73</v>
      </c>
      <c r="B359" s="0" t="s">
        <v>74</v>
      </c>
      <c r="C359" s="0" t="s">
        <v>56</v>
      </c>
      <c r="D359" s="0" t="s">
        <v>134</v>
      </c>
      <c r="E359" s="0" t="n">
        <v>8</v>
      </c>
      <c r="F359" s="0" t="n">
        <v>0</v>
      </c>
      <c r="G359" s="0" t="n">
        <v>8</v>
      </c>
      <c r="H359" s="0" t="n">
        <v>60</v>
      </c>
      <c r="I359" s="0" t="n">
        <v>0</v>
      </c>
      <c r="J359" s="0" t="n">
        <f aca="false">(I359/55)*5</f>
        <v>0</v>
      </c>
      <c r="L359" s="0" t="n">
        <v>0</v>
      </c>
      <c r="M359" s="0" t="n">
        <v>0</v>
      </c>
      <c r="N359" s="0" t="n">
        <f aca="false">L359</f>
        <v>0</v>
      </c>
      <c r="O359" s="3" t="n">
        <v>0</v>
      </c>
      <c r="P359" s="3" t="n">
        <f aca="false">(O359*(N359/100)*(J359/1000))*1000</f>
        <v>0</v>
      </c>
      <c r="Q359" s="3"/>
      <c r="R359" s="3" t="n">
        <v>12</v>
      </c>
      <c r="S359" s="1"/>
      <c r="T359" s="1"/>
      <c r="U359" s="1"/>
      <c r="V359" s="1"/>
      <c r="W359" s="1"/>
      <c r="X359" s="1"/>
      <c r="Y359" s="5"/>
      <c r="Z359" s="1"/>
    </row>
    <row r="360" customFormat="false" ht="15" hidden="false" customHeight="false" outlineLevel="0" collapsed="false">
      <c r="A360" s="0" t="s">
        <v>75</v>
      </c>
      <c r="B360" s="0" t="s">
        <v>76</v>
      </c>
      <c r="C360" s="0" t="s">
        <v>56</v>
      </c>
      <c r="D360" s="0" t="s">
        <v>134</v>
      </c>
      <c r="E360" s="0" t="n">
        <v>8</v>
      </c>
      <c r="F360" s="0" t="n">
        <v>1</v>
      </c>
      <c r="G360" s="0" t="n">
        <v>6</v>
      </c>
      <c r="H360" s="0" t="n">
        <v>61</v>
      </c>
      <c r="I360" s="0" t="n">
        <f aca="false">109.8+7.3</f>
        <v>117.1</v>
      </c>
      <c r="J360" s="0" t="n">
        <f aca="false">(I360/55)*5</f>
        <v>10.6454545454545</v>
      </c>
      <c r="L360" s="0" t="n">
        <v>25</v>
      </c>
      <c r="M360" s="0" t="n">
        <v>0</v>
      </c>
      <c r="N360" s="0" t="n">
        <f aca="false">L360</f>
        <v>25</v>
      </c>
      <c r="O360" s="3" t="n">
        <v>1.10355</v>
      </c>
      <c r="P360" s="3" t="n">
        <f aca="false">(O360*(N360/100)*(J360/1000))*1000</f>
        <v>2.93694784090909</v>
      </c>
      <c r="Q360" s="3"/>
      <c r="R360" s="3" t="n">
        <v>22</v>
      </c>
      <c r="S360" s="1"/>
      <c r="T360" s="1"/>
      <c r="U360" s="1"/>
      <c r="V360" s="1"/>
      <c r="W360" s="1"/>
      <c r="X360" s="1"/>
      <c r="Y360" s="5"/>
      <c r="Z360" s="1"/>
    </row>
    <row r="361" customFormat="false" ht="15" hidden="false" customHeight="false" outlineLevel="0" collapsed="false">
      <c r="A361" s="0" t="s">
        <v>77</v>
      </c>
      <c r="B361" s="0" t="s">
        <v>78</v>
      </c>
      <c r="C361" s="0" t="s">
        <v>56</v>
      </c>
      <c r="D361" s="0" t="s">
        <v>134</v>
      </c>
      <c r="E361" s="0" t="n">
        <v>8</v>
      </c>
      <c r="F361" s="0" t="n">
        <v>0</v>
      </c>
      <c r="G361" s="0" t="n">
        <v>4</v>
      </c>
      <c r="H361" s="0" t="n">
        <v>79</v>
      </c>
      <c r="I361" s="0" t="n">
        <v>0</v>
      </c>
      <c r="J361" s="0" t="n">
        <f aca="false">(I361/55)*5</f>
        <v>0</v>
      </c>
      <c r="L361" s="0" t="n">
        <v>0</v>
      </c>
      <c r="M361" s="0" t="n">
        <v>0</v>
      </c>
      <c r="N361" s="0" t="n">
        <f aca="false">L361</f>
        <v>0</v>
      </c>
      <c r="O361" s="3" t="n">
        <v>0</v>
      </c>
      <c r="P361" s="3" t="n">
        <f aca="false">(O361*(N361/100)*(J361/1000))*1000</f>
        <v>0</v>
      </c>
      <c r="Q361" s="3"/>
      <c r="R361" s="3" t="n">
        <v>23</v>
      </c>
      <c r="S361" s="1"/>
      <c r="T361" s="1"/>
      <c r="U361" s="1"/>
      <c r="V361" s="1"/>
      <c r="W361" s="1"/>
      <c r="X361" s="1"/>
      <c r="Y361" s="5"/>
      <c r="Z361" s="1"/>
    </row>
    <row r="362" customFormat="false" ht="15" hidden="false" customHeight="false" outlineLevel="0" collapsed="false">
      <c r="A362" s="0" t="s">
        <v>79</v>
      </c>
      <c r="B362" s="0" t="s">
        <v>80</v>
      </c>
      <c r="C362" s="0" t="s">
        <v>81</v>
      </c>
      <c r="D362" s="0" t="s">
        <v>134</v>
      </c>
      <c r="E362" s="0" t="n">
        <v>8</v>
      </c>
      <c r="F362" s="0" t="n">
        <v>0</v>
      </c>
      <c r="G362" s="0" t="n">
        <v>4</v>
      </c>
      <c r="H362" s="0" t="n">
        <v>55</v>
      </c>
      <c r="I362" s="0" t="n">
        <v>0</v>
      </c>
      <c r="J362" s="0" t="n">
        <f aca="false">(I362/55)*5</f>
        <v>0</v>
      </c>
      <c r="L362" s="0" t="n">
        <v>0</v>
      </c>
      <c r="M362" s="0" t="n">
        <v>0</v>
      </c>
      <c r="N362" s="0" t="n">
        <f aca="false">L362</f>
        <v>0</v>
      </c>
      <c r="O362" s="3" t="n">
        <v>0</v>
      </c>
      <c r="P362" s="3" t="n">
        <f aca="false">(O362*(N362/100)*(J362/1000))*1000</f>
        <v>0</v>
      </c>
      <c r="Q362" s="3"/>
      <c r="R362" s="3" t="n">
        <v>3</v>
      </c>
      <c r="S362" s="0" t="n">
        <v>13.6</v>
      </c>
      <c r="T362" s="0" t="n">
        <f aca="false">(S362/55)*5</f>
        <v>1.23636363636364</v>
      </c>
      <c r="V362" s="0" t="n">
        <v>16</v>
      </c>
      <c r="W362" s="0" t="n">
        <v>4</v>
      </c>
      <c r="X362" s="3" t="n">
        <v>1.0635</v>
      </c>
      <c r="Y362" s="2" t="n">
        <f aca="false">(V362*((W362+T362)/1000)*X362)/((((W362+T362)/1000)*X362)-((W362/1000)*0.9982))</f>
        <v>56.5341700890591</v>
      </c>
      <c r="Z362" s="3" t="n">
        <f aca="false">X362*(V362/100)*((W362+T362)/1000)*1000</f>
        <v>0.891019636363636</v>
      </c>
    </row>
    <row r="363" customFormat="false" ht="15" hidden="false" customHeight="false" outlineLevel="0" collapsed="false">
      <c r="A363" s="0" t="s">
        <v>82</v>
      </c>
      <c r="B363" s="0" t="s">
        <v>83</v>
      </c>
      <c r="C363" s="0" t="s">
        <v>81</v>
      </c>
      <c r="D363" s="0" t="s">
        <v>134</v>
      </c>
      <c r="E363" s="0" t="n">
        <v>8</v>
      </c>
      <c r="F363" s="0" t="n">
        <v>0</v>
      </c>
      <c r="G363" s="0" t="n">
        <v>3</v>
      </c>
      <c r="H363" s="0" t="n">
        <v>24</v>
      </c>
      <c r="I363" s="0" t="n">
        <v>0</v>
      </c>
      <c r="J363" s="0" t="n">
        <f aca="false">(I363/55)*5</f>
        <v>0</v>
      </c>
      <c r="L363" s="0" t="n">
        <v>0</v>
      </c>
      <c r="M363" s="0" t="n">
        <v>0</v>
      </c>
      <c r="N363" s="0" t="n">
        <f aca="false">L363</f>
        <v>0</v>
      </c>
      <c r="O363" s="3" t="n">
        <v>0</v>
      </c>
      <c r="P363" s="3" t="n">
        <f aca="false">(O363*(N363/100)*(J363/1000))*1000</f>
        <v>0</v>
      </c>
      <c r="Q363" s="3"/>
      <c r="R363" s="3" t="n">
        <v>2</v>
      </c>
      <c r="S363" s="0" t="n">
        <v>8.4</v>
      </c>
      <c r="T363" s="0" t="n">
        <f aca="false">(S363/55)*5</f>
        <v>0.763636363636364</v>
      </c>
      <c r="V363" s="0" t="n">
        <v>12</v>
      </c>
      <c r="W363" s="0" t="n">
        <v>4</v>
      </c>
      <c r="X363" s="3" t="n">
        <v>1.0465</v>
      </c>
      <c r="Y363" s="2" t="n">
        <f aca="false">(V363*((W363+T363)/1000)*X363)/((((W363+T363)/1000)*X363)-((W363/1000)*0.9982))</f>
        <v>60.283185840708</v>
      </c>
      <c r="Z363" s="3" t="n">
        <f aca="false">X363*(V363/100)*((W363+T363)/1000)*1000</f>
        <v>0.598217454545455</v>
      </c>
    </row>
    <row r="364" customFormat="false" ht="15" hidden="false" customHeight="false" outlineLevel="0" collapsed="false">
      <c r="A364" s="0" t="s">
        <v>84</v>
      </c>
      <c r="B364" s="0" t="s">
        <v>85</v>
      </c>
      <c r="C364" s="0" t="s">
        <v>81</v>
      </c>
      <c r="D364" s="0" t="s">
        <v>134</v>
      </c>
      <c r="E364" s="0" t="n">
        <v>8</v>
      </c>
      <c r="F364" s="0" t="n">
        <v>1</v>
      </c>
      <c r="G364" s="0" t="n">
        <v>4</v>
      </c>
      <c r="H364" s="0" t="n">
        <v>51</v>
      </c>
      <c r="I364" s="0" t="n">
        <v>89.2</v>
      </c>
      <c r="J364" s="0" t="n">
        <f aca="false">(I364/55)*5</f>
        <v>8.10909090909091</v>
      </c>
      <c r="L364" s="0" t="n">
        <v>23.5</v>
      </c>
      <c r="M364" s="0" t="n">
        <v>0</v>
      </c>
      <c r="N364" s="0" t="n">
        <f aca="false">L364</f>
        <v>23.5</v>
      </c>
      <c r="O364" s="3" t="n">
        <v>1.096725</v>
      </c>
      <c r="P364" s="3" t="n">
        <f aca="false">(O364*(N364/100)*(J364/1000))*1000</f>
        <v>2.08995904090909</v>
      </c>
      <c r="Q364" s="3"/>
      <c r="R364" s="3" t="n">
        <v>3</v>
      </c>
      <c r="S364" s="0" t="n">
        <v>5.9</v>
      </c>
      <c r="T364" s="0" t="n">
        <f aca="false">(S364/55)*5</f>
        <v>0.536363636363636</v>
      </c>
      <c r="V364" s="0" t="n">
        <v>6.5</v>
      </c>
      <c r="W364" s="0" t="n">
        <v>4</v>
      </c>
      <c r="X364" s="3" t="n">
        <v>1.02385</v>
      </c>
      <c r="Y364" s="2" t="n">
        <f aca="false">(V364*((W364+T364)/1000)*X364)/((((W364+T364)/1000)*X364)-((W364/1000)*0.9982))</f>
        <v>46.3204291483915</v>
      </c>
      <c r="Z364" s="3" t="n">
        <f aca="false">X364*(V364/100)*((W364+T364)/1000)*1000</f>
        <v>0.301896134090909</v>
      </c>
    </row>
    <row r="365" customFormat="false" ht="15" hidden="false" customHeight="false" outlineLevel="0" collapsed="false">
      <c r="A365" s="0" t="s">
        <v>86</v>
      </c>
      <c r="B365" s="0" t="s">
        <v>87</v>
      </c>
      <c r="C365" s="0" t="s">
        <v>81</v>
      </c>
      <c r="D365" s="0" t="s">
        <v>134</v>
      </c>
      <c r="E365" s="0" t="n">
        <v>8</v>
      </c>
      <c r="F365" s="0" t="n">
        <v>1</v>
      </c>
      <c r="G365" s="0" t="n">
        <v>3</v>
      </c>
      <c r="H365" s="0" t="n">
        <v>74</v>
      </c>
      <c r="I365" s="0" t="n">
        <f aca="false">108.4+5.5</f>
        <v>113.9</v>
      </c>
      <c r="J365" s="0" t="n">
        <f aca="false">(I365/55)*5</f>
        <v>10.3545454545455</v>
      </c>
      <c r="L365" s="0" t="n">
        <v>23.5</v>
      </c>
      <c r="M365" s="0" t="n">
        <v>0</v>
      </c>
      <c r="N365" s="0" t="n">
        <f aca="false">L365</f>
        <v>23.5</v>
      </c>
      <c r="O365" s="3" t="n">
        <v>1.096725</v>
      </c>
      <c r="P365" s="3" t="n">
        <f aca="false">(O365*(N365/100)*(J365/1000))*1000</f>
        <v>2.66868088295455</v>
      </c>
      <c r="Q365" s="3"/>
      <c r="R365" s="3" t="n">
        <v>5</v>
      </c>
      <c r="S365" s="0" t="n">
        <v>29.2</v>
      </c>
      <c r="T365" s="0" t="n">
        <f aca="false">(S365/55)*5</f>
        <v>2.65454545454545</v>
      </c>
      <c r="V365" s="0" t="n">
        <v>30.5</v>
      </c>
      <c r="W365" s="0" t="n">
        <v>4</v>
      </c>
      <c r="X365" s="3" t="n">
        <v>1.1294</v>
      </c>
      <c r="Y365" s="2" t="n">
        <f aca="false">(V365*((W365+T365)/1000)*X365)/((((W365+T365)/1000)*X365)-((W365/1000)*0.9982))</f>
        <v>65.0687781152003</v>
      </c>
      <c r="Z365" s="3" t="n">
        <f aca="false">X365*(V365/100)*((W365+T365)/1000)*1000</f>
        <v>2.29227130909091</v>
      </c>
    </row>
    <row r="366" customFormat="false" ht="15" hidden="false" customHeight="false" outlineLevel="0" collapsed="false">
      <c r="A366" s="0" t="s">
        <v>88</v>
      </c>
      <c r="B366" s="0" t="s">
        <v>89</v>
      </c>
      <c r="C366" s="0" t="s">
        <v>81</v>
      </c>
      <c r="D366" s="0" t="s">
        <v>134</v>
      </c>
      <c r="E366" s="0" t="n">
        <v>8</v>
      </c>
      <c r="F366" s="0" t="n">
        <v>1</v>
      </c>
      <c r="G366" s="0" t="n">
        <v>6</v>
      </c>
      <c r="H366" s="0" t="n">
        <v>61</v>
      </c>
      <c r="I366" s="0" t="n">
        <f aca="false">109.1+108.7</f>
        <v>217.8</v>
      </c>
      <c r="J366" s="0" t="n">
        <f aca="false">(I366/55)*5</f>
        <v>19.8</v>
      </c>
      <c r="L366" s="0" t="n">
        <v>20</v>
      </c>
      <c r="M366" s="0" t="n">
        <v>0</v>
      </c>
      <c r="N366" s="0" t="n">
        <f aca="false">L366</f>
        <v>20</v>
      </c>
      <c r="O366" s="3" t="n">
        <v>1.081</v>
      </c>
      <c r="P366" s="3" t="n">
        <f aca="false">(O366*(N366/100)*(J366/1000))*1000</f>
        <v>4.28076</v>
      </c>
      <c r="Q366" s="3"/>
      <c r="R366" s="3" t="n">
        <v>6</v>
      </c>
      <c r="S366" s="0" t="n">
        <v>25</v>
      </c>
      <c r="T366" s="0" t="n">
        <f aca="false">(S366/55)*5</f>
        <v>2.27272727272727</v>
      </c>
      <c r="V366" s="0" t="n">
        <v>26</v>
      </c>
      <c r="W366" s="0" t="n">
        <v>4</v>
      </c>
      <c r="X366" s="3" t="n">
        <v>1.1081</v>
      </c>
      <c r="Y366" s="2" t="n">
        <f aca="false">(V366*((W366+T366)/1000)*X366)/((((W366+T366)/1000)*X366)-((W366/1000)*0.9982))</f>
        <v>61.095497278575</v>
      </c>
      <c r="Z366" s="3" t="n">
        <f aca="false">X366*(V366/100)*((W366+T366)/1000)*1000</f>
        <v>1.80721036363636</v>
      </c>
    </row>
    <row r="367" customFormat="false" ht="15" hidden="false" customHeight="false" outlineLevel="0" collapsed="false">
      <c r="A367" s="0" t="s">
        <v>90</v>
      </c>
      <c r="B367" s="0" t="s">
        <v>91</v>
      </c>
      <c r="C367" s="0" t="s">
        <v>81</v>
      </c>
      <c r="D367" s="0" t="s">
        <v>134</v>
      </c>
      <c r="E367" s="0" t="n">
        <v>8</v>
      </c>
      <c r="F367" s="0" t="n">
        <v>0</v>
      </c>
      <c r="G367" s="0" t="n">
        <v>4</v>
      </c>
      <c r="H367" s="0" t="n">
        <v>38</v>
      </c>
      <c r="I367" s="0" t="n">
        <v>0</v>
      </c>
      <c r="J367" s="0" t="n">
        <f aca="false">(I367/55)*5</f>
        <v>0</v>
      </c>
      <c r="L367" s="0" t="n">
        <v>0</v>
      </c>
      <c r="M367" s="0" t="n">
        <v>0</v>
      </c>
      <c r="N367" s="0" t="n">
        <f aca="false">L367</f>
        <v>0</v>
      </c>
      <c r="O367" s="3" t="n">
        <v>0</v>
      </c>
      <c r="P367" s="3" t="n">
        <f aca="false">(O367*(N367/100)*(J367/1000))*1000</f>
        <v>0</v>
      </c>
      <c r="Q367" s="3"/>
      <c r="R367" s="3" t="n">
        <v>3</v>
      </c>
      <c r="S367" s="0" t="n">
        <v>6.4</v>
      </c>
      <c r="T367" s="0" t="n">
        <f aca="false">(S367/55)*5</f>
        <v>0.581818181818182</v>
      </c>
      <c r="V367" s="0" t="n">
        <v>8.5</v>
      </c>
      <c r="W367" s="0" t="n">
        <v>4</v>
      </c>
      <c r="X367" s="3" t="n">
        <v>1.032</v>
      </c>
      <c r="Y367" s="2" t="n">
        <f aca="false">(V367*((W367+T367)/1000)*X367)/((((W367+T367)/1000)*X367)-((W367/1000)*0.9982))</f>
        <v>54.6352941176471</v>
      </c>
      <c r="Z367" s="3" t="n">
        <f aca="false">X367*(V367/100)*((W367+T367)/1000)*1000</f>
        <v>0.401917090909091</v>
      </c>
    </row>
    <row r="368" customFormat="false" ht="15" hidden="false" customHeight="false" outlineLevel="0" collapsed="false">
      <c r="A368" s="0" t="s">
        <v>92</v>
      </c>
      <c r="B368" s="0" t="s">
        <v>93</v>
      </c>
      <c r="C368" s="0" t="s">
        <v>81</v>
      </c>
      <c r="D368" s="0" t="s">
        <v>134</v>
      </c>
      <c r="E368" s="0" t="n">
        <v>8</v>
      </c>
      <c r="F368" s="0" t="n">
        <v>0</v>
      </c>
      <c r="G368" s="0" t="n">
        <v>4</v>
      </c>
      <c r="H368" s="0" t="n">
        <v>75</v>
      </c>
      <c r="I368" s="0" t="n">
        <v>0</v>
      </c>
      <c r="J368" s="0" t="n">
        <f aca="false">(I368/55)*5</f>
        <v>0</v>
      </c>
      <c r="L368" s="0" t="n">
        <v>0</v>
      </c>
      <c r="M368" s="0" t="n">
        <v>0</v>
      </c>
      <c r="N368" s="0" t="n">
        <f aca="false">L368</f>
        <v>0</v>
      </c>
      <c r="O368" s="3" t="n">
        <v>0</v>
      </c>
      <c r="P368" s="3" t="n">
        <f aca="false">(O368*(N368/100)*(J368/1000))*1000</f>
        <v>0</v>
      </c>
      <c r="Q368" s="3"/>
      <c r="R368" s="3" t="n">
        <v>3</v>
      </c>
      <c r="S368" s="0" t="n">
        <v>8.8</v>
      </c>
      <c r="T368" s="0" t="n">
        <f aca="false">(S368/55)*5</f>
        <v>0.8</v>
      </c>
      <c r="V368" s="0" t="n">
        <v>10</v>
      </c>
      <c r="W368" s="0" t="n">
        <v>4</v>
      </c>
      <c r="X368" s="3" t="n">
        <v>1.0381</v>
      </c>
      <c r="Y368" s="2" t="n">
        <f aca="false">(V368*((W368+T368)/1000)*X368)/((((W368+T368)/1000)*X368)-((W368/1000)*0.9982))</f>
        <v>50.3280542986426</v>
      </c>
      <c r="Z368" s="3" t="n">
        <f aca="false">X368*(V368/100)*((W368+T368)/1000)*1000</f>
        <v>0.498288</v>
      </c>
    </row>
    <row r="369" customFormat="false" ht="15" hidden="false" customHeight="false" outlineLevel="0" collapsed="false">
      <c r="A369" s="0" t="s">
        <v>94</v>
      </c>
      <c r="B369" s="0" t="s">
        <v>95</v>
      </c>
      <c r="C369" s="0" t="s">
        <v>81</v>
      </c>
      <c r="D369" s="0" t="s">
        <v>134</v>
      </c>
      <c r="E369" s="0" t="n">
        <v>8</v>
      </c>
      <c r="F369" s="0" t="n">
        <v>2</v>
      </c>
      <c r="G369" s="0" t="n">
        <v>11</v>
      </c>
      <c r="H369" s="0" t="n">
        <v>80</v>
      </c>
      <c r="I369" s="0" t="n">
        <f aca="false">59.1+11.4+108.4</f>
        <v>178.9</v>
      </c>
      <c r="J369" s="0" t="n">
        <f aca="false">(I369/55)*5</f>
        <v>16.2636363636364</v>
      </c>
      <c r="L369" s="0" t="n">
        <v>14.5</v>
      </c>
      <c r="M369" s="0" t="n">
        <v>0</v>
      </c>
      <c r="N369" s="0" t="n">
        <f aca="false">L369</f>
        <v>14.5</v>
      </c>
      <c r="O369" s="3" t="n">
        <v>1.05705</v>
      </c>
      <c r="P369" s="3" t="n">
        <f aca="false">(O369*(N369/100)*(J369/1000))*1000</f>
        <v>2.49276413863636</v>
      </c>
      <c r="Q369" s="3"/>
      <c r="R369" s="3" t="n">
        <v>2</v>
      </c>
      <c r="S369" s="0" t="n">
        <v>6.7</v>
      </c>
      <c r="T369" s="0" t="n">
        <f aca="false">(S369/55)*5</f>
        <v>0.609090909090909</v>
      </c>
      <c r="V369" s="0" t="n">
        <v>6.5</v>
      </c>
      <c r="W369" s="0" t="n">
        <v>4</v>
      </c>
      <c r="X369" s="3" t="n">
        <v>1.02385</v>
      </c>
      <c r="Y369" s="2" t="n">
        <f aca="false">(V369*((W369+T369)/1000)*X369)/((((W369+T369)/1000)*X369)-((W369/1000)*0.9982))</f>
        <v>42.2374916988957</v>
      </c>
      <c r="Z369" s="3" t="n">
        <f aca="false">X369*(V369/100)*((W369+T369)/1000)*1000</f>
        <v>0.306736152272727</v>
      </c>
    </row>
    <row r="370" customFormat="false" ht="15" hidden="false" customHeight="false" outlineLevel="0" collapsed="false">
      <c r="A370" s="0" t="s">
        <v>96</v>
      </c>
      <c r="B370" s="0" t="s">
        <v>97</v>
      </c>
      <c r="C370" s="0" t="s">
        <v>81</v>
      </c>
      <c r="D370" s="0" t="s">
        <v>134</v>
      </c>
      <c r="E370" s="0" t="n">
        <v>8</v>
      </c>
      <c r="F370" s="0" t="n">
        <v>1</v>
      </c>
      <c r="G370" s="0" t="n">
        <v>3</v>
      </c>
      <c r="H370" s="0" t="n">
        <v>37</v>
      </c>
      <c r="I370" s="0" t="n">
        <v>71.2</v>
      </c>
      <c r="J370" s="0" t="n">
        <f aca="false">(I370/55)*5</f>
        <v>6.47272727272727</v>
      </c>
      <c r="L370" s="0" t="n">
        <v>20.5</v>
      </c>
      <c r="M370" s="0" t="n">
        <v>0</v>
      </c>
      <c r="N370" s="0" t="n">
        <f aca="false">L370</f>
        <v>20.5</v>
      </c>
      <c r="O370" s="3" t="n">
        <v>1.083225</v>
      </c>
      <c r="P370" s="3" t="n">
        <f aca="false">(O370*(N370/100)*(J370/1000))*1000</f>
        <v>1.4373411</v>
      </c>
      <c r="Q370" s="3"/>
      <c r="R370" s="3" t="n">
        <v>4</v>
      </c>
      <c r="S370" s="0" t="n">
        <v>13.9</v>
      </c>
      <c r="T370" s="0" t="n">
        <f aca="false">(S370/55)*5</f>
        <v>1.26363636363636</v>
      </c>
      <c r="V370" s="0" t="n">
        <v>14</v>
      </c>
      <c r="W370" s="0" t="n">
        <v>4</v>
      </c>
      <c r="X370" s="3" t="n">
        <v>1.0549</v>
      </c>
      <c r="Y370" s="2" t="n">
        <f aca="false">(V370*((W370+T370)/1000)*X370)/((((W370+T370)/1000)*X370)-((W370/1000)*0.9982))</f>
        <v>49.8371852982094</v>
      </c>
      <c r="Z370" s="3" t="n">
        <f aca="false">X370*(V370/100)*((W370+T370)/1000)*1000</f>
        <v>0.7773654</v>
      </c>
    </row>
    <row r="371" customFormat="false" ht="15" hidden="false" customHeight="false" outlineLevel="0" collapsed="false">
      <c r="A371" s="0" t="s">
        <v>98</v>
      </c>
      <c r="B371" s="0" t="s">
        <v>99</v>
      </c>
      <c r="C371" s="0" t="s">
        <v>81</v>
      </c>
      <c r="D371" s="0" t="s">
        <v>134</v>
      </c>
      <c r="E371" s="0" t="n">
        <v>8</v>
      </c>
      <c r="F371" s="0" t="n">
        <v>1</v>
      </c>
      <c r="G371" s="0" t="n">
        <v>3</v>
      </c>
      <c r="H371" s="0" t="n">
        <v>54</v>
      </c>
      <c r="I371" s="0" t="n">
        <v>105</v>
      </c>
      <c r="J371" s="0" t="n">
        <f aca="false">(I371/55)*5</f>
        <v>9.54545454545455</v>
      </c>
      <c r="L371" s="0" t="n">
        <v>21</v>
      </c>
      <c r="M371" s="0" t="n">
        <v>0</v>
      </c>
      <c r="N371" s="0" t="n">
        <f aca="false">L371</f>
        <v>21</v>
      </c>
      <c r="O371" s="3" t="n">
        <v>1.08545</v>
      </c>
      <c r="P371" s="3" t="n">
        <f aca="false">(O371*(N371/100)*(J371/1000))*1000</f>
        <v>2.17583386363636</v>
      </c>
      <c r="Q371" s="3"/>
      <c r="R371" s="3" t="n">
        <v>3</v>
      </c>
      <c r="S371" s="0" t="n">
        <v>3.8</v>
      </c>
      <c r="T371" s="0" t="n">
        <f aca="false">(S371/55)*5</f>
        <v>0.345454545454545</v>
      </c>
      <c r="V371" s="0" t="n">
        <v>9</v>
      </c>
      <c r="W371" s="0" t="n">
        <v>4</v>
      </c>
      <c r="X371" s="3" t="n">
        <v>1.0341</v>
      </c>
      <c r="Y371" s="2" t="n">
        <f aca="false">(V371*((W371+T371)/1000)*X371)/((((W371+T371)/1000)*X371)-((W371/1000)*0.9982))</f>
        <v>80.75064165629</v>
      </c>
      <c r="Z371" s="3" t="n">
        <f aca="false">X371*(V371/100)*((W371+T371)/1000)*1000</f>
        <v>0.404427109090909</v>
      </c>
    </row>
    <row r="372" customFormat="false" ht="15" hidden="false" customHeight="false" outlineLevel="0" collapsed="false">
      <c r="A372" s="0" t="s">
        <v>100</v>
      </c>
      <c r="B372" s="0" t="s">
        <v>101</v>
      </c>
      <c r="C372" s="0" t="s">
        <v>81</v>
      </c>
      <c r="D372" s="0" t="s">
        <v>134</v>
      </c>
      <c r="E372" s="0" t="n">
        <v>8</v>
      </c>
      <c r="F372" s="0" t="n">
        <v>0</v>
      </c>
      <c r="G372" s="0" t="n">
        <v>2</v>
      </c>
      <c r="H372" s="0" t="n">
        <v>45</v>
      </c>
      <c r="I372" s="0" t="n">
        <v>0</v>
      </c>
      <c r="J372" s="0" t="n">
        <f aca="false">(I372/55)*5</f>
        <v>0</v>
      </c>
      <c r="L372" s="0" t="n">
        <v>0</v>
      </c>
      <c r="M372" s="0" t="n">
        <v>0</v>
      </c>
      <c r="N372" s="0" t="n">
        <f aca="false">L372</f>
        <v>0</v>
      </c>
      <c r="O372" s="3" t="n">
        <v>0</v>
      </c>
      <c r="P372" s="3" t="n">
        <f aca="false">(O372*(N372/100)*(J372/1000))*1000</f>
        <v>0</v>
      </c>
      <c r="Q372" s="3"/>
      <c r="R372" s="3" t="n">
        <v>4</v>
      </c>
      <c r="S372" s="0" t="n">
        <v>8.2</v>
      </c>
      <c r="T372" s="0" t="n">
        <f aca="false">(S372/55)*5</f>
        <v>0.745454545454545</v>
      </c>
      <c r="V372" s="0" t="n">
        <v>10</v>
      </c>
      <c r="W372" s="0" t="n">
        <v>4</v>
      </c>
      <c r="X372" s="3" t="n">
        <v>1.0381</v>
      </c>
      <c r="Y372" s="2" t="n">
        <f aca="false">(V372*((W372+T372)/1000)*X372)/((((W372+T372)/1000)*X372)-((W372/1000)*0.9982))</f>
        <v>52.7743615614306</v>
      </c>
      <c r="Z372" s="3" t="n">
        <f aca="false">X372*(V372/100)*((W372+T372)/1000)*1000</f>
        <v>0.492625636363636</v>
      </c>
    </row>
    <row r="373" customFormat="false" ht="15" hidden="false" customHeight="false" outlineLevel="0" collapsed="false">
      <c r="A373" s="0" t="s">
        <v>102</v>
      </c>
      <c r="B373" s="0" t="s">
        <v>103</v>
      </c>
      <c r="C373" s="0" t="s">
        <v>81</v>
      </c>
      <c r="D373" s="0" t="s">
        <v>134</v>
      </c>
      <c r="E373" s="0" t="n">
        <v>8</v>
      </c>
      <c r="F373" s="0" t="n">
        <v>0</v>
      </c>
      <c r="G373" s="0" t="n">
        <v>4</v>
      </c>
      <c r="H373" s="0" t="n">
        <v>37</v>
      </c>
      <c r="I373" s="0" t="n">
        <v>0</v>
      </c>
      <c r="J373" s="0" t="n">
        <f aca="false">(I373/55)*5</f>
        <v>0</v>
      </c>
      <c r="L373" s="0" t="n">
        <v>0</v>
      </c>
      <c r="M373" s="0" t="n">
        <v>0</v>
      </c>
      <c r="N373" s="0" t="n">
        <f aca="false">L373</f>
        <v>0</v>
      </c>
      <c r="O373" s="3" t="n">
        <v>0</v>
      </c>
      <c r="P373" s="3" t="n">
        <f aca="false">(O373*(N373/100)*(J373/1000))*1000</f>
        <v>0</v>
      </c>
      <c r="Q373" s="3"/>
      <c r="R373" s="3" t="n">
        <v>1</v>
      </c>
      <c r="S373" s="0" t="n">
        <v>0.9</v>
      </c>
      <c r="T373" s="0" t="n">
        <f aca="false">(S373/55)*5</f>
        <v>0.0818181818181818</v>
      </c>
      <c r="V373" s="0" t="n">
        <v>3</v>
      </c>
      <c r="W373" s="0" t="n">
        <v>4</v>
      </c>
      <c r="X373" s="3" t="n">
        <v>1.0099</v>
      </c>
      <c r="Y373" s="2" t="n">
        <f aca="false">(V373*((W373+T373)/1000)*X373)/((((W373+T373)/1000)*X373)-((W373/1000)*0.9982))</f>
        <v>95.5486229639461</v>
      </c>
      <c r="Z373" s="3" t="n">
        <f aca="false">X373*(V373/100)*((W373+T373)/1000)*1000</f>
        <v>0.123666845454545</v>
      </c>
    </row>
    <row r="374" customFormat="false" ht="15" hidden="false" customHeight="false" outlineLevel="0" collapsed="false">
      <c r="A374" s="0" t="s">
        <v>104</v>
      </c>
      <c r="B374" s="0" t="s">
        <v>105</v>
      </c>
      <c r="C374" s="0" t="s">
        <v>106</v>
      </c>
      <c r="D374" s="0" t="s">
        <v>134</v>
      </c>
      <c r="E374" s="0" t="n">
        <v>8</v>
      </c>
      <c r="F374" s="0" t="n">
        <v>2</v>
      </c>
      <c r="G374" s="0" t="n">
        <v>9</v>
      </c>
      <c r="H374" s="0" t="n">
        <v>51</v>
      </c>
      <c r="I374" s="1"/>
      <c r="J374" s="1"/>
      <c r="K374" s="1"/>
      <c r="L374" s="1"/>
      <c r="M374" s="1"/>
      <c r="N374" s="1"/>
      <c r="O374" s="1"/>
      <c r="P374" s="1"/>
      <c r="Q374" s="1"/>
      <c r="R374" s="3" t="n">
        <v>10</v>
      </c>
      <c r="S374" s="1"/>
      <c r="T374" s="1"/>
      <c r="U374" s="1"/>
      <c r="V374" s="1"/>
      <c r="W374" s="1"/>
      <c r="X374" s="1"/>
      <c r="Y374" s="5"/>
      <c r="Z374" s="1"/>
    </row>
    <row r="375" customFormat="false" ht="15" hidden="false" customHeight="false" outlineLevel="0" collapsed="false">
      <c r="A375" s="0" t="s">
        <v>107</v>
      </c>
      <c r="B375" s="0" t="s">
        <v>37</v>
      </c>
      <c r="C375" s="0" t="s">
        <v>106</v>
      </c>
      <c r="D375" s="0" t="s">
        <v>134</v>
      </c>
      <c r="E375" s="0" t="n">
        <v>8</v>
      </c>
      <c r="F375" s="0" t="n">
        <v>0</v>
      </c>
      <c r="G375" s="0" t="n">
        <v>5</v>
      </c>
      <c r="H375" s="0" t="n">
        <v>37</v>
      </c>
      <c r="I375" s="1"/>
      <c r="J375" s="1"/>
      <c r="K375" s="1"/>
      <c r="L375" s="1"/>
      <c r="M375" s="1"/>
      <c r="N375" s="1"/>
      <c r="O375" s="1"/>
      <c r="P375" s="1"/>
      <c r="Q375" s="1"/>
      <c r="R375" s="3" t="n">
        <v>9</v>
      </c>
      <c r="S375" s="1"/>
      <c r="T375" s="1"/>
      <c r="U375" s="1"/>
      <c r="V375" s="1"/>
      <c r="W375" s="1"/>
      <c r="X375" s="1"/>
      <c r="Y375" s="5"/>
      <c r="Z375" s="1"/>
    </row>
    <row r="376" customFormat="false" ht="15" hidden="false" customHeight="false" outlineLevel="0" collapsed="false">
      <c r="A376" s="0" t="s">
        <v>108</v>
      </c>
      <c r="B376" s="0" t="s">
        <v>109</v>
      </c>
      <c r="C376" s="0" t="s">
        <v>106</v>
      </c>
      <c r="D376" s="0" t="s">
        <v>134</v>
      </c>
      <c r="E376" s="0" t="n">
        <v>8</v>
      </c>
      <c r="F376" s="0" t="n">
        <v>0</v>
      </c>
      <c r="G376" s="0" t="n">
        <v>6</v>
      </c>
      <c r="H376" s="0" t="n">
        <v>46</v>
      </c>
      <c r="I376" s="1"/>
      <c r="J376" s="1"/>
      <c r="K376" s="1"/>
      <c r="L376" s="1"/>
      <c r="M376" s="1"/>
      <c r="N376" s="1"/>
      <c r="O376" s="1"/>
      <c r="P376" s="1"/>
      <c r="Q376" s="1"/>
      <c r="R376" s="3" t="n">
        <v>21</v>
      </c>
      <c r="S376" s="1"/>
      <c r="T376" s="1"/>
      <c r="U376" s="1"/>
      <c r="V376" s="1"/>
      <c r="W376" s="1"/>
      <c r="X376" s="1"/>
      <c r="Y376" s="5"/>
      <c r="Z376" s="1"/>
    </row>
    <row r="377" customFormat="false" ht="15" hidden="false" customHeight="false" outlineLevel="0" collapsed="false">
      <c r="A377" s="0" t="s">
        <v>110</v>
      </c>
      <c r="B377" s="0" t="s">
        <v>111</v>
      </c>
      <c r="C377" s="0" t="s">
        <v>106</v>
      </c>
      <c r="D377" s="0" t="s">
        <v>134</v>
      </c>
      <c r="E377" s="0" t="n">
        <v>8</v>
      </c>
      <c r="F377" s="0" t="n">
        <v>2</v>
      </c>
      <c r="G377" s="0" t="n">
        <v>4</v>
      </c>
      <c r="H377" s="0" t="n">
        <v>49</v>
      </c>
      <c r="I377" s="1"/>
      <c r="J377" s="1"/>
      <c r="K377" s="1"/>
      <c r="L377" s="1"/>
      <c r="M377" s="1"/>
      <c r="N377" s="1"/>
      <c r="O377" s="1"/>
      <c r="P377" s="1"/>
      <c r="Q377" s="1"/>
      <c r="R377" s="3" t="n">
        <v>12</v>
      </c>
      <c r="S377" s="1"/>
      <c r="T377" s="1"/>
      <c r="U377" s="1"/>
      <c r="V377" s="1"/>
      <c r="W377" s="1"/>
      <c r="X377" s="1"/>
      <c r="Y377" s="5"/>
      <c r="Z377" s="1"/>
    </row>
    <row r="378" customFormat="false" ht="15" hidden="false" customHeight="false" outlineLevel="0" collapsed="false">
      <c r="A378" s="0" t="s">
        <v>112</v>
      </c>
      <c r="B378" s="0" t="s">
        <v>113</v>
      </c>
      <c r="C378" s="0" t="s">
        <v>106</v>
      </c>
      <c r="D378" s="0" t="s">
        <v>134</v>
      </c>
      <c r="E378" s="0" t="n">
        <v>8</v>
      </c>
      <c r="F378" s="0" t="n">
        <v>1</v>
      </c>
      <c r="G378" s="0" t="n">
        <v>4</v>
      </c>
      <c r="H378" s="0" t="n">
        <v>56</v>
      </c>
      <c r="I378" s="1"/>
      <c r="J378" s="1"/>
      <c r="K378" s="1"/>
      <c r="L378" s="1"/>
      <c r="M378" s="1"/>
      <c r="N378" s="1"/>
      <c r="O378" s="1"/>
      <c r="P378" s="1"/>
      <c r="Q378" s="1"/>
      <c r="R378" s="3" t="n">
        <v>32</v>
      </c>
      <c r="S378" s="1"/>
      <c r="T378" s="1"/>
      <c r="U378" s="1"/>
      <c r="V378" s="1"/>
      <c r="W378" s="1"/>
      <c r="X378" s="1"/>
      <c r="Y378" s="5"/>
      <c r="Z378" s="1"/>
    </row>
    <row r="379" customFormat="false" ht="15" hidden="false" customHeight="false" outlineLevel="0" collapsed="false">
      <c r="A379" s="0" t="s">
        <v>114</v>
      </c>
      <c r="B379" s="0" t="s">
        <v>115</v>
      </c>
      <c r="C379" s="0" t="s">
        <v>106</v>
      </c>
      <c r="D379" s="0" t="s">
        <v>134</v>
      </c>
      <c r="E379" s="0" t="n">
        <v>8</v>
      </c>
      <c r="F379" s="0" t="n">
        <v>0</v>
      </c>
      <c r="G379" s="0" t="n">
        <v>2</v>
      </c>
      <c r="H379" s="0" t="n">
        <v>34</v>
      </c>
      <c r="I379" s="1"/>
      <c r="J379" s="1"/>
      <c r="K379" s="1"/>
      <c r="L379" s="1"/>
      <c r="M379" s="1"/>
      <c r="N379" s="1"/>
      <c r="O379" s="1"/>
      <c r="P379" s="1"/>
      <c r="Q379" s="1"/>
      <c r="R379" s="3" t="n">
        <v>9</v>
      </c>
      <c r="S379" s="1"/>
      <c r="T379" s="1"/>
      <c r="U379" s="1"/>
      <c r="V379" s="1"/>
      <c r="W379" s="1"/>
      <c r="X379" s="1"/>
      <c r="Y379" s="5"/>
      <c r="Z379" s="1"/>
    </row>
    <row r="380" customFormat="false" ht="15" hidden="false" customHeight="false" outlineLevel="0" collapsed="false">
      <c r="A380" s="0" t="s">
        <v>116</v>
      </c>
      <c r="B380" s="0" t="s">
        <v>117</v>
      </c>
      <c r="C380" s="0" t="s">
        <v>106</v>
      </c>
      <c r="D380" s="0" t="s">
        <v>134</v>
      </c>
      <c r="E380" s="0" t="n">
        <v>8</v>
      </c>
      <c r="F380" s="0" t="n">
        <v>1</v>
      </c>
      <c r="G380" s="0" t="n">
        <v>2</v>
      </c>
      <c r="H380" s="0" t="n">
        <v>52</v>
      </c>
      <c r="I380" s="1"/>
      <c r="J380" s="1"/>
      <c r="K380" s="1"/>
      <c r="L380" s="1"/>
      <c r="M380" s="1"/>
      <c r="N380" s="1"/>
      <c r="O380" s="1"/>
      <c r="P380" s="1"/>
      <c r="Q380" s="1"/>
      <c r="R380" s="3" t="n">
        <v>15</v>
      </c>
      <c r="S380" s="1"/>
      <c r="T380" s="1"/>
      <c r="U380" s="1"/>
      <c r="V380" s="1"/>
      <c r="W380" s="1"/>
      <c r="X380" s="1"/>
      <c r="Y380" s="5"/>
      <c r="Z380" s="1"/>
    </row>
    <row r="381" customFormat="false" ht="15" hidden="false" customHeight="false" outlineLevel="0" collapsed="false">
      <c r="A381" s="0" t="s">
        <v>118</v>
      </c>
      <c r="B381" s="0" t="s">
        <v>119</v>
      </c>
      <c r="C381" s="0" t="s">
        <v>106</v>
      </c>
      <c r="D381" s="0" t="s">
        <v>134</v>
      </c>
      <c r="E381" s="0" t="n">
        <v>8</v>
      </c>
      <c r="F381" s="0" t="n">
        <v>2</v>
      </c>
      <c r="G381" s="0" t="n">
        <v>5</v>
      </c>
      <c r="H381" s="0" t="n">
        <v>73</v>
      </c>
      <c r="I381" s="1"/>
      <c r="J381" s="1"/>
      <c r="K381" s="1"/>
      <c r="L381" s="1"/>
      <c r="M381" s="1"/>
      <c r="N381" s="1"/>
      <c r="O381" s="1"/>
      <c r="P381" s="1"/>
      <c r="Q381" s="1"/>
      <c r="R381" s="3" t="n">
        <v>19</v>
      </c>
      <c r="S381" s="1"/>
      <c r="T381" s="1"/>
      <c r="U381" s="1"/>
      <c r="V381" s="1"/>
      <c r="W381" s="1"/>
      <c r="X381" s="1"/>
      <c r="Y381" s="5"/>
      <c r="Z381" s="1"/>
    </row>
    <row r="382" customFormat="false" ht="15" hidden="false" customHeight="false" outlineLevel="0" collapsed="false">
      <c r="A382" s="0" t="s">
        <v>120</v>
      </c>
      <c r="B382" s="0" t="s">
        <v>121</v>
      </c>
      <c r="C382" s="0" t="s">
        <v>106</v>
      </c>
      <c r="D382" s="0" t="s">
        <v>134</v>
      </c>
      <c r="E382" s="0" t="n">
        <v>8</v>
      </c>
      <c r="F382" s="0" t="n">
        <v>0</v>
      </c>
      <c r="G382" s="0" t="n">
        <v>5</v>
      </c>
      <c r="H382" s="0" t="n">
        <v>45</v>
      </c>
      <c r="I382" s="1"/>
      <c r="J382" s="1"/>
      <c r="K382" s="1"/>
      <c r="L382" s="1"/>
      <c r="M382" s="1"/>
      <c r="N382" s="1"/>
      <c r="O382" s="1"/>
      <c r="P382" s="1"/>
      <c r="Q382" s="1"/>
      <c r="R382" s="3" t="n">
        <v>11</v>
      </c>
      <c r="S382" s="1"/>
      <c r="T382" s="1"/>
      <c r="U382" s="1"/>
      <c r="V382" s="1"/>
      <c r="W382" s="1"/>
      <c r="X382" s="1"/>
      <c r="Y382" s="5"/>
      <c r="Z382" s="1"/>
    </row>
    <row r="383" customFormat="false" ht="15" hidden="false" customHeight="false" outlineLevel="0" collapsed="false">
      <c r="A383" s="0" t="s">
        <v>122</v>
      </c>
      <c r="B383" s="0" t="s">
        <v>123</v>
      </c>
      <c r="C383" s="0" t="s">
        <v>106</v>
      </c>
      <c r="D383" s="0" t="s">
        <v>134</v>
      </c>
      <c r="E383" s="0" t="n">
        <v>8</v>
      </c>
      <c r="F383" s="0" t="n">
        <v>0</v>
      </c>
      <c r="G383" s="0" t="n">
        <v>3</v>
      </c>
      <c r="H383" s="0" t="n">
        <v>55</v>
      </c>
      <c r="I383" s="1"/>
      <c r="J383" s="1"/>
      <c r="K383" s="1"/>
      <c r="L383" s="1"/>
      <c r="M383" s="1"/>
      <c r="N383" s="1"/>
      <c r="O383" s="1"/>
      <c r="P383" s="1"/>
      <c r="Q383" s="1"/>
      <c r="R383" s="3" t="n">
        <v>10</v>
      </c>
      <c r="S383" s="1"/>
      <c r="T383" s="1"/>
      <c r="U383" s="1"/>
      <c r="V383" s="1"/>
      <c r="W383" s="1"/>
      <c r="X383" s="1"/>
      <c r="Y383" s="5"/>
      <c r="Z383" s="1"/>
    </row>
    <row r="384" customFormat="false" ht="15" hidden="false" customHeight="false" outlineLevel="0" collapsed="false">
      <c r="A384" s="0" t="s">
        <v>124</v>
      </c>
      <c r="B384" s="0" t="s">
        <v>125</v>
      </c>
      <c r="C384" s="0" t="s">
        <v>106</v>
      </c>
      <c r="D384" s="0" t="s">
        <v>134</v>
      </c>
      <c r="E384" s="0" t="n">
        <v>8</v>
      </c>
      <c r="F384" s="0" t="n">
        <v>2</v>
      </c>
      <c r="G384" s="0" t="n">
        <v>2</v>
      </c>
      <c r="H384" s="0" t="n">
        <v>63</v>
      </c>
      <c r="I384" s="1"/>
      <c r="J384" s="1"/>
      <c r="K384" s="1"/>
      <c r="L384" s="1"/>
      <c r="M384" s="1"/>
      <c r="N384" s="1"/>
      <c r="O384" s="1"/>
      <c r="P384" s="1"/>
      <c r="Q384" s="1"/>
      <c r="R384" s="3" t="n">
        <v>17</v>
      </c>
      <c r="S384" s="1"/>
      <c r="T384" s="1"/>
      <c r="U384" s="1"/>
      <c r="V384" s="1"/>
      <c r="W384" s="1"/>
      <c r="X384" s="1"/>
      <c r="Y384" s="5"/>
      <c r="Z384" s="1"/>
    </row>
    <row r="385" customFormat="false" ht="15" hidden="false" customHeight="false" outlineLevel="0" collapsed="false">
      <c r="A385" s="0" t="s">
        <v>126</v>
      </c>
      <c r="B385" s="0" t="s">
        <v>127</v>
      </c>
      <c r="C385" s="0" t="s">
        <v>106</v>
      </c>
      <c r="D385" s="0" t="s">
        <v>134</v>
      </c>
      <c r="E385" s="0" t="n">
        <v>8</v>
      </c>
      <c r="F385" s="0" t="n">
        <v>2</v>
      </c>
      <c r="G385" s="0" t="n">
        <v>3</v>
      </c>
      <c r="H385" s="0" t="n">
        <v>65</v>
      </c>
      <c r="I385" s="1"/>
      <c r="J385" s="1"/>
      <c r="K385" s="1"/>
      <c r="L385" s="1"/>
      <c r="M385" s="1"/>
      <c r="N385" s="1"/>
      <c r="O385" s="1"/>
      <c r="P385" s="1"/>
      <c r="Q385" s="1"/>
      <c r="R385" s="3" t="n">
        <v>14</v>
      </c>
      <c r="S385" s="1"/>
      <c r="T385" s="1"/>
      <c r="U385" s="1"/>
      <c r="V385" s="1"/>
      <c r="W385" s="1"/>
      <c r="X385" s="1"/>
      <c r="Y385" s="5"/>
      <c r="Z385" s="1"/>
    </row>
    <row r="386" customFormat="false" ht="15" hidden="false" customHeight="false" outlineLevel="0" collapsed="false">
      <c r="A386" s="0" t="s">
        <v>26</v>
      </c>
      <c r="B386" s="0" t="s">
        <v>27</v>
      </c>
      <c r="C386" s="0" t="s">
        <v>28</v>
      </c>
      <c r="D386" s="0" t="s">
        <v>135</v>
      </c>
      <c r="E386" s="0" t="n">
        <v>9</v>
      </c>
      <c r="F386" s="0" t="n">
        <v>1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3" t="n">
        <v>5</v>
      </c>
      <c r="S386" s="0" t="n">
        <v>12</v>
      </c>
      <c r="T386" s="0" t="n">
        <f aca="false">(S386/55)*5</f>
        <v>1.09090909090909</v>
      </c>
      <c r="V386" s="0" t="n">
        <v>20</v>
      </c>
      <c r="W386" s="0" t="n">
        <v>4</v>
      </c>
      <c r="X386" s="3" t="n">
        <v>1.081</v>
      </c>
      <c r="Y386" s="2" t="n">
        <f aca="false">(V386*((W386+T386)/1000)*X386)/((((W386+T386)/1000)*X386)-((W386/1000)*0.9982))</f>
        <v>72.8682170542636</v>
      </c>
      <c r="Z386" s="3" t="n">
        <f aca="false">X386*(V386/100)*((W386+T386)/1000)*1000</f>
        <v>1.10065454545455</v>
      </c>
    </row>
    <row r="387" customFormat="false" ht="15" hidden="false" customHeight="false" outlineLevel="0" collapsed="false">
      <c r="A387" s="0" t="s">
        <v>32</v>
      </c>
      <c r="B387" s="0" t="s">
        <v>33</v>
      </c>
      <c r="C387" s="0" t="s">
        <v>28</v>
      </c>
      <c r="D387" s="0" t="s">
        <v>135</v>
      </c>
      <c r="E387" s="0" t="n">
        <v>9</v>
      </c>
      <c r="F387" s="0" t="n">
        <v>0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3" t="n">
        <v>7</v>
      </c>
      <c r="S387" s="0" t="n">
        <v>40.1</v>
      </c>
      <c r="T387" s="0" t="n">
        <f aca="false">(S387/55)*5</f>
        <v>3.64545454545455</v>
      </c>
      <c r="V387" s="0" t="n">
        <v>39</v>
      </c>
      <c r="W387" s="0" t="n">
        <v>4</v>
      </c>
      <c r="X387" s="3" t="n">
        <v>1.1714</v>
      </c>
      <c r="Y387" s="2" t="n">
        <f aca="false">(V387*((W387+T387)/1000)*X387)/((((W387+T387)/1000)*X387)-((W387/1000)*0.9982))</f>
        <v>70.3754823337535</v>
      </c>
      <c r="Z387" s="3" t="n">
        <f aca="false">X387*(V387/100)*((W387+T387)/1000)*1000</f>
        <v>3.49279532727273</v>
      </c>
    </row>
    <row r="388" customFormat="false" ht="15" hidden="false" customHeight="false" outlineLevel="0" collapsed="false">
      <c r="A388" s="0" t="s">
        <v>34</v>
      </c>
      <c r="B388" s="0" t="s">
        <v>35</v>
      </c>
      <c r="C388" s="0" t="s">
        <v>28</v>
      </c>
      <c r="D388" s="0" t="s">
        <v>135</v>
      </c>
      <c r="E388" s="0" t="n">
        <v>9</v>
      </c>
      <c r="F388" s="0" t="n">
        <v>1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3" t="n">
        <v>6</v>
      </c>
      <c r="S388" s="0" t="n">
        <v>17</v>
      </c>
      <c r="T388" s="0" t="n">
        <f aca="false">(S388/55)*5</f>
        <v>1.54545454545455</v>
      </c>
      <c r="V388" s="0" t="n">
        <v>13</v>
      </c>
      <c r="W388" s="0" t="n">
        <v>4</v>
      </c>
      <c r="X388" s="3" t="n">
        <v>1.0507</v>
      </c>
      <c r="Y388" s="2" t="n">
        <f aca="false">(V388*((W388+T388)/1000)*X388)/((((W388+T388)/1000)*X388)-((W388/1000)*0.9982))</f>
        <v>41.3052364923483</v>
      </c>
      <c r="Z388" s="3" t="n">
        <f aca="false">X388*(V388/100)*((W388+T388)/1000)*1000</f>
        <v>0.757459181818182</v>
      </c>
    </row>
    <row r="389" customFormat="false" ht="15" hidden="false" customHeight="false" outlineLevel="0" collapsed="false">
      <c r="A389" s="0" t="s">
        <v>36</v>
      </c>
      <c r="B389" s="0" t="s">
        <v>37</v>
      </c>
      <c r="C389" s="0" t="s">
        <v>28</v>
      </c>
      <c r="D389" s="0" t="s">
        <v>135</v>
      </c>
      <c r="E389" s="0" t="n">
        <v>9</v>
      </c>
      <c r="F389" s="0" t="n">
        <v>0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3" t="n">
        <v>4</v>
      </c>
      <c r="S389" s="0" t="n">
        <v>6.9</v>
      </c>
      <c r="T389" s="0" t="n">
        <f aca="false">(S389/55)*5</f>
        <v>0.627272727272727</v>
      </c>
      <c r="V389" s="0" t="n">
        <v>8</v>
      </c>
      <c r="W389" s="0" t="n">
        <v>4</v>
      </c>
      <c r="X389" s="3" t="n">
        <v>1.0299</v>
      </c>
      <c r="Y389" s="2" t="n">
        <f aca="false">(V389*((W389+T389)/1000)*X389)/((((W389+T389)/1000)*X389)-((W389/1000)*0.9982))</f>
        <v>49.3318260791826</v>
      </c>
      <c r="Z389" s="3" t="n">
        <f aca="false">X389*(V389/100)*((W389+T389)/1000)*1000</f>
        <v>0.381250254545455</v>
      </c>
    </row>
    <row r="390" customFormat="false" ht="15" hidden="false" customHeight="false" outlineLevel="0" collapsed="false">
      <c r="A390" s="0" t="s">
        <v>38</v>
      </c>
      <c r="B390" s="0" t="s">
        <v>39</v>
      </c>
      <c r="C390" s="0" t="s">
        <v>28</v>
      </c>
      <c r="D390" s="0" t="s">
        <v>135</v>
      </c>
      <c r="E390" s="0" t="n">
        <v>9</v>
      </c>
      <c r="F390" s="0" t="n">
        <v>0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3" t="n">
        <v>8</v>
      </c>
      <c r="S390" s="0" t="n">
        <v>22.1</v>
      </c>
      <c r="T390" s="0" t="n">
        <f aca="false">(S390/55)*5</f>
        <v>2.00909090909091</v>
      </c>
      <c r="V390" s="0" t="n">
        <v>23</v>
      </c>
      <c r="W390" s="0" t="n">
        <v>4</v>
      </c>
      <c r="X390" s="3" t="n">
        <v>1.09445</v>
      </c>
      <c r="Y390" s="2" t="n">
        <f aca="false">(V390*((W390+T390)/1000)*X390)/((((W390+T390)/1000)*X390)-((W390/1000)*0.9982))</f>
        <v>58.5416979140883</v>
      </c>
      <c r="Z390" s="3" t="n">
        <f aca="false">X390*(V390/100)*((W390+T390)/1000)*1000</f>
        <v>1.51262939545455</v>
      </c>
    </row>
    <row r="391" customFormat="false" ht="15" hidden="false" customHeight="false" outlineLevel="0" collapsed="false">
      <c r="A391" s="0" t="s">
        <v>40</v>
      </c>
      <c r="B391" s="0" t="s">
        <v>41</v>
      </c>
      <c r="C391" s="0" t="s">
        <v>28</v>
      </c>
      <c r="D391" s="0" t="s">
        <v>135</v>
      </c>
      <c r="E391" s="0" t="n">
        <v>9</v>
      </c>
      <c r="F391" s="0" t="n">
        <v>0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3" t="n">
        <v>4</v>
      </c>
      <c r="S391" s="0" t="n">
        <v>13</v>
      </c>
      <c r="T391" s="0" t="n">
        <f aca="false">(S391/55)*5</f>
        <v>1.18181818181818</v>
      </c>
      <c r="V391" s="0" t="n">
        <v>16</v>
      </c>
      <c r="W391" s="0" t="n">
        <v>4</v>
      </c>
      <c r="X391" s="3" t="n">
        <v>1.0635</v>
      </c>
      <c r="Y391" s="2" t="n">
        <f aca="false">(V391*((W391+T391)/1000)*X391)/((((W391+T391)/1000)*X391)-((W391/1000)*0.9982))</f>
        <v>58.0830843119525</v>
      </c>
      <c r="Z391" s="3" t="n">
        <f aca="false">X391*(V391/100)*((W391+T391)/1000)*1000</f>
        <v>0.881738181818182</v>
      </c>
    </row>
    <row r="392" customFormat="false" ht="15" hidden="false" customHeight="false" outlineLevel="0" collapsed="false">
      <c r="A392" s="0" t="s">
        <v>42</v>
      </c>
      <c r="B392" s="0" t="s">
        <v>43</v>
      </c>
      <c r="C392" s="0" t="s">
        <v>28</v>
      </c>
      <c r="D392" s="0" t="s">
        <v>135</v>
      </c>
      <c r="E392" s="0" t="n">
        <v>9</v>
      </c>
      <c r="F392" s="0" t="n">
        <v>1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3" t="n">
        <v>5</v>
      </c>
      <c r="S392" s="0" t="n">
        <v>11.6</v>
      </c>
      <c r="T392" s="0" t="n">
        <f aca="false">(S392/55)*5</f>
        <v>1.05454545454545</v>
      </c>
      <c r="V392" s="0" t="n">
        <v>10</v>
      </c>
      <c r="W392" s="0" t="n">
        <v>4</v>
      </c>
      <c r="X392" s="3" t="n">
        <v>1.0381</v>
      </c>
      <c r="Y392" s="2" t="n">
        <f aca="false">(V392*((W392+T392)/1000)*X392)/((((W392+T392)/1000)*X392)-((W392/1000)*0.9982))</f>
        <v>41.8322949854902</v>
      </c>
      <c r="Z392" s="3" t="n">
        <f aca="false">X392*(V392/100)*((W392+T392)/1000)*1000</f>
        <v>0.524712363636364</v>
      </c>
    </row>
    <row r="393" customFormat="false" ht="15" hidden="false" customHeight="false" outlineLevel="0" collapsed="false">
      <c r="A393" s="0" t="s">
        <v>44</v>
      </c>
      <c r="B393" s="0" t="s">
        <v>45</v>
      </c>
      <c r="C393" s="0" t="s">
        <v>28</v>
      </c>
      <c r="D393" s="0" t="s">
        <v>135</v>
      </c>
      <c r="E393" s="0" t="n">
        <v>9</v>
      </c>
      <c r="F393" s="0" t="n">
        <v>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3" t="n">
        <v>3</v>
      </c>
      <c r="S393" s="0" t="n">
        <v>18</v>
      </c>
      <c r="T393" s="0" t="n">
        <f aca="false">(S393/55)*5</f>
        <v>1.63636363636364</v>
      </c>
      <c r="V393" s="0" t="n">
        <v>14</v>
      </c>
      <c r="W393" s="0" t="n">
        <v>4</v>
      </c>
      <c r="X393" s="3" t="n">
        <v>1.0549</v>
      </c>
      <c r="Y393" s="2" t="n">
        <f aca="false">(V393*((W393+T393)/1000)*X393)/((((W393+T393)/1000)*X393)-((W393/1000)*0.9982))</f>
        <v>42.6222222222222</v>
      </c>
      <c r="Z393" s="3" t="n">
        <f aca="false">X393*(V393/100)*((W393+T393)/1000)*1000</f>
        <v>0.832412</v>
      </c>
    </row>
    <row r="394" customFormat="false" ht="15" hidden="false" customHeight="false" outlineLevel="0" collapsed="false">
      <c r="A394" s="0" t="s">
        <v>46</v>
      </c>
      <c r="B394" s="0" t="s">
        <v>47</v>
      </c>
      <c r="C394" s="0" t="s">
        <v>28</v>
      </c>
      <c r="D394" s="0" t="s">
        <v>135</v>
      </c>
      <c r="E394" s="0" t="n">
        <v>9</v>
      </c>
      <c r="F394" s="0" t="n">
        <v>3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3" t="n">
        <v>2</v>
      </c>
      <c r="S394" s="0" t="n">
        <v>7.1</v>
      </c>
      <c r="T394" s="0" t="n">
        <f aca="false">(S394/55)*5</f>
        <v>0.645454545454546</v>
      </c>
      <c r="V394" s="0" t="n">
        <v>8</v>
      </c>
      <c r="W394" s="0" t="n">
        <v>4</v>
      </c>
      <c r="X394" s="3" t="n">
        <v>1.0299</v>
      </c>
      <c r="Y394" s="2" t="n">
        <f aca="false">(V394*((W394+T394)/1000)*X394)/((((W394+T394)/1000)*X394)-((W394/1000)*0.9982))</f>
        <v>48.3540562920562</v>
      </c>
      <c r="Z394" s="3" t="n">
        <f aca="false">X394*(V394/100)*((W394+T394)/1000)*1000</f>
        <v>0.382748290909091</v>
      </c>
    </row>
    <row r="395" customFormat="false" ht="15" hidden="false" customHeight="false" outlineLevel="0" collapsed="false">
      <c r="A395" s="0" t="s">
        <v>48</v>
      </c>
      <c r="B395" s="0" t="s">
        <v>49</v>
      </c>
      <c r="C395" s="0" t="s">
        <v>28</v>
      </c>
      <c r="D395" s="0" t="s">
        <v>135</v>
      </c>
      <c r="E395" s="0" t="n">
        <v>9</v>
      </c>
      <c r="F395" s="0" t="n">
        <v>0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3" t="n">
        <v>5</v>
      </c>
      <c r="S395" s="0" t="n">
        <v>13.3</v>
      </c>
      <c r="T395" s="0" t="n">
        <f aca="false">(S395/55)*5</f>
        <v>1.20909090909091</v>
      </c>
      <c r="V395" s="0" t="n">
        <v>11</v>
      </c>
      <c r="W395" s="0" t="n">
        <v>4</v>
      </c>
      <c r="X395" s="3" t="n">
        <v>1.0423</v>
      </c>
      <c r="Y395" s="2" t="n">
        <f aca="false">(V395*((W395+T395)/1000)*X395)/((((W395+T395)/1000)*X395)-((W395/1000)*0.9982))</f>
        <v>41.5719866936574</v>
      </c>
      <c r="Z395" s="3" t="n">
        <f aca="false">X395*(V395/100)*((W395+T395)/1000)*1000</f>
        <v>0.5972379</v>
      </c>
    </row>
    <row r="396" customFormat="false" ht="15" hidden="false" customHeight="false" outlineLevel="0" collapsed="false">
      <c r="A396" s="0" t="s">
        <v>50</v>
      </c>
      <c r="B396" s="0" t="s">
        <v>51</v>
      </c>
      <c r="C396" s="0" t="s">
        <v>28</v>
      </c>
      <c r="D396" s="0" t="s">
        <v>135</v>
      </c>
      <c r="E396" s="0" t="n">
        <v>9</v>
      </c>
      <c r="F396" s="0" t="n">
        <v>0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3" t="n">
        <v>1</v>
      </c>
      <c r="S396" s="0" t="n">
        <v>3.5</v>
      </c>
      <c r="T396" s="0" t="n">
        <f aca="false">(S396/55)*5</f>
        <v>0.318181818181818</v>
      </c>
      <c r="V396" s="0" t="n">
        <v>6</v>
      </c>
      <c r="W396" s="0" t="n">
        <v>4</v>
      </c>
      <c r="X396" s="3" t="n">
        <v>1.0218</v>
      </c>
      <c r="Y396" s="2" t="n">
        <f aca="false">(V396*((W396+T396)/1000)*X396)/((((W396+T396)/1000)*X396)-((W396/1000)*0.9982))</f>
        <v>63.1055106507465</v>
      </c>
      <c r="Z396" s="3" t="n">
        <f aca="false">X396*(V396/100)*((W396+T396)/1000)*1000</f>
        <v>0.264739090909091</v>
      </c>
    </row>
    <row r="397" customFormat="false" ht="15" hidden="false" customHeight="false" outlineLevel="0" collapsed="false">
      <c r="A397" s="0" t="s">
        <v>52</v>
      </c>
      <c r="B397" s="0" t="s">
        <v>53</v>
      </c>
      <c r="C397" s="0" t="s">
        <v>28</v>
      </c>
      <c r="D397" s="0" t="s">
        <v>135</v>
      </c>
      <c r="E397" s="0" t="n">
        <v>9</v>
      </c>
      <c r="F397" s="0" t="n">
        <v>1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3" t="n">
        <v>2</v>
      </c>
      <c r="S397" s="0" t="n">
        <v>7.1</v>
      </c>
      <c r="T397" s="0" t="n">
        <f aca="false">(S397/55)*5</f>
        <v>0.645454545454546</v>
      </c>
      <c r="V397" s="0" t="n">
        <v>8</v>
      </c>
      <c r="W397" s="0" t="n">
        <v>4</v>
      </c>
      <c r="X397" s="3" t="n">
        <v>1.0299</v>
      </c>
      <c r="Y397" s="2" t="n">
        <f aca="false">(V397*((W397+T397)/1000)*X397)/((((W397+T397)/1000)*X397)-((W397/1000)*0.9982))</f>
        <v>48.3540562920562</v>
      </c>
      <c r="Z397" s="3" t="n">
        <f aca="false">X397*(V397/100)*((W397+T397)/1000)*1000</f>
        <v>0.382748290909091</v>
      </c>
    </row>
    <row r="398" customFormat="false" ht="15" hidden="false" customHeight="false" outlineLevel="0" collapsed="false">
      <c r="A398" s="0" t="s">
        <v>54</v>
      </c>
      <c r="B398" s="0" t="s">
        <v>55</v>
      </c>
      <c r="C398" s="0" t="s">
        <v>56</v>
      </c>
      <c r="D398" s="0" t="s">
        <v>135</v>
      </c>
      <c r="E398" s="0" t="n">
        <v>9</v>
      </c>
      <c r="F398" s="0" t="n">
        <v>0</v>
      </c>
      <c r="G398" s="1"/>
      <c r="H398" s="1"/>
      <c r="I398" s="0" t="n">
        <v>0</v>
      </c>
      <c r="J398" s="0" t="n">
        <f aca="false">(I398/55)*5</f>
        <v>0</v>
      </c>
      <c r="L398" s="0" t="n">
        <v>0</v>
      </c>
      <c r="M398" s="0" t="n">
        <v>0</v>
      </c>
      <c r="N398" s="0" t="n">
        <f aca="false">L398</f>
        <v>0</v>
      </c>
      <c r="O398" s="3" t="n">
        <v>0</v>
      </c>
      <c r="P398" s="3" t="n">
        <f aca="false">(O398*(N398/100)*(J398/1000))*1000</f>
        <v>0</v>
      </c>
      <c r="Q398" s="3"/>
      <c r="R398" s="1"/>
      <c r="S398" s="1"/>
      <c r="T398" s="1"/>
      <c r="U398" s="1"/>
      <c r="V398" s="1"/>
      <c r="W398" s="1"/>
      <c r="X398" s="1"/>
      <c r="Y398" s="5"/>
      <c r="Z398" s="1"/>
    </row>
    <row r="399" customFormat="false" ht="15" hidden="false" customHeight="false" outlineLevel="0" collapsed="false">
      <c r="A399" s="0" t="s">
        <v>57</v>
      </c>
      <c r="B399" s="0" t="s">
        <v>58</v>
      </c>
      <c r="C399" s="0" t="s">
        <v>56</v>
      </c>
      <c r="D399" s="0" t="s">
        <v>135</v>
      </c>
      <c r="E399" s="0" t="n">
        <v>9</v>
      </c>
      <c r="F399" s="0" t="n">
        <v>0</v>
      </c>
      <c r="G399" s="1"/>
      <c r="H399" s="1"/>
      <c r="I399" s="0" t="n">
        <v>0</v>
      </c>
      <c r="J399" s="0" t="n">
        <f aca="false">(I399/55)*5</f>
        <v>0</v>
      </c>
      <c r="L399" s="0" t="n">
        <v>0</v>
      </c>
      <c r="M399" s="0" t="n">
        <v>0</v>
      </c>
      <c r="N399" s="0" t="n">
        <f aca="false">L399</f>
        <v>0</v>
      </c>
      <c r="O399" s="3" t="n">
        <v>0</v>
      </c>
      <c r="P399" s="3" t="n">
        <f aca="false">(O399*(N399/100)*(J399/1000))*1000</f>
        <v>0</v>
      </c>
      <c r="Q399" s="3"/>
      <c r="R399" s="1"/>
      <c r="S399" s="1"/>
      <c r="T399" s="1"/>
      <c r="U399" s="1"/>
      <c r="V399" s="1"/>
      <c r="W399" s="1"/>
      <c r="X399" s="1"/>
      <c r="Y399" s="5"/>
      <c r="Z399" s="1"/>
    </row>
    <row r="400" customFormat="false" ht="15" hidden="false" customHeight="false" outlineLevel="0" collapsed="false">
      <c r="A400" s="0" t="s">
        <v>59</v>
      </c>
      <c r="B400" s="0" t="s">
        <v>60</v>
      </c>
      <c r="C400" s="0" t="s">
        <v>56</v>
      </c>
      <c r="D400" s="0" t="s">
        <v>135</v>
      </c>
      <c r="E400" s="0" t="n">
        <v>9</v>
      </c>
      <c r="F400" s="0" t="n">
        <v>0</v>
      </c>
      <c r="G400" s="1"/>
      <c r="H400" s="1"/>
      <c r="I400" s="0" t="n">
        <v>0</v>
      </c>
      <c r="J400" s="0" t="n">
        <f aca="false">(I400/55)*5</f>
        <v>0</v>
      </c>
      <c r="L400" s="0" t="n">
        <v>0</v>
      </c>
      <c r="M400" s="0" t="n">
        <v>0</v>
      </c>
      <c r="N400" s="0" t="n">
        <f aca="false">L400</f>
        <v>0</v>
      </c>
      <c r="O400" s="3" t="n">
        <v>0</v>
      </c>
      <c r="P400" s="3" t="n">
        <f aca="false">(O400*(N400/100)*(J400/1000))*1000</f>
        <v>0</v>
      </c>
      <c r="Q400" s="3"/>
      <c r="R400" s="1"/>
      <c r="S400" s="1"/>
      <c r="T400" s="1"/>
      <c r="U400" s="1"/>
      <c r="V400" s="1"/>
      <c r="W400" s="1"/>
      <c r="X400" s="1"/>
      <c r="Y400" s="5"/>
      <c r="Z400" s="1"/>
    </row>
    <row r="401" customFormat="false" ht="15" hidden="false" customHeight="false" outlineLevel="0" collapsed="false">
      <c r="A401" s="0" t="s">
        <v>61</v>
      </c>
      <c r="B401" s="0" t="s">
        <v>62</v>
      </c>
      <c r="C401" s="0" t="s">
        <v>56</v>
      </c>
      <c r="D401" s="0" t="s">
        <v>135</v>
      </c>
      <c r="E401" s="0" t="n">
        <v>9</v>
      </c>
      <c r="F401" s="0" t="n">
        <v>3</v>
      </c>
      <c r="G401" s="1"/>
      <c r="H401" s="1"/>
      <c r="I401" s="0" t="n">
        <f aca="false">64.2+85+104.2-16</f>
        <v>237.4</v>
      </c>
      <c r="J401" s="0" t="n">
        <f aca="false">(I401/55)*5</f>
        <v>21.5818181818182</v>
      </c>
      <c r="L401" s="0" t="n">
        <v>20</v>
      </c>
      <c r="M401" s="0" t="n">
        <v>0</v>
      </c>
      <c r="N401" s="0" t="n">
        <f aca="false">L401</f>
        <v>20</v>
      </c>
      <c r="O401" s="3" t="n">
        <v>1.081</v>
      </c>
      <c r="P401" s="3" t="n">
        <f aca="false">(O401*(N401/100)*(J401/1000))*1000</f>
        <v>4.66598909090909</v>
      </c>
      <c r="Q401" s="3"/>
      <c r="R401" s="1"/>
      <c r="S401" s="1"/>
      <c r="T401" s="1"/>
      <c r="U401" s="1"/>
      <c r="V401" s="1"/>
      <c r="W401" s="1"/>
      <c r="X401" s="1"/>
      <c r="Y401" s="5"/>
      <c r="Z401" s="1"/>
    </row>
    <row r="402" customFormat="false" ht="15" hidden="false" customHeight="false" outlineLevel="0" collapsed="false">
      <c r="A402" s="0" t="s">
        <v>63</v>
      </c>
      <c r="B402" s="0" t="s">
        <v>64</v>
      </c>
      <c r="C402" s="0" t="s">
        <v>56</v>
      </c>
      <c r="D402" s="0" t="s">
        <v>135</v>
      </c>
      <c r="E402" s="0" t="n">
        <v>9</v>
      </c>
      <c r="F402" s="0" t="n">
        <v>1</v>
      </c>
      <c r="G402" s="1"/>
      <c r="H402" s="1"/>
      <c r="I402" s="0" t="n">
        <f aca="false">41.4+4.5</f>
        <v>45.9</v>
      </c>
      <c r="J402" s="0" t="n">
        <f aca="false">(I402/55)*5</f>
        <v>4.17272727272727</v>
      </c>
      <c r="L402" s="0" t="n">
        <v>18.5</v>
      </c>
      <c r="M402" s="0" t="n">
        <v>0</v>
      </c>
      <c r="N402" s="0" t="n">
        <f aca="false">L402</f>
        <v>18.5</v>
      </c>
      <c r="O402" s="3" t="n">
        <v>1.07435</v>
      </c>
      <c r="P402" s="3" t="n">
        <f aca="false">(O402*(N402/100)*(J402/1000))*1000</f>
        <v>0.829349365909091</v>
      </c>
      <c r="Q402" s="3"/>
      <c r="R402" s="1"/>
      <c r="S402" s="1"/>
      <c r="T402" s="1"/>
      <c r="U402" s="1"/>
      <c r="V402" s="1"/>
      <c r="W402" s="1"/>
      <c r="X402" s="1"/>
      <c r="Y402" s="5"/>
      <c r="Z402" s="1"/>
    </row>
    <row r="403" customFormat="false" ht="15" hidden="false" customHeight="false" outlineLevel="0" collapsed="false">
      <c r="A403" s="0" t="s">
        <v>65</v>
      </c>
      <c r="B403" s="0" t="s">
        <v>66</v>
      </c>
      <c r="C403" s="0" t="s">
        <v>56</v>
      </c>
      <c r="D403" s="0" t="s">
        <v>135</v>
      </c>
      <c r="E403" s="0" t="n">
        <v>9</v>
      </c>
      <c r="F403" s="0" t="n">
        <v>1</v>
      </c>
      <c r="G403" s="1"/>
      <c r="H403" s="1"/>
      <c r="I403" s="0" t="n">
        <v>39.4</v>
      </c>
      <c r="J403" s="0" t="n">
        <f aca="false">(I403/55)*5</f>
        <v>3.58181818181818</v>
      </c>
      <c r="L403" s="0" t="n">
        <v>22</v>
      </c>
      <c r="M403" s="0" t="n">
        <v>0</v>
      </c>
      <c r="N403" s="0" t="n">
        <f aca="false">L403</f>
        <v>22</v>
      </c>
      <c r="O403" s="3" t="n">
        <v>1.0899</v>
      </c>
      <c r="P403" s="3" t="n">
        <f aca="false">(O403*(N403/100)*(J403/1000))*1000</f>
        <v>0.8588412</v>
      </c>
      <c r="Q403" s="3"/>
      <c r="R403" s="1"/>
      <c r="S403" s="1"/>
      <c r="T403" s="1"/>
      <c r="U403" s="1"/>
      <c r="V403" s="1"/>
      <c r="W403" s="1"/>
      <c r="X403" s="1"/>
      <c r="Y403" s="5"/>
      <c r="Z403" s="1"/>
    </row>
    <row r="404" customFormat="false" ht="15" hidden="false" customHeight="false" outlineLevel="0" collapsed="false">
      <c r="A404" s="0" t="s">
        <v>67</v>
      </c>
      <c r="B404" s="0" t="s">
        <v>68</v>
      </c>
      <c r="C404" s="0" t="s">
        <v>56</v>
      </c>
      <c r="D404" s="0" t="s">
        <v>135</v>
      </c>
      <c r="E404" s="0" t="n">
        <v>9</v>
      </c>
      <c r="F404" s="0" t="n">
        <v>0</v>
      </c>
      <c r="G404" s="1"/>
      <c r="H404" s="1"/>
      <c r="I404" s="0" t="n">
        <v>0</v>
      </c>
      <c r="J404" s="0" t="n">
        <f aca="false">(I404/55)*5</f>
        <v>0</v>
      </c>
      <c r="L404" s="0" t="n">
        <v>0</v>
      </c>
      <c r="M404" s="0" t="n">
        <v>0</v>
      </c>
      <c r="N404" s="0" t="n">
        <f aca="false">L404</f>
        <v>0</v>
      </c>
      <c r="O404" s="3" t="n">
        <v>0</v>
      </c>
      <c r="P404" s="3" t="n">
        <f aca="false">(O404*(N404/100)*(J404/1000))*1000</f>
        <v>0</v>
      </c>
      <c r="Q404" s="3"/>
      <c r="R404" s="1"/>
      <c r="S404" s="1"/>
      <c r="T404" s="1"/>
      <c r="U404" s="1"/>
      <c r="V404" s="1"/>
      <c r="W404" s="1"/>
      <c r="X404" s="1"/>
      <c r="Y404" s="5"/>
      <c r="Z404" s="1"/>
    </row>
    <row r="405" customFormat="false" ht="15" hidden="false" customHeight="false" outlineLevel="0" collapsed="false">
      <c r="A405" s="0" t="s">
        <v>69</v>
      </c>
      <c r="B405" s="0" t="s">
        <v>70</v>
      </c>
      <c r="C405" s="0" t="s">
        <v>56</v>
      </c>
      <c r="D405" s="0" t="s">
        <v>135</v>
      </c>
      <c r="E405" s="0" t="n">
        <v>9</v>
      </c>
      <c r="F405" s="0" t="n">
        <v>0</v>
      </c>
      <c r="G405" s="1"/>
      <c r="H405" s="1"/>
      <c r="I405" s="0" t="n">
        <v>0</v>
      </c>
      <c r="J405" s="0" t="n">
        <f aca="false">(I405/55)*5</f>
        <v>0</v>
      </c>
      <c r="L405" s="0" t="n">
        <v>0</v>
      </c>
      <c r="M405" s="0" t="n">
        <v>0</v>
      </c>
      <c r="N405" s="0" t="n">
        <f aca="false">L405</f>
        <v>0</v>
      </c>
      <c r="O405" s="3" t="n">
        <v>0</v>
      </c>
      <c r="P405" s="3" t="n">
        <f aca="false">(O405*(N405/100)*(J405/1000))*1000</f>
        <v>0</v>
      </c>
      <c r="Q405" s="3"/>
      <c r="R405" s="1"/>
      <c r="S405" s="1"/>
      <c r="T405" s="1"/>
      <c r="U405" s="1"/>
      <c r="V405" s="1"/>
      <c r="W405" s="1"/>
      <c r="X405" s="1"/>
      <c r="Y405" s="5"/>
      <c r="Z405" s="1"/>
    </row>
    <row r="406" customFormat="false" ht="15" hidden="false" customHeight="false" outlineLevel="0" collapsed="false">
      <c r="A406" s="0" t="s">
        <v>71</v>
      </c>
      <c r="B406" s="0" t="s">
        <v>72</v>
      </c>
      <c r="C406" s="0" t="s">
        <v>56</v>
      </c>
      <c r="D406" s="0" t="s">
        <v>135</v>
      </c>
      <c r="E406" s="0" t="n">
        <v>9</v>
      </c>
      <c r="F406" s="0" t="n">
        <v>0</v>
      </c>
      <c r="G406" s="1"/>
      <c r="H406" s="1"/>
      <c r="I406" s="0" t="n">
        <v>0</v>
      </c>
      <c r="J406" s="0" t="n">
        <f aca="false">(I406/55)*5</f>
        <v>0</v>
      </c>
      <c r="L406" s="0" t="n">
        <v>0</v>
      </c>
      <c r="M406" s="0" t="n">
        <v>0</v>
      </c>
      <c r="N406" s="0" t="n">
        <f aca="false">L406</f>
        <v>0</v>
      </c>
      <c r="O406" s="3" t="n">
        <v>0</v>
      </c>
      <c r="P406" s="3" t="n">
        <f aca="false">(O406*(N406/100)*(J406/1000))*1000</f>
        <v>0</v>
      </c>
      <c r="Q406" s="3"/>
      <c r="R406" s="1"/>
      <c r="S406" s="1"/>
      <c r="T406" s="1"/>
      <c r="U406" s="1"/>
      <c r="V406" s="1"/>
      <c r="W406" s="1"/>
      <c r="X406" s="1"/>
      <c r="Y406" s="5"/>
      <c r="Z406" s="1"/>
    </row>
    <row r="407" customFormat="false" ht="15" hidden="false" customHeight="false" outlineLevel="0" collapsed="false">
      <c r="A407" s="0" t="s">
        <v>73</v>
      </c>
      <c r="B407" s="0" t="s">
        <v>74</v>
      </c>
      <c r="C407" s="0" t="s">
        <v>56</v>
      </c>
      <c r="D407" s="0" t="s">
        <v>135</v>
      </c>
      <c r="E407" s="0" t="n">
        <v>9</v>
      </c>
      <c r="F407" s="0" t="n">
        <v>2</v>
      </c>
      <c r="G407" s="1"/>
      <c r="H407" s="1"/>
      <c r="I407" s="0" t="n">
        <f aca="false">29.9+13.2+78</f>
        <v>121.1</v>
      </c>
      <c r="J407" s="0" t="n">
        <f aca="false">(I407/55)*5</f>
        <v>11.0090909090909</v>
      </c>
      <c r="L407" s="0" t="n">
        <v>18</v>
      </c>
      <c r="M407" s="0" t="n">
        <v>0</v>
      </c>
      <c r="N407" s="0" t="n">
        <f aca="false">L407</f>
        <v>18</v>
      </c>
      <c r="O407" s="3" t="n">
        <v>1.0722</v>
      </c>
      <c r="P407" s="3" t="n">
        <f aca="false">(O407*(N407/100)*(J407/1000))*1000</f>
        <v>2.12471050909091</v>
      </c>
      <c r="Q407" s="3"/>
      <c r="R407" s="1"/>
      <c r="S407" s="1"/>
      <c r="T407" s="1"/>
      <c r="U407" s="1"/>
      <c r="V407" s="1"/>
      <c r="W407" s="1"/>
      <c r="X407" s="1"/>
      <c r="Y407" s="5"/>
      <c r="Z407" s="1"/>
    </row>
    <row r="408" customFormat="false" ht="15" hidden="false" customHeight="false" outlineLevel="0" collapsed="false">
      <c r="A408" s="0" t="s">
        <v>75</v>
      </c>
      <c r="B408" s="0" t="s">
        <v>76</v>
      </c>
      <c r="C408" s="0" t="s">
        <v>56</v>
      </c>
      <c r="D408" s="0" t="s">
        <v>135</v>
      </c>
      <c r="E408" s="0" t="n">
        <v>9</v>
      </c>
      <c r="F408" s="0" t="n">
        <v>1</v>
      </c>
      <c r="G408" s="1"/>
      <c r="H408" s="1"/>
      <c r="I408" s="0" t="n">
        <v>38.5</v>
      </c>
      <c r="J408" s="0" t="n">
        <f aca="false">(I408/55)*5</f>
        <v>3.5</v>
      </c>
      <c r="L408" s="0" t="n">
        <v>23.5</v>
      </c>
      <c r="M408" s="0" t="n">
        <v>0</v>
      </c>
      <c r="N408" s="0" t="n">
        <f aca="false">L408</f>
        <v>23.5</v>
      </c>
      <c r="O408" s="3" t="n">
        <v>1.096725</v>
      </c>
      <c r="P408" s="3" t="n">
        <f aca="false">(O408*(N408/100)*(J408/1000))*1000</f>
        <v>0.9020563125</v>
      </c>
      <c r="Q408" s="3"/>
      <c r="R408" s="1"/>
      <c r="S408" s="1"/>
      <c r="T408" s="1"/>
      <c r="U408" s="1"/>
      <c r="V408" s="1"/>
      <c r="W408" s="1"/>
      <c r="X408" s="1"/>
      <c r="Y408" s="5"/>
      <c r="Z408" s="1"/>
    </row>
    <row r="409" customFormat="false" ht="15" hidden="false" customHeight="false" outlineLevel="0" collapsed="false">
      <c r="A409" s="0" t="s">
        <v>77</v>
      </c>
      <c r="B409" s="0" t="s">
        <v>78</v>
      </c>
      <c r="C409" s="0" t="s">
        <v>56</v>
      </c>
      <c r="D409" s="0" t="s">
        <v>135</v>
      </c>
      <c r="E409" s="0" t="n">
        <v>9</v>
      </c>
      <c r="F409" s="0" t="n">
        <v>1</v>
      </c>
      <c r="G409" s="1"/>
      <c r="H409" s="1"/>
      <c r="I409" s="0" t="n">
        <v>100.9</v>
      </c>
      <c r="J409" s="0" t="n">
        <f aca="false">(I409/55)*5</f>
        <v>9.17272727272727</v>
      </c>
      <c r="L409" s="0" t="n">
        <v>20</v>
      </c>
      <c r="M409" s="0" t="n">
        <v>0</v>
      </c>
      <c r="N409" s="0" t="n">
        <f aca="false">L409</f>
        <v>20</v>
      </c>
      <c r="O409" s="3" t="n">
        <v>1.081</v>
      </c>
      <c r="P409" s="3" t="n">
        <f aca="false">(O409*(N409/100)*(J409/1000))*1000</f>
        <v>1.98314363636364</v>
      </c>
      <c r="Q409" s="3"/>
      <c r="R409" s="1"/>
      <c r="S409" s="1"/>
      <c r="T409" s="1"/>
      <c r="U409" s="1"/>
      <c r="V409" s="1"/>
      <c r="W409" s="1"/>
      <c r="X409" s="1"/>
      <c r="Y409" s="5"/>
      <c r="Z409" s="1"/>
    </row>
    <row r="410" customFormat="false" ht="15" hidden="false" customHeight="false" outlineLevel="0" collapsed="false">
      <c r="A410" s="0" t="s">
        <v>79</v>
      </c>
      <c r="B410" s="0" t="s">
        <v>80</v>
      </c>
      <c r="C410" s="0" t="s">
        <v>81</v>
      </c>
      <c r="D410" s="0" t="s">
        <v>135</v>
      </c>
      <c r="E410" s="0" t="n">
        <v>9</v>
      </c>
      <c r="F410" s="0" t="n">
        <v>2</v>
      </c>
      <c r="G410" s="1"/>
      <c r="H410" s="1"/>
      <c r="I410" s="0" t="n">
        <f aca="false">109.4+19.3+108.8+6.1-14.2</f>
        <v>229.4</v>
      </c>
      <c r="J410" s="0" t="n">
        <f aca="false">(I410/55)*5</f>
        <v>20.8545454545455</v>
      </c>
      <c r="L410" s="0" t="n">
        <v>19.5</v>
      </c>
      <c r="M410" s="0" t="n">
        <v>0</v>
      </c>
      <c r="N410" s="0" t="n">
        <f aca="false">L410</f>
        <v>19.5</v>
      </c>
      <c r="O410" s="3" t="n">
        <v>1.07875</v>
      </c>
      <c r="P410" s="3" t="n">
        <f aca="false">(O410*(N410/100)*(J410/1000))*1000</f>
        <v>4.38688397727273</v>
      </c>
      <c r="Q410" s="3"/>
      <c r="R410" s="0" t="n">
        <v>3</v>
      </c>
      <c r="S410" s="0" t="n">
        <v>20.8</v>
      </c>
      <c r="T410" s="0" t="n">
        <f aca="false">(S410/55)*5</f>
        <v>1.89090909090909</v>
      </c>
      <c r="V410" s="0" t="n">
        <v>22</v>
      </c>
      <c r="W410" s="0" t="n">
        <v>4</v>
      </c>
      <c r="X410" s="3" t="n">
        <v>1.0899</v>
      </c>
      <c r="Y410" s="2" t="n">
        <f aca="false">(V410*((W410+T410)/1000)*X410)/((((W410+T410)/1000)*X410)-((W410/1000)*0.9982))</f>
        <v>58.1830268207268</v>
      </c>
      <c r="Z410" s="3" t="n">
        <f aca="false">X410*(V410/100)*((W410+T410)/1000)*1000</f>
        <v>1.4125104</v>
      </c>
    </row>
    <row r="411" customFormat="false" ht="15" hidden="false" customHeight="false" outlineLevel="0" collapsed="false">
      <c r="A411" s="0" t="s">
        <v>82</v>
      </c>
      <c r="B411" s="0" t="s">
        <v>83</v>
      </c>
      <c r="C411" s="0" t="s">
        <v>81</v>
      </c>
      <c r="D411" s="0" t="s">
        <v>135</v>
      </c>
      <c r="E411" s="0" t="n">
        <v>9</v>
      </c>
      <c r="F411" s="0" t="n">
        <v>0</v>
      </c>
      <c r="G411" s="1"/>
      <c r="H411" s="1"/>
      <c r="I411" s="0" t="n">
        <v>0</v>
      </c>
      <c r="J411" s="0" t="n">
        <f aca="false">(I411/55)*5</f>
        <v>0</v>
      </c>
      <c r="L411" s="0" t="n">
        <v>0</v>
      </c>
      <c r="M411" s="0" t="n">
        <v>0</v>
      </c>
      <c r="N411" s="0" t="n">
        <f aca="false">L411</f>
        <v>0</v>
      </c>
      <c r="O411" s="3" t="n">
        <v>0</v>
      </c>
      <c r="P411" s="3" t="n">
        <f aca="false">(O411*(N411/100)*(J411/1000))*1000</f>
        <v>0</v>
      </c>
      <c r="Q411" s="3"/>
      <c r="R411" s="0" t="n">
        <v>1</v>
      </c>
      <c r="S411" s="0" t="n">
        <v>1.1</v>
      </c>
      <c r="T411" s="0" t="n">
        <f aca="false">(S411/55)*5</f>
        <v>0.1</v>
      </c>
      <c r="V411" s="0" t="n">
        <v>10</v>
      </c>
      <c r="W411" s="0" t="n">
        <v>1</v>
      </c>
      <c r="X411" s="3" t="n">
        <v>1.0381</v>
      </c>
      <c r="Y411" s="2" t="n">
        <f aca="false">(V411*((W411+T411)/1000)*X411)/((((W411+T411)/1000)*X411)-((W411/1000)*0.9982))</f>
        <v>79.4593278129568</v>
      </c>
      <c r="Z411" s="3" t="n">
        <f aca="false">X411*(V411/100)*((W411+T411)/1000)*1000</f>
        <v>0.114191</v>
      </c>
    </row>
    <row r="412" customFormat="false" ht="15" hidden="false" customHeight="false" outlineLevel="0" collapsed="false">
      <c r="A412" s="0" t="s">
        <v>84</v>
      </c>
      <c r="B412" s="0" t="s">
        <v>85</v>
      </c>
      <c r="C412" s="0" t="s">
        <v>81</v>
      </c>
      <c r="D412" s="0" t="s">
        <v>135</v>
      </c>
      <c r="E412" s="0" t="n">
        <v>9</v>
      </c>
      <c r="F412" s="0" t="n">
        <v>1</v>
      </c>
      <c r="G412" s="1"/>
      <c r="H412" s="1"/>
      <c r="I412" s="0" t="n">
        <f aca="false">15.2+10.2+10</f>
        <v>35.4</v>
      </c>
      <c r="J412" s="0" t="n">
        <f aca="false">(I412/55)*5</f>
        <v>3.21818181818182</v>
      </c>
      <c r="L412" s="0" t="n">
        <v>25</v>
      </c>
      <c r="M412" s="0" t="n">
        <v>0</v>
      </c>
      <c r="N412" s="0" t="n">
        <f aca="false">L412</f>
        <v>25</v>
      </c>
      <c r="O412" s="3" t="n">
        <v>1.10355</v>
      </c>
      <c r="P412" s="3" t="n">
        <f aca="false">(O412*(N412/100)*(J412/1000))*1000</f>
        <v>0.887856136363636</v>
      </c>
      <c r="Q412" s="3"/>
      <c r="R412" s="0" t="n">
        <v>5</v>
      </c>
      <c r="S412" s="0" t="n">
        <v>11.3</v>
      </c>
      <c r="T412" s="0" t="n">
        <f aca="false">(S412/55)*5</f>
        <v>1.02727272727273</v>
      </c>
      <c r="V412" s="0" t="n">
        <v>23</v>
      </c>
      <c r="W412" s="0" t="n">
        <v>4</v>
      </c>
      <c r="X412" s="3" t="n">
        <v>1.09445</v>
      </c>
      <c r="Y412" s="2" t="n">
        <f aca="false">(V412*((W412+T412)/1000)*X412)/((((W412+T412)/1000)*X412)-((W412/1000)*0.9982))</f>
        <v>83.8457450284704</v>
      </c>
      <c r="Z412" s="3" t="n">
        <f aca="false">X412*(V412/100)*((W412+T412)/1000)*1000</f>
        <v>1.26548268636364</v>
      </c>
    </row>
    <row r="413" customFormat="false" ht="15" hidden="false" customHeight="false" outlineLevel="0" collapsed="false">
      <c r="A413" s="0" t="s">
        <v>86</v>
      </c>
      <c r="B413" s="0" t="s">
        <v>87</v>
      </c>
      <c r="C413" s="0" t="s">
        <v>81</v>
      </c>
      <c r="D413" s="0" t="s">
        <v>135</v>
      </c>
      <c r="E413" s="0" t="n">
        <v>9</v>
      </c>
      <c r="F413" s="0" t="n">
        <v>1</v>
      </c>
      <c r="G413" s="1"/>
      <c r="H413" s="1"/>
      <c r="I413" s="0" t="n">
        <f aca="false">30.4-5.7</f>
        <v>24.7</v>
      </c>
      <c r="J413" s="0" t="n">
        <f aca="false">(I413/55)*5</f>
        <v>2.24545454545455</v>
      </c>
      <c r="L413" s="0" t="n">
        <v>28</v>
      </c>
      <c r="M413" s="0" t="n">
        <v>0</v>
      </c>
      <c r="N413" s="0" t="n">
        <f aca="false">L413</f>
        <v>28</v>
      </c>
      <c r="O413" s="3" t="n">
        <v>1.1175</v>
      </c>
      <c r="P413" s="3" t="n">
        <f aca="false">(O413*(N413/100)*(J413/1000))*1000</f>
        <v>0.702602727272727</v>
      </c>
      <c r="Q413" s="3"/>
      <c r="R413" s="0" t="n">
        <v>5</v>
      </c>
      <c r="S413" s="0" t="n">
        <v>26</v>
      </c>
      <c r="T413" s="0" t="n">
        <f aca="false">(S413/55)*5</f>
        <v>2.36363636363636</v>
      </c>
      <c r="V413" s="0" t="n">
        <v>22.5</v>
      </c>
      <c r="W413" s="0" t="n">
        <v>4</v>
      </c>
      <c r="X413" s="3" t="n">
        <v>1.092175</v>
      </c>
      <c r="Y413" s="2" t="n">
        <f aca="false">(V413*((W413+T413)/1000)*X413)/((((W413+T413)/1000)*X413)-((W413/1000)*0.9982))</f>
        <v>52.8773118013492</v>
      </c>
      <c r="Z413" s="3" t="n">
        <f aca="false">X413*(V413/100)*((W413+T413)/1000)*1000</f>
        <v>1.56379602272727</v>
      </c>
    </row>
    <row r="414" customFormat="false" ht="15" hidden="false" customHeight="false" outlineLevel="0" collapsed="false">
      <c r="A414" s="0" t="s">
        <v>88</v>
      </c>
      <c r="B414" s="0" t="s">
        <v>89</v>
      </c>
      <c r="C414" s="0" t="s">
        <v>81</v>
      </c>
      <c r="D414" s="0" t="s">
        <v>135</v>
      </c>
      <c r="E414" s="0" t="n">
        <v>9</v>
      </c>
      <c r="F414" s="0" t="n">
        <v>1</v>
      </c>
      <c r="G414" s="1"/>
      <c r="H414" s="1"/>
      <c r="I414" s="0" t="n">
        <f aca="false">98.8-2.3</f>
        <v>96.5</v>
      </c>
      <c r="J414" s="0" t="n">
        <f aca="false">(I414/55)*5</f>
        <v>8.77272727272727</v>
      </c>
      <c r="L414" s="0" t="n">
        <v>32</v>
      </c>
      <c r="M414" s="0" t="n">
        <v>0</v>
      </c>
      <c r="N414" s="0" t="n">
        <f aca="false">L414</f>
        <v>32</v>
      </c>
      <c r="O414" s="3" t="n">
        <v>1.1366</v>
      </c>
      <c r="P414" s="3" t="n">
        <f aca="false">(O414*(N414/100)*(J414/1000))*1000</f>
        <v>3.19074618181818</v>
      </c>
      <c r="Q414" s="3"/>
      <c r="R414" s="0" t="n">
        <v>1</v>
      </c>
      <c r="S414" s="0" t="n">
        <v>5.2</v>
      </c>
      <c r="T414" s="0" t="n">
        <f aca="false">(S414/55)*5</f>
        <v>0.472727272727273</v>
      </c>
      <c r="V414" s="0" t="n">
        <v>8</v>
      </c>
      <c r="W414" s="0" t="n">
        <v>4</v>
      </c>
      <c r="X414" s="3" t="n">
        <v>1.0299</v>
      </c>
      <c r="Y414" s="2" t="n">
        <f aca="false">(V414*((W414+T414)/1000)*X414)/((((W414+T414)/1000)*X414)-((W414/1000)*0.9982))</f>
        <v>60.0521222823351</v>
      </c>
      <c r="Z414" s="3" t="n">
        <f aca="false">X414*(V414/100)*((W414+T414)/1000)*1000</f>
        <v>0.368516945454545</v>
      </c>
    </row>
    <row r="415" customFormat="false" ht="15" hidden="false" customHeight="false" outlineLevel="0" collapsed="false">
      <c r="A415" s="0" t="s">
        <v>90</v>
      </c>
      <c r="B415" s="0" t="s">
        <v>91</v>
      </c>
      <c r="C415" s="0" t="s">
        <v>81</v>
      </c>
      <c r="D415" s="0" t="s">
        <v>135</v>
      </c>
      <c r="E415" s="0" t="n">
        <v>9</v>
      </c>
      <c r="F415" s="0" t="n">
        <v>1</v>
      </c>
      <c r="G415" s="1"/>
      <c r="H415" s="1"/>
      <c r="I415" s="0" t="n">
        <v>28.3</v>
      </c>
      <c r="J415" s="0" t="n">
        <f aca="false">(I415/55)*5</f>
        <v>2.57272727272727</v>
      </c>
      <c r="L415" s="0" t="n">
        <v>23</v>
      </c>
      <c r="M415" s="0" t="n">
        <v>0</v>
      </c>
      <c r="N415" s="0" t="n">
        <f aca="false">L415</f>
        <v>23</v>
      </c>
      <c r="O415" s="3" t="n">
        <v>1.09445</v>
      </c>
      <c r="P415" s="3" t="n">
        <f aca="false">(O415*(N415/100)*(J415/1000))*1000</f>
        <v>0.647615913636364</v>
      </c>
      <c r="Q415" s="3"/>
      <c r="R415" s="0" t="n">
        <v>3</v>
      </c>
      <c r="S415" s="0" t="n">
        <v>2.8</v>
      </c>
      <c r="T415" s="0" t="n">
        <f aca="false">(S415/55)*5</f>
        <v>0.254545454545454</v>
      </c>
      <c r="V415" s="0" t="n">
        <v>23</v>
      </c>
      <c r="W415" s="0" t="n">
        <v>1</v>
      </c>
      <c r="X415" s="3" t="n">
        <v>1.09445</v>
      </c>
      <c r="Y415" s="2" t="n">
        <f aca="false">(V415*((W415+T415)/1000)*X415)/((((W415+T415)/1000)*X415)-((W415/1000)*0.9982))</f>
        <v>84.2495119094104</v>
      </c>
      <c r="Z415" s="3" t="n">
        <f aca="false">X415*(V415/100)*((W415+T415)/1000)*1000</f>
        <v>0.315798572727273</v>
      </c>
    </row>
    <row r="416" customFormat="false" ht="15" hidden="false" customHeight="false" outlineLevel="0" collapsed="false">
      <c r="A416" s="0" t="s">
        <v>92</v>
      </c>
      <c r="B416" s="0" t="s">
        <v>93</v>
      </c>
      <c r="C416" s="0" t="s">
        <v>81</v>
      </c>
      <c r="D416" s="0" t="s">
        <v>135</v>
      </c>
      <c r="E416" s="0" t="n">
        <v>9</v>
      </c>
      <c r="F416" s="0" t="n">
        <v>2</v>
      </c>
      <c r="G416" s="1"/>
      <c r="H416" s="1"/>
      <c r="I416" s="0" t="n">
        <f aca="false">92.6+101.5</f>
        <v>194.1</v>
      </c>
      <c r="J416" s="0" t="n">
        <f aca="false">(I416/55)*5</f>
        <v>17.6454545454545</v>
      </c>
      <c r="L416" s="0" t="n">
        <v>21</v>
      </c>
      <c r="M416" s="0" t="n">
        <v>0</v>
      </c>
      <c r="N416" s="0" t="n">
        <f aca="false">L416</f>
        <v>21</v>
      </c>
      <c r="O416" s="3" t="n">
        <v>1.08545</v>
      </c>
      <c r="P416" s="3" t="n">
        <f aca="false">(O416*(N416/100)*(J416/1000))*1000</f>
        <v>4.02218431363636</v>
      </c>
      <c r="Q416" s="3"/>
      <c r="R416" s="0" t="n">
        <v>2</v>
      </c>
      <c r="S416" s="0" t="n">
        <v>5.7</v>
      </c>
      <c r="T416" s="0" t="n">
        <f aca="false">(S416/55)*5</f>
        <v>0.518181818181818</v>
      </c>
      <c r="V416" s="0" t="n">
        <v>7</v>
      </c>
      <c r="W416" s="0" t="n">
        <v>4</v>
      </c>
      <c r="X416" s="3" t="n">
        <v>1.0259</v>
      </c>
      <c r="Y416" s="2" t="n">
        <f aca="false">(V416*((W416+T416)/1000)*X416)/((((W416+T416)/1000)*X416)-((W416/1000)*0.9982))</f>
        <v>50.5079099347195</v>
      </c>
      <c r="Z416" s="3" t="n">
        <f aca="false">X416*(V416/100)*((W416+T416)/1000)*1000</f>
        <v>0.324464190909091</v>
      </c>
    </row>
    <row r="417" customFormat="false" ht="15" hidden="false" customHeight="false" outlineLevel="0" collapsed="false">
      <c r="A417" s="0" t="s">
        <v>94</v>
      </c>
      <c r="B417" s="0" t="s">
        <v>95</v>
      </c>
      <c r="C417" s="0" t="s">
        <v>81</v>
      </c>
      <c r="D417" s="0" t="s">
        <v>135</v>
      </c>
      <c r="E417" s="0" t="n">
        <v>9</v>
      </c>
      <c r="F417" s="0" t="n">
        <v>1</v>
      </c>
      <c r="G417" s="1"/>
      <c r="H417" s="1"/>
      <c r="I417" s="0" t="n">
        <v>28.7</v>
      </c>
      <c r="J417" s="0" t="n">
        <f aca="false">(I417/55)*5</f>
        <v>2.60909090909091</v>
      </c>
      <c r="L417" s="0" t="n">
        <v>23</v>
      </c>
      <c r="M417" s="0" t="n">
        <v>0</v>
      </c>
      <c r="N417" s="0" t="n">
        <f aca="false">L417</f>
        <v>23</v>
      </c>
      <c r="O417" s="3" t="n">
        <v>1.09445</v>
      </c>
      <c r="P417" s="3" t="n">
        <f aca="false">(O417*(N417/100)*(J417/1000))*1000</f>
        <v>0.656769495454546</v>
      </c>
      <c r="Q417" s="3"/>
      <c r="R417" s="0" t="n">
        <v>2</v>
      </c>
      <c r="S417" s="0" t="n">
        <v>6.8</v>
      </c>
      <c r="T417" s="0" t="n">
        <f aca="false">(S417/55)*5</f>
        <v>0.618181818181818</v>
      </c>
      <c r="V417" s="0" t="n">
        <v>10</v>
      </c>
      <c r="W417" s="0" t="n">
        <v>4</v>
      </c>
      <c r="X417" s="3" t="n">
        <v>1.0381</v>
      </c>
      <c r="Y417" s="2" t="n">
        <f aca="false">(V417*((W417+T417)/1000)*X417)/((((W417+T417)/1000)*X417)-((W417/1000)*0.9982))</f>
        <v>59.8268797052191</v>
      </c>
      <c r="Z417" s="3" t="n">
        <f aca="false">X417*(V417/100)*((W417+T417)/1000)*1000</f>
        <v>0.479413454545454</v>
      </c>
    </row>
    <row r="418" customFormat="false" ht="15" hidden="false" customHeight="false" outlineLevel="0" collapsed="false">
      <c r="A418" s="0" t="s">
        <v>96</v>
      </c>
      <c r="B418" s="0" t="s">
        <v>97</v>
      </c>
      <c r="C418" s="0" t="s">
        <v>81</v>
      </c>
      <c r="D418" s="0" t="s">
        <v>135</v>
      </c>
      <c r="E418" s="0" t="n">
        <v>9</v>
      </c>
      <c r="F418" s="0" t="n">
        <v>1</v>
      </c>
      <c r="G418" s="1"/>
      <c r="H418" s="1"/>
      <c r="I418" s="0" t="n">
        <v>46.8</v>
      </c>
      <c r="J418" s="0" t="n">
        <f aca="false">(I418/55)*5</f>
        <v>4.25454545454545</v>
      </c>
      <c r="L418" s="0" t="n">
        <v>24</v>
      </c>
      <c r="M418" s="0" t="n">
        <v>0</v>
      </c>
      <c r="N418" s="0" t="n">
        <f aca="false">L418</f>
        <v>24</v>
      </c>
      <c r="O418" s="3" t="n">
        <v>1.099</v>
      </c>
      <c r="P418" s="3" t="n">
        <f aca="false">(O418*(N418/100)*(J418/1000))*1000</f>
        <v>1.12217890909091</v>
      </c>
      <c r="Q418" s="3"/>
      <c r="R418" s="0" t="n">
        <v>1</v>
      </c>
      <c r="S418" s="0" t="n">
        <v>2.9</v>
      </c>
      <c r="T418" s="0" t="n">
        <f aca="false">(S418/55)*5</f>
        <v>0.263636363636364</v>
      </c>
      <c r="V418" s="0" t="n">
        <v>9.5</v>
      </c>
      <c r="W418" s="0" t="n">
        <v>4</v>
      </c>
      <c r="X418" s="3" t="n">
        <v>1.0361</v>
      </c>
      <c r="Y418" s="2" t="n">
        <f aca="false">(V418*((W418+T418)/1000)*X418)/((((W418+T418)/1000)*X418)-((W418/1000)*0.9982))</f>
        <v>98.802590378594</v>
      </c>
      <c r="Z418" s="3" t="n">
        <f aca="false">X418*(V418/100)*((W418+T418)/1000)*1000</f>
        <v>0.419667595454545</v>
      </c>
    </row>
    <row r="419" customFormat="false" ht="15" hidden="false" customHeight="false" outlineLevel="0" collapsed="false">
      <c r="A419" s="0" t="s">
        <v>98</v>
      </c>
      <c r="B419" s="0" t="s">
        <v>99</v>
      </c>
      <c r="C419" s="0" t="s">
        <v>81</v>
      </c>
      <c r="D419" s="0" t="s">
        <v>135</v>
      </c>
      <c r="E419" s="0" t="n">
        <v>9</v>
      </c>
      <c r="F419" s="0" t="n">
        <v>0</v>
      </c>
      <c r="G419" s="1"/>
      <c r="H419" s="1"/>
      <c r="I419" s="0" t="n">
        <v>0</v>
      </c>
      <c r="J419" s="0" t="n">
        <f aca="false">(I419/55)*5</f>
        <v>0</v>
      </c>
      <c r="L419" s="0" t="n">
        <v>0</v>
      </c>
      <c r="M419" s="0" t="n">
        <v>0</v>
      </c>
      <c r="N419" s="0" t="n">
        <f aca="false">L419</f>
        <v>0</v>
      </c>
      <c r="O419" s="3" t="n">
        <v>0</v>
      </c>
      <c r="P419" s="3" t="n">
        <f aca="false">(O419*(N419/100)*(J419/1000))*1000</f>
        <v>0</v>
      </c>
      <c r="Q419" s="3"/>
      <c r="R419" s="0" t="n">
        <v>1</v>
      </c>
      <c r="S419" s="0" t="n">
        <v>6.4</v>
      </c>
      <c r="T419" s="0" t="n">
        <f aca="false">(S419/55)*5</f>
        <v>0.581818181818182</v>
      </c>
      <c r="V419" s="0" t="n">
        <v>11.5</v>
      </c>
      <c r="W419" s="0" t="n">
        <v>4</v>
      </c>
      <c r="X419" s="3" t="n">
        <v>1.0444</v>
      </c>
      <c r="Y419" s="2" t="n">
        <f aca="false">(V419*((W419+T419)/1000)*X419)/((((W419+T419)/1000)*X419)-((W419/1000)*0.9982))</f>
        <v>69.4432738018759</v>
      </c>
      <c r="Z419" s="3" t="n">
        <f aca="false">X419*(V419/100)*((W419+T419)/1000)*1000</f>
        <v>0.550303854545455</v>
      </c>
    </row>
    <row r="420" customFormat="false" ht="15" hidden="false" customHeight="false" outlineLevel="0" collapsed="false">
      <c r="A420" s="0" t="s">
        <v>100</v>
      </c>
      <c r="B420" s="0" t="s">
        <v>101</v>
      </c>
      <c r="C420" s="0" t="s">
        <v>81</v>
      </c>
      <c r="D420" s="0" t="s">
        <v>135</v>
      </c>
      <c r="E420" s="0" t="n">
        <v>9</v>
      </c>
      <c r="F420" s="0" t="n">
        <v>2</v>
      </c>
      <c r="G420" s="1"/>
      <c r="H420" s="1"/>
      <c r="I420" s="0" t="n">
        <f aca="false">63+96.2</f>
        <v>159.2</v>
      </c>
      <c r="J420" s="0" t="n">
        <f aca="false">(I420/55)*5</f>
        <v>14.4727272727273</v>
      </c>
      <c r="L420" s="0" t="n">
        <v>19</v>
      </c>
      <c r="M420" s="0" t="n">
        <v>0</v>
      </c>
      <c r="N420" s="0" t="n">
        <f aca="false">L420</f>
        <v>19</v>
      </c>
      <c r="O420" s="3" t="n">
        <v>1.0765</v>
      </c>
      <c r="P420" s="3" t="n">
        <f aca="false">(O420*(N420/100)*(J420/1000))*1000</f>
        <v>2.96017927272727</v>
      </c>
      <c r="Q420" s="3"/>
      <c r="R420" s="0" t="n">
        <v>1</v>
      </c>
      <c r="S420" s="0" t="n">
        <v>2.4</v>
      </c>
      <c r="T420" s="0" t="n">
        <f aca="false">(S420/55)*5</f>
        <v>0.218181818181818</v>
      </c>
      <c r="V420" s="0" t="n">
        <v>8.5</v>
      </c>
      <c r="W420" s="0" t="n">
        <v>1</v>
      </c>
      <c r="X420" s="3" t="n">
        <v>1.032</v>
      </c>
      <c r="Y420" s="2" t="n">
        <f aca="false">(V420*((W420+T420)/1000)*X420)/((((W420+T420)/1000)*X420)-((W420/1000)*0.9982))</f>
        <v>41.2640595380187</v>
      </c>
      <c r="Z420" s="3" t="n">
        <f aca="false">X420*(V420/100)*((W420+T420)/1000)*1000</f>
        <v>0.106858909090909</v>
      </c>
    </row>
    <row r="421" customFormat="false" ht="15" hidden="false" customHeight="false" outlineLevel="0" collapsed="false">
      <c r="A421" s="0" t="s">
        <v>102</v>
      </c>
      <c r="B421" s="0" t="s">
        <v>103</v>
      </c>
      <c r="C421" s="0" t="s">
        <v>81</v>
      </c>
      <c r="D421" s="0" t="s">
        <v>135</v>
      </c>
      <c r="E421" s="0" t="n">
        <v>9</v>
      </c>
      <c r="F421" s="0" t="n">
        <v>0</v>
      </c>
      <c r="G421" s="1"/>
      <c r="H421" s="1"/>
      <c r="I421" s="0" t="n">
        <v>0</v>
      </c>
      <c r="J421" s="0" t="n">
        <f aca="false">(I421/55)*5</f>
        <v>0</v>
      </c>
      <c r="L421" s="0" t="n">
        <v>0</v>
      </c>
      <c r="M421" s="0" t="n">
        <v>0</v>
      </c>
      <c r="N421" s="0" t="n">
        <f aca="false">L421</f>
        <v>0</v>
      </c>
      <c r="O421" s="3" t="n">
        <v>0</v>
      </c>
      <c r="P421" s="3" t="n">
        <f aca="false">(O421*(N421/100)*(J421/1000))*1000</f>
        <v>0</v>
      </c>
      <c r="Q421" s="3"/>
      <c r="R421" s="0" t="n">
        <v>0</v>
      </c>
      <c r="S421" s="0" t="n">
        <v>0</v>
      </c>
      <c r="T421" s="0" t="n">
        <f aca="false">(S421/55)*5</f>
        <v>0</v>
      </c>
      <c r="V421" s="0" t="n">
        <v>0</v>
      </c>
      <c r="W421" s="0" t="n">
        <v>4</v>
      </c>
      <c r="X421" s="3" t="n">
        <v>0</v>
      </c>
      <c r="Y421" s="2" t="n">
        <f aca="false">(V421*((W421+T421)/1000)*X421)/((((W421+T421)/1000)*X421)-((W421/1000)*0.9982))</f>
        <v>-0</v>
      </c>
      <c r="Z421" s="3" t="n">
        <f aca="false">X421*(V421/100)*((W421+T421)/1000)*1000</f>
        <v>0</v>
      </c>
    </row>
    <row r="422" customFormat="false" ht="15" hidden="false" customHeight="false" outlineLevel="0" collapsed="false">
      <c r="A422" s="0" t="s">
        <v>104</v>
      </c>
      <c r="B422" s="0" t="s">
        <v>105</v>
      </c>
      <c r="C422" s="0" t="s">
        <v>106</v>
      </c>
      <c r="D422" s="0" t="s">
        <v>135</v>
      </c>
      <c r="E422" s="0" t="n">
        <v>9</v>
      </c>
      <c r="F422" s="0" t="n">
        <v>1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0" t="n">
        <v>8</v>
      </c>
      <c r="S422" s="1"/>
      <c r="T422" s="1"/>
      <c r="U422" s="1"/>
      <c r="V422" s="1"/>
      <c r="W422" s="1"/>
      <c r="X422" s="1"/>
      <c r="Y422" s="5"/>
      <c r="Z422" s="1"/>
    </row>
    <row r="423" customFormat="false" ht="15" hidden="false" customHeight="false" outlineLevel="0" collapsed="false">
      <c r="A423" s="0" t="s">
        <v>107</v>
      </c>
      <c r="B423" s="0" t="s">
        <v>37</v>
      </c>
      <c r="C423" s="0" t="s">
        <v>106</v>
      </c>
      <c r="D423" s="0" t="s">
        <v>135</v>
      </c>
      <c r="E423" s="0" t="n">
        <v>9</v>
      </c>
      <c r="F423" s="0" t="n">
        <v>1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0" t="n">
        <v>7</v>
      </c>
      <c r="S423" s="1"/>
      <c r="T423" s="1"/>
      <c r="U423" s="1"/>
      <c r="V423" s="1"/>
      <c r="W423" s="1"/>
      <c r="X423" s="1"/>
      <c r="Y423" s="5"/>
      <c r="Z423" s="1"/>
    </row>
    <row r="424" customFormat="false" ht="15" hidden="false" customHeight="false" outlineLevel="0" collapsed="false">
      <c r="A424" s="0" t="s">
        <v>108</v>
      </c>
      <c r="B424" s="0" t="s">
        <v>109</v>
      </c>
      <c r="C424" s="0" t="s">
        <v>106</v>
      </c>
      <c r="D424" s="0" t="s">
        <v>135</v>
      </c>
      <c r="E424" s="0" t="n">
        <v>9</v>
      </c>
      <c r="F424" s="0" t="n">
        <v>0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0" t="n">
        <v>4</v>
      </c>
      <c r="S424" s="1"/>
      <c r="T424" s="1"/>
      <c r="U424" s="1"/>
      <c r="V424" s="1"/>
      <c r="W424" s="1"/>
      <c r="X424" s="1"/>
      <c r="Y424" s="5"/>
      <c r="Z424" s="1"/>
    </row>
    <row r="425" customFormat="false" ht="15" hidden="false" customHeight="false" outlineLevel="0" collapsed="false">
      <c r="A425" s="0" t="s">
        <v>110</v>
      </c>
      <c r="B425" s="0" t="s">
        <v>111</v>
      </c>
      <c r="C425" s="0" t="s">
        <v>106</v>
      </c>
      <c r="D425" s="0" t="s">
        <v>135</v>
      </c>
      <c r="E425" s="0" t="n">
        <v>9</v>
      </c>
      <c r="F425" s="0" t="n">
        <v>1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0" t="n">
        <v>3</v>
      </c>
      <c r="S425" s="1"/>
      <c r="T425" s="1"/>
      <c r="U425" s="1"/>
      <c r="V425" s="1"/>
      <c r="W425" s="1"/>
      <c r="X425" s="1"/>
      <c r="Y425" s="5"/>
      <c r="Z425" s="1"/>
    </row>
    <row r="426" customFormat="false" ht="15" hidden="false" customHeight="false" outlineLevel="0" collapsed="false">
      <c r="A426" s="0" t="s">
        <v>112</v>
      </c>
      <c r="B426" s="0" t="s">
        <v>113</v>
      </c>
      <c r="C426" s="0" t="s">
        <v>106</v>
      </c>
      <c r="D426" s="0" t="s">
        <v>135</v>
      </c>
      <c r="E426" s="0" t="n">
        <v>9</v>
      </c>
      <c r="F426" s="0" t="n">
        <v>1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0" t="n">
        <v>5</v>
      </c>
      <c r="S426" s="1"/>
      <c r="T426" s="1"/>
      <c r="U426" s="1"/>
      <c r="V426" s="1"/>
      <c r="W426" s="1"/>
      <c r="X426" s="1"/>
      <c r="Y426" s="5"/>
      <c r="Z426" s="1"/>
    </row>
    <row r="427" customFormat="false" ht="15" hidden="false" customHeight="false" outlineLevel="0" collapsed="false">
      <c r="A427" s="0" t="s">
        <v>114</v>
      </c>
      <c r="B427" s="0" t="s">
        <v>115</v>
      </c>
      <c r="C427" s="0" t="s">
        <v>106</v>
      </c>
      <c r="D427" s="0" t="s">
        <v>135</v>
      </c>
      <c r="E427" s="0" t="n">
        <v>9</v>
      </c>
      <c r="F427" s="0" t="n">
        <v>1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0" t="n">
        <v>2</v>
      </c>
      <c r="S427" s="1"/>
      <c r="T427" s="1"/>
      <c r="U427" s="1"/>
      <c r="V427" s="1"/>
      <c r="W427" s="1"/>
      <c r="X427" s="1"/>
      <c r="Y427" s="5"/>
      <c r="Z427" s="1"/>
    </row>
    <row r="428" customFormat="false" ht="15" hidden="false" customHeight="false" outlineLevel="0" collapsed="false">
      <c r="A428" s="0" t="s">
        <v>116</v>
      </c>
      <c r="B428" s="0" t="s">
        <v>117</v>
      </c>
      <c r="C428" s="0" t="s">
        <v>106</v>
      </c>
      <c r="D428" s="0" t="s">
        <v>135</v>
      </c>
      <c r="E428" s="0" t="n">
        <v>9</v>
      </c>
      <c r="F428" s="0" t="n">
        <v>0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0" t="n">
        <v>3</v>
      </c>
      <c r="S428" s="1"/>
      <c r="T428" s="1"/>
      <c r="U428" s="1"/>
      <c r="V428" s="1"/>
      <c r="W428" s="1"/>
      <c r="X428" s="1"/>
      <c r="Y428" s="5"/>
      <c r="Z428" s="1"/>
    </row>
    <row r="429" customFormat="false" ht="15" hidden="false" customHeight="false" outlineLevel="0" collapsed="false">
      <c r="A429" s="0" t="s">
        <v>118</v>
      </c>
      <c r="B429" s="0" t="s">
        <v>119</v>
      </c>
      <c r="C429" s="0" t="s">
        <v>106</v>
      </c>
      <c r="D429" s="0" t="s">
        <v>135</v>
      </c>
      <c r="E429" s="0" t="n">
        <v>9</v>
      </c>
      <c r="F429" s="0" t="n">
        <v>1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0" t="n">
        <v>9</v>
      </c>
      <c r="S429" s="1"/>
      <c r="T429" s="1"/>
      <c r="U429" s="1"/>
      <c r="V429" s="1"/>
      <c r="W429" s="1"/>
      <c r="X429" s="1"/>
      <c r="Y429" s="5"/>
      <c r="Z429" s="1"/>
    </row>
    <row r="430" customFormat="false" ht="15" hidden="false" customHeight="false" outlineLevel="0" collapsed="false">
      <c r="A430" s="0" t="s">
        <v>120</v>
      </c>
      <c r="B430" s="0" t="s">
        <v>121</v>
      </c>
      <c r="C430" s="0" t="s">
        <v>106</v>
      </c>
      <c r="D430" s="0" t="s">
        <v>135</v>
      </c>
      <c r="E430" s="0" t="n">
        <v>9</v>
      </c>
      <c r="F430" s="0" t="n">
        <v>2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0" t="n">
        <v>2</v>
      </c>
      <c r="S430" s="1"/>
      <c r="T430" s="1"/>
      <c r="U430" s="1"/>
      <c r="V430" s="1"/>
      <c r="W430" s="1"/>
      <c r="X430" s="1"/>
      <c r="Y430" s="5"/>
      <c r="Z430" s="1"/>
    </row>
    <row r="431" customFormat="false" ht="15" hidden="false" customHeight="false" outlineLevel="0" collapsed="false">
      <c r="A431" s="0" t="s">
        <v>122</v>
      </c>
      <c r="B431" s="0" t="s">
        <v>123</v>
      </c>
      <c r="C431" s="0" t="s">
        <v>106</v>
      </c>
      <c r="D431" s="0" t="s">
        <v>135</v>
      </c>
      <c r="E431" s="0" t="n">
        <v>9</v>
      </c>
      <c r="F431" s="0" t="n">
        <v>0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0" t="n">
        <v>5</v>
      </c>
      <c r="S431" s="1"/>
      <c r="T431" s="1"/>
      <c r="U431" s="1"/>
      <c r="V431" s="1"/>
      <c r="W431" s="1"/>
      <c r="X431" s="1"/>
      <c r="Y431" s="5"/>
      <c r="Z431" s="1"/>
    </row>
    <row r="432" customFormat="false" ht="15" hidden="false" customHeight="false" outlineLevel="0" collapsed="false">
      <c r="A432" s="0" t="s">
        <v>124</v>
      </c>
      <c r="B432" s="0" t="s">
        <v>125</v>
      </c>
      <c r="C432" s="0" t="s">
        <v>106</v>
      </c>
      <c r="D432" s="0" t="s">
        <v>135</v>
      </c>
      <c r="E432" s="0" t="n">
        <v>9</v>
      </c>
      <c r="F432" s="0" t="n">
        <v>0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0" t="n">
        <v>3</v>
      </c>
      <c r="S432" s="1"/>
      <c r="T432" s="1"/>
      <c r="U432" s="1"/>
      <c r="V432" s="1"/>
      <c r="W432" s="1"/>
      <c r="X432" s="1"/>
      <c r="Y432" s="5"/>
      <c r="Z432" s="1"/>
    </row>
    <row r="433" customFormat="false" ht="15" hidden="false" customHeight="false" outlineLevel="0" collapsed="false">
      <c r="A433" s="0" t="s">
        <v>126</v>
      </c>
      <c r="B433" s="0" t="s">
        <v>127</v>
      </c>
      <c r="C433" s="0" t="s">
        <v>106</v>
      </c>
      <c r="D433" s="0" t="s">
        <v>135</v>
      </c>
      <c r="E433" s="0" t="n">
        <v>9</v>
      </c>
      <c r="F433" s="0" t="n">
        <v>1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0" t="n">
        <v>8</v>
      </c>
      <c r="S433" s="1"/>
      <c r="T433" s="1"/>
      <c r="U433" s="1"/>
      <c r="V433" s="1"/>
      <c r="W433" s="1"/>
      <c r="X433" s="1"/>
      <c r="Y433" s="5"/>
      <c r="Z433" s="1"/>
    </row>
    <row r="434" customFormat="false" ht="15" hidden="false" customHeight="false" outlineLevel="0" collapsed="false">
      <c r="A434" s="0" t="s">
        <v>26</v>
      </c>
      <c r="B434" s="0" t="s">
        <v>27</v>
      </c>
      <c r="C434" s="0" t="s">
        <v>28</v>
      </c>
      <c r="D434" s="0" t="s">
        <v>136</v>
      </c>
      <c r="E434" s="0" t="n">
        <v>10</v>
      </c>
      <c r="F434" s="0" t="n">
        <v>1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0" t="n">
        <v>3</v>
      </c>
      <c r="S434" s="0" t="n">
        <v>5.2</v>
      </c>
      <c r="T434" s="0" t="n">
        <f aca="false">(S434/55)*5</f>
        <v>0.472727272727273</v>
      </c>
      <c r="V434" s="0" t="n">
        <v>8</v>
      </c>
      <c r="W434" s="0" t="n">
        <v>4</v>
      </c>
      <c r="X434" s="3" t="n">
        <f aca="false">LOOKUP(V434,$AB$3:$AC$123)</f>
        <v>1.0299</v>
      </c>
      <c r="Y434" s="2" t="n">
        <f aca="false">(V434*((W434+T434)/1000)*X434)/((((W434+T434)/1000)*X434)-((W434/1000)*0.9982))</f>
        <v>60.0521222823351</v>
      </c>
      <c r="Z434" s="3" t="n">
        <f aca="false">X434*(V434/100)*((W434+T434)/1000)*1000</f>
        <v>0.368516945454545</v>
      </c>
    </row>
    <row r="435" customFormat="false" ht="15" hidden="false" customHeight="false" outlineLevel="0" collapsed="false">
      <c r="A435" s="0" t="s">
        <v>32</v>
      </c>
      <c r="B435" s="0" t="s">
        <v>33</v>
      </c>
      <c r="C435" s="0" t="s">
        <v>28</v>
      </c>
      <c r="D435" s="0" t="s">
        <v>136</v>
      </c>
      <c r="E435" s="0" t="n">
        <v>10</v>
      </c>
      <c r="F435" s="0" t="n">
        <v>4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0" t="n">
        <v>3</v>
      </c>
      <c r="S435" s="0" t="n">
        <v>5.6</v>
      </c>
      <c r="T435" s="0" t="n">
        <f aca="false">(S435/55)*5</f>
        <v>0.509090909090909</v>
      </c>
      <c r="V435" s="0" t="n">
        <v>9</v>
      </c>
      <c r="W435" s="0" t="n">
        <v>4</v>
      </c>
      <c r="X435" s="3" t="n">
        <f aca="false">LOOKUP(V435,$AB$3:$AC$123)</f>
        <v>1.0341</v>
      </c>
      <c r="Y435" s="2" t="n">
        <f aca="false">(V435*((W435+T435)/1000)*X435)/((((W435+T435)/1000)*X435)-((W435/1000)*0.9982))</f>
        <v>62.6305518169583</v>
      </c>
      <c r="Z435" s="3" t="n">
        <f aca="false">X435*(V435/100)*((W435+T435)/1000)*1000</f>
        <v>0.419656581818182</v>
      </c>
    </row>
    <row r="436" customFormat="false" ht="15" hidden="false" customHeight="false" outlineLevel="0" collapsed="false">
      <c r="A436" s="0" t="s">
        <v>34</v>
      </c>
      <c r="B436" s="0" t="s">
        <v>35</v>
      </c>
      <c r="C436" s="0" t="s">
        <v>28</v>
      </c>
      <c r="D436" s="0" t="s">
        <v>136</v>
      </c>
      <c r="E436" s="0" t="n">
        <v>10</v>
      </c>
      <c r="F436" s="0" t="n">
        <v>0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0" t="n">
        <v>2</v>
      </c>
      <c r="S436" s="0" t="n">
        <v>6.7</v>
      </c>
      <c r="T436" s="0" t="n">
        <f aca="false">(S436/55)*5</f>
        <v>0.609090909090909</v>
      </c>
      <c r="V436" s="0" t="n">
        <v>9.5</v>
      </c>
      <c r="W436" s="0" t="n">
        <v>4</v>
      </c>
      <c r="X436" s="3" t="n">
        <f aca="false">LOOKUP(V436,$AB$3:$AC$123)</f>
        <v>1.0361</v>
      </c>
      <c r="Y436" s="2" t="n">
        <f aca="false">(V436*((W436+T436)/1000)*X436)/((((W436+T436)/1000)*X436)-((W436/1000)*0.9982))</f>
        <v>57.9637962615586</v>
      </c>
      <c r="Z436" s="3" t="n">
        <f aca="false">X436*(V436/100)*((W436+T436)/1000)*1000</f>
        <v>0.453670513636363</v>
      </c>
    </row>
    <row r="437" customFormat="false" ht="15" hidden="false" customHeight="false" outlineLevel="0" collapsed="false">
      <c r="A437" s="0" t="s">
        <v>36</v>
      </c>
      <c r="B437" s="0" t="s">
        <v>37</v>
      </c>
      <c r="C437" s="0" t="s">
        <v>28</v>
      </c>
      <c r="D437" s="0" t="s">
        <v>136</v>
      </c>
      <c r="E437" s="0" t="n">
        <v>10</v>
      </c>
      <c r="F437" s="0" t="n">
        <v>1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0" t="n">
        <v>3</v>
      </c>
      <c r="S437" s="0" t="n">
        <v>7.8</v>
      </c>
      <c r="T437" s="0" t="n">
        <f aca="false">(S437/55)*5</f>
        <v>0.709090909090909</v>
      </c>
      <c r="V437" s="0" t="n">
        <v>6.5</v>
      </c>
      <c r="W437" s="0" t="n">
        <v>4</v>
      </c>
      <c r="X437" s="3" t="n">
        <f aca="false">LOOKUP(V437,$AB$3:$AC$123)</f>
        <v>1.02385</v>
      </c>
      <c r="Y437" s="2" t="n">
        <f aca="false">(V437*((W437+T437)/1000)*X437)/((((W437+T437)/1000)*X437)-((W437/1000)*0.9982))</f>
        <v>37.8216444331805</v>
      </c>
      <c r="Z437" s="3" t="n">
        <f aca="false">X437*(V437/100)*((W437+T437)/1000)*1000</f>
        <v>0.313391177272727</v>
      </c>
    </row>
    <row r="438" customFormat="false" ht="15" hidden="false" customHeight="false" outlineLevel="0" collapsed="false">
      <c r="A438" s="0" t="s">
        <v>38</v>
      </c>
      <c r="B438" s="0" t="s">
        <v>39</v>
      </c>
      <c r="C438" s="0" t="s">
        <v>28</v>
      </c>
      <c r="D438" s="0" t="s">
        <v>136</v>
      </c>
      <c r="E438" s="0" t="n">
        <v>10</v>
      </c>
      <c r="F438" s="0" t="n">
        <v>2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0" t="n">
        <v>4</v>
      </c>
      <c r="S438" s="0" t="n">
        <v>7.5</v>
      </c>
      <c r="T438" s="0" t="n">
        <f aca="false">(S438/55)*5</f>
        <v>0.681818181818182</v>
      </c>
      <c r="V438" s="0" t="n">
        <v>5</v>
      </c>
      <c r="W438" s="0" t="n">
        <v>4</v>
      </c>
      <c r="X438" s="3" t="n">
        <f aca="false">LOOKUP(V438,$AB$3:$AC$123)</f>
        <v>1.0179</v>
      </c>
      <c r="Y438" s="2" t="n">
        <f aca="false">(V438*((W438+T438)/1000)*X438)/((((W438+T438)/1000)*X438)-((W438/1000)*0.9982))</f>
        <v>30.8325736232583</v>
      </c>
      <c r="Z438" s="3" t="n">
        <f aca="false">X438*(V438/100)*((W438+T438)/1000)*1000</f>
        <v>0.238281136363636</v>
      </c>
    </row>
    <row r="439" customFormat="false" ht="15" hidden="false" customHeight="false" outlineLevel="0" collapsed="false">
      <c r="A439" s="0" t="s">
        <v>40</v>
      </c>
      <c r="B439" s="0" t="s">
        <v>41</v>
      </c>
      <c r="C439" s="0" t="s">
        <v>28</v>
      </c>
      <c r="D439" s="0" t="s">
        <v>136</v>
      </c>
      <c r="E439" s="0" t="n">
        <v>10</v>
      </c>
      <c r="F439" s="0" t="n">
        <v>0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0" t="n">
        <v>2</v>
      </c>
      <c r="S439" s="0" t="n">
        <v>2.2</v>
      </c>
      <c r="T439" s="0" t="n">
        <f aca="false">(S439/55)*5</f>
        <v>0.2</v>
      </c>
      <c r="V439" s="0" t="n">
        <v>11</v>
      </c>
      <c r="W439" s="0" t="n">
        <v>1</v>
      </c>
      <c r="X439" s="3" t="n">
        <f aca="false">LOOKUP(V439,$AB$3:$AC$123)</f>
        <v>1.0423</v>
      </c>
      <c r="Y439" s="2" t="n">
        <f aca="false">(V439*((W439+T439)/1000)*X439)/((((W439+T439)/1000)*X439)-((W439/1000)*0.9982))</f>
        <v>54.4756097560976</v>
      </c>
      <c r="Z439" s="3" t="n">
        <f aca="false">X439*(V439/100)*((W439+T439)/1000)*1000</f>
        <v>0.1375836</v>
      </c>
    </row>
    <row r="440" customFormat="false" ht="15" hidden="false" customHeight="false" outlineLevel="0" collapsed="false">
      <c r="A440" s="0" t="s">
        <v>42</v>
      </c>
      <c r="B440" s="0" t="s">
        <v>43</v>
      </c>
      <c r="C440" s="0" t="s">
        <v>28</v>
      </c>
      <c r="D440" s="0" t="s">
        <v>136</v>
      </c>
      <c r="E440" s="0" t="n">
        <v>10</v>
      </c>
      <c r="F440" s="0" t="n">
        <v>0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0" t="n">
        <v>1</v>
      </c>
      <c r="S440" s="0" t="n">
        <v>3.6</v>
      </c>
      <c r="T440" s="0" t="n">
        <f aca="false">(S440/55)*5</f>
        <v>0.327272727272727</v>
      </c>
      <c r="V440" s="0" t="n">
        <v>3</v>
      </c>
      <c r="W440" s="0" t="n">
        <v>4</v>
      </c>
      <c r="X440" s="3" t="n">
        <f aca="false">LOOKUP(V440,$AB$3:$AC$123)</f>
        <v>1.0099</v>
      </c>
      <c r="Y440" s="2" t="n">
        <f aca="false">(V440*((W440+T440)/1000)*X440)/((((W440+T440)/1000)*X440)-((W440/1000)*0.9982))</f>
        <v>34.7466099979762</v>
      </c>
      <c r="Z440" s="3" t="n">
        <f aca="false">X440*(V440/100)*((W440+T440)/1000)*1000</f>
        <v>0.131103381818182</v>
      </c>
    </row>
    <row r="441" customFormat="false" ht="15" hidden="false" customHeight="false" outlineLevel="0" collapsed="false">
      <c r="A441" s="0" t="s">
        <v>44</v>
      </c>
      <c r="B441" s="0" t="s">
        <v>45</v>
      </c>
      <c r="C441" s="0" t="s">
        <v>28</v>
      </c>
      <c r="D441" s="0" t="s">
        <v>136</v>
      </c>
      <c r="E441" s="0" t="n">
        <v>10</v>
      </c>
      <c r="F441" s="0" t="n">
        <v>0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0" t="n">
        <v>4</v>
      </c>
      <c r="S441" s="0" t="n">
        <v>8.7</v>
      </c>
      <c r="T441" s="0" t="n">
        <f aca="false">(S441/55)*5</f>
        <v>0.790909090909091</v>
      </c>
      <c r="V441" s="0" t="n">
        <v>5.5</v>
      </c>
      <c r="W441" s="0" t="n">
        <v>4</v>
      </c>
      <c r="X441" s="3" t="n">
        <f aca="false">LOOKUP(V441,$AB$3:$AC$123)</f>
        <v>1.01985</v>
      </c>
      <c r="Y441" s="2" t="n">
        <f aca="false">(V441*((W441+T441)/1000)*X441)/((((W441+T441)/1000)*X441)-((W441/1000)*0.9982))</f>
        <v>30.0859691744625</v>
      </c>
      <c r="Z441" s="3" t="n">
        <f aca="false">X441*(V441/100)*((W441+T441)/1000)*1000</f>
        <v>0.268730475</v>
      </c>
    </row>
    <row r="442" customFormat="false" ht="15" hidden="false" customHeight="false" outlineLevel="0" collapsed="false">
      <c r="A442" s="0" t="s">
        <v>46</v>
      </c>
      <c r="B442" s="0" t="s">
        <v>47</v>
      </c>
      <c r="C442" s="0" t="s">
        <v>28</v>
      </c>
      <c r="D442" s="0" t="s">
        <v>136</v>
      </c>
      <c r="E442" s="0" t="n">
        <v>10</v>
      </c>
      <c r="F442" s="0" t="n">
        <v>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0" t="n">
        <v>3</v>
      </c>
      <c r="S442" s="0" t="n">
        <v>0.5</v>
      </c>
      <c r="T442" s="0" t="n">
        <f aca="false">(S442/55)*5</f>
        <v>0.0454545454545455</v>
      </c>
      <c r="V442" s="0" t="n">
        <v>0.5</v>
      </c>
      <c r="W442" s="0" t="n">
        <v>1</v>
      </c>
      <c r="X442" s="3" t="n">
        <f aca="false">LOOKUP(V442,$AB$3:$AC$123)</f>
        <v>1.00015</v>
      </c>
      <c r="Y442" s="2" t="n">
        <f aca="false">(V442*((W442+T442)/1000)*X442)/((((W442+T442)/1000)*X442)-((W442/1000)*0.9982))</f>
        <v>11.0270121278942</v>
      </c>
      <c r="Z442" s="3" t="n">
        <f aca="false">X442*(V442/100)*((W442+T442)/1000)*1000</f>
        <v>0.00522805681818182</v>
      </c>
    </row>
    <row r="443" customFormat="false" ht="15" hidden="false" customHeight="false" outlineLevel="0" collapsed="false">
      <c r="A443" s="0" t="s">
        <v>48</v>
      </c>
      <c r="B443" s="0" t="s">
        <v>49</v>
      </c>
      <c r="C443" s="0" t="s">
        <v>28</v>
      </c>
      <c r="D443" s="0" t="s">
        <v>136</v>
      </c>
      <c r="E443" s="0" t="n">
        <v>10</v>
      </c>
      <c r="F443" s="0" t="n">
        <v>1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0" t="n">
        <v>1</v>
      </c>
      <c r="S443" s="0" t="n">
        <v>0.1</v>
      </c>
      <c r="T443" s="0" t="n">
        <f aca="false">(S443/55)*5</f>
        <v>0.00909090909090909</v>
      </c>
      <c r="V443" s="0" t="n">
        <v>0.5</v>
      </c>
      <c r="W443" s="0" t="n">
        <v>1</v>
      </c>
      <c r="X443" s="3" t="n">
        <f aca="false">LOOKUP(V443,$AB$3:$AC$123)</f>
        <v>1.00015</v>
      </c>
      <c r="Y443" s="2" t="n">
        <f aca="false">(V443*((W443+T443)/1000)*X443)/((((W443+T443)/1000)*X443)-((W443/1000)*0.9982))</f>
        <v>45.6990285267358</v>
      </c>
      <c r="Z443" s="3" t="n">
        <f aca="false">X443*(V443/100)*((W443+T443)/1000)*1000</f>
        <v>0.00504621136363637</v>
      </c>
    </row>
    <row r="444" customFormat="false" ht="15" hidden="false" customHeight="false" outlineLevel="0" collapsed="false">
      <c r="A444" s="0" t="s">
        <v>50</v>
      </c>
      <c r="B444" s="0" t="s">
        <v>51</v>
      </c>
      <c r="C444" s="0" t="s">
        <v>28</v>
      </c>
      <c r="D444" s="0" t="s">
        <v>136</v>
      </c>
      <c r="E444" s="0" t="n">
        <v>10</v>
      </c>
      <c r="F444" s="0" t="n">
        <v>1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0" t="n">
        <v>3</v>
      </c>
      <c r="S444" s="0" t="n">
        <v>3.3</v>
      </c>
      <c r="T444" s="0" t="n">
        <f aca="false">(S444/55)*5</f>
        <v>0.3</v>
      </c>
      <c r="V444" s="0" t="n">
        <v>3</v>
      </c>
      <c r="W444" s="0" t="n">
        <v>4</v>
      </c>
      <c r="X444" s="3" t="n">
        <f aca="false">LOOKUP(V444,$AB$3:$AC$123)</f>
        <v>1.0099</v>
      </c>
      <c r="Y444" s="2" t="n">
        <f aca="false">(V444*((W444+T444)/1000)*X444)/((((W444+T444)/1000)*X444)-((W444/1000)*0.9982))</f>
        <v>37.2465048460417</v>
      </c>
      <c r="Z444" s="3" t="n">
        <f aca="false">X444*(V444/100)*((W444+T444)/1000)*1000</f>
        <v>0.1302771</v>
      </c>
    </row>
    <row r="445" customFormat="false" ht="15" hidden="false" customHeight="false" outlineLevel="0" collapsed="false">
      <c r="A445" s="0" t="s">
        <v>52</v>
      </c>
      <c r="B445" s="0" t="s">
        <v>53</v>
      </c>
      <c r="C445" s="0" t="s">
        <v>28</v>
      </c>
      <c r="D445" s="0" t="s">
        <v>136</v>
      </c>
      <c r="E445" s="0" t="n">
        <v>10</v>
      </c>
      <c r="F445" s="0" t="n">
        <v>1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0" t="n">
        <v>2</v>
      </c>
      <c r="S445" s="0" t="n">
        <v>0.3</v>
      </c>
      <c r="T445" s="0" t="n">
        <f aca="false">(S445/55)*5</f>
        <v>0.0272727272727273</v>
      </c>
      <c r="V445" s="0" t="n">
        <v>1</v>
      </c>
      <c r="W445" s="0" t="n">
        <v>1</v>
      </c>
      <c r="X445" s="3" t="n">
        <f aca="false">LOOKUP(V445,$AB$3:$AC$123)</f>
        <v>1.0021</v>
      </c>
      <c r="Y445" s="2" t="n">
        <f aca="false">(V445*((W445+T445)/1000)*X445)/((((W445+T445)/1000)*X445)-((W445/1000)*0.9982))</f>
        <v>32.962856227986</v>
      </c>
      <c r="Z445" s="3" t="n">
        <f aca="false">X445*(V445/100)*((W445+T445)/1000)*1000</f>
        <v>0.0102943</v>
      </c>
    </row>
    <row r="446" customFormat="false" ht="15" hidden="false" customHeight="false" outlineLevel="0" collapsed="false">
      <c r="A446" s="0" t="s">
        <v>54</v>
      </c>
      <c r="B446" s="0" t="s">
        <v>55</v>
      </c>
      <c r="C446" s="0" t="s">
        <v>56</v>
      </c>
      <c r="D446" s="0" t="s">
        <v>136</v>
      </c>
      <c r="E446" s="0" t="n">
        <v>10</v>
      </c>
      <c r="F446" s="0" t="n">
        <v>1</v>
      </c>
      <c r="G446" s="1"/>
      <c r="H446" s="1"/>
      <c r="I446" s="0" t="n">
        <f aca="false">69.1+96.5</f>
        <v>165.6</v>
      </c>
      <c r="J446" s="0" t="n">
        <f aca="false">(I446/55)*5</f>
        <v>15.0545454545455</v>
      </c>
      <c r="L446" s="0" t="n">
        <v>17</v>
      </c>
      <c r="M446" s="0" t="n">
        <v>0</v>
      </c>
      <c r="N446" s="0" t="n">
        <f aca="false">L446</f>
        <v>17</v>
      </c>
      <c r="O446" s="3" t="n">
        <f aca="false">LOOKUP(N446,$AB$3:$AC$123)</f>
        <v>1.0678</v>
      </c>
      <c r="P446" s="3" t="n">
        <f aca="false">(O446*(N446/100)*(J446/1000))*1000</f>
        <v>2.73279141818182</v>
      </c>
      <c r="Q446" s="3"/>
      <c r="R446" s="1"/>
      <c r="S446" s="1"/>
      <c r="T446" s="1"/>
      <c r="U446" s="1"/>
      <c r="V446" s="1"/>
      <c r="W446" s="1"/>
      <c r="X446" s="1"/>
      <c r="Y446" s="5"/>
      <c r="Z446" s="1"/>
    </row>
    <row r="447" customFormat="false" ht="15" hidden="false" customHeight="false" outlineLevel="0" collapsed="false">
      <c r="A447" s="0" t="s">
        <v>57</v>
      </c>
      <c r="B447" s="0" t="s">
        <v>58</v>
      </c>
      <c r="C447" s="0" t="s">
        <v>56</v>
      </c>
      <c r="D447" s="0" t="s">
        <v>136</v>
      </c>
      <c r="E447" s="0" t="n">
        <v>10</v>
      </c>
      <c r="F447" s="0" t="n">
        <v>0</v>
      </c>
      <c r="G447" s="1"/>
      <c r="H447" s="1"/>
      <c r="I447" s="0" t="n">
        <v>0</v>
      </c>
      <c r="J447" s="0" t="n">
        <f aca="false">(I447/55)*5</f>
        <v>0</v>
      </c>
      <c r="L447" s="0" t="n">
        <v>0</v>
      </c>
      <c r="M447" s="0" t="n">
        <v>0</v>
      </c>
      <c r="N447" s="0" t="n">
        <f aca="false">L447</f>
        <v>0</v>
      </c>
      <c r="O447" s="3" t="n">
        <f aca="false">LOOKUP(N447,$AB$3:$AC$123)</f>
        <v>0.9982</v>
      </c>
      <c r="P447" s="3" t="n">
        <f aca="false">(O447*(N447/100)*(J447/1000))*1000</f>
        <v>0</v>
      </c>
      <c r="Q447" s="3"/>
      <c r="R447" s="1"/>
      <c r="S447" s="1"/>
      <c r="T447" s="1"/>
      <c r="U447" s="1"/>
      <c r="V447" s="1"/>
      <c r="W447" s="1"/>
      <c r="X447" s="1"/>
      <c r="Y447" s="5"/>
      <c r="Z447" s="1"/>
    </row>
    <row r="448" customFormat="false" ht="15" hidden="false" customHeight="false" outlineLevel="0" collapsed="false">
      <c r="A448" s="0" t="s">
        <v>59</v>
      </c>
      <c r="B448" s="0" t="s">
        <v>60</v>
      </c>
      <c r="C448" s="0" t="s">
        <v>56</v>
      </c>
      <c r="D448" s="0" t="s">
        <v>136</v>
      </c>
      <c r="E448" s="0" t="n">
        <v>10</v>
      </c>
      <c r="F448" s="0" t="n">
        <v>4</v>
      </c>
      <c r="G448" s="1"/>
      <c r="H448" s="1"/>
      <c r="I448" s="0" t="n">
        <f aca="false">70.7+68.9+106.8</f>
        <v>246.4</v>
      </c>
      <c r="J448" s="0" t="n">
        <f aca="false">(I448/55)*5</f>
        <v>22.4</v>
      </c>
      <c r="L448" s="0" t="n">
        <v>21.5</v>
      </c>
      <c r="M448" s="0" t="n">
        <v>0</v>
      </c>
      <c r="N448" s="0" t="n">
        <f aca="false">L448</f>
        <v>21.5</v>
      </c>
      <c r="O448" s="3" t="n">
        <f aca="false">LOOKUP(N448,$AB$3:$AC$123)</f>
        <v>1.087675</v>
      </c>
      <c r="P448" s="3" t="n">
        <f aca="false">(O448*(N448/100)*(J448/1000))*1000</f>
        <v>5.2382428</v>
      </c>
      <c r="Q448" s="3"/>
      <c r="R448" s="1"/>
      <c r="S448" s="1"/>
      <c r="T448" s="1"/>
      <c r="U448" s="1"/>
      <c r="V448" s="1"/>
      <c r="W448" s="1"/>
      <c r="X448" s="1"/>
      <c r="Y448" s="5"/>
      <c r="Z448" s="1"/>
    </row>
    <row r="449" customFormat="false" ht="15" hidden="false" customHeight="false" outlineLevel="0" collapsed="false">
      <c r="A449" s="0" t="s">
        <v>61</v>
      </c>
      <c r="B449" s="0" t="s">
        <v>62</v>
      </c>
      <c r="C449" s="0" t="s">
        <v>56</v>
      </c>
      <c r="D449" s="0" t="s">
        <v>136</v>
      </c>
      <c r="E449" s="0" t="n">
        <v>10</v>
      </c>
      <c r="F449" s="0" t="n">
        <v>0</v>
      </c>
      <c r="G449" s="1"/>
      <c r="H449" s="1"/>
      <c r="I449" s="0" t="n">
        <v>0</v>
      </c>
      <c r="J449" s="0" t="n">
        <f aca="false">(I449/55)*5</f>
        <v>0</v>
      </c>
      <c r="L449" s="0" t="n">
        <v>0</v>
      </c>
      <c r="M449" s="0" t="n">
        <v>0</v>
      </c>
      <c r="N449" s="0" t="n">
        <f aca="false">L449</f>
        <v>0</v>
      </c>
      <c r="O449" s="3" t="n">
        <f aca="false">LOOKUP(N449,$AB$3:$AC$123)</f>
        <v>0.9982</v>
      </c>
      <c r="P449" s="3" t="n">
        <f aca="false">(O449*(N449/100)*(J449/1000))*1000</f>
        <v>0</v>
      </c>
      <c r="Q449" s="3"/>
      <c r="R449" s="1"/>
      <c r="S449" s="1"/>
      <c r="T449" s="1"/>
      <c r="U449" s="1"/>
      <c r="V449" s="1"/>
      <c r="W449" s="1"/>
      <c r="X449" s="1"/>
      <c r="Y449" s="5"/>
      <c r="Z449" s="1"/>
    </row>
    <row r="450" customFormat="false" ht="15" hidden="false" customHeight="false" outlineLevel="0" collapsed="false">
      <c r="A450" s="0" t="s">
        <v>63</v>
      </c>
      <c r="B450" s="0" t="s">
        <v>64</v>
      </c>
      <c r="C450" s="0" t="s">
        <v>56</v>
      </c>
      <c r="D450" s="0" t="s">
        <v>136</v>
      </c>
      <c r="E450" s="0" t="n">
        <v>10</v>
      </c>
      <c r="F450" s="0" t="n">
        <v>0</v>
      </c>
      <c r="G450" s="1"/>
      <c r="H450" s="1"/>
      <c r="I450" s="0" t="n">
        <v>0</v>
      </c>
      <c r="J450" s="0" t="n">
        <f aca="false">(I450/55)*5</f>
        <v>0</v>
      </c>
      <c r="L450" s="0" t="n">
        <v>0</v>
      </c>
      <c r="M450" s="0" t="n">
        <v>0</v>
      </c>
      <c r="N450" s="0" t="n">
        <f aca="false">L450</f>
        <v>0</v>
      </c>
      <c r="O450" s="3" t="n">
        <f aca="false">LOOKUP(N450,$AB$3:$AC$123)</f>
        <v>0.9982</v>
      </c>
      <c r="P450" s="3" t="n">
        <f aca="false">(O450*(N450/100)*(J450/1000))*1000</f>
        <v>0</v>
      </c>
      <c r="Q450" s="3"/>
      <c r="R450" s="1"/>
      <c r="S450" s="1"/>
      <c r="T450" s="1"/>
      <c r="U450" s="1"/>
      <c r="V450" s="1"/>
      <c r="W450" s="1"/>
      <c r="X450" s="1"/>
      <c r="Y450" s="5"/>
      <c r="Z450" s="1"/>
    </row>
    <row r="451" customFormat="false" ht="15" hidden="false" customHeight="false" outlineLevel="0" collapsed="false">
      <c r="A451" s="0" t="s">
        <v>65</v>
      </c>
      <c r="B451" s="0" t="s">
        <v>66</v>
      </c>
      <c r="C451" s="0" t="s">
        <v>56</v>
      </c>
      <c r="D451" s="0" t="s">
        <v>136</v>
      </c>
      <c r="E451" s="0" t="n">
        <v>10</v>
      </c>
      <c r="F451" s="0" t="n">
        <v>1</v>
      </c>
      <c r="G451" s="1"/>
      <c r="H451" s="1"/>
      <c r="I451" s="0" t="n">
        <v>97.3</v>
      </c>
      <c r="J451" s="0" t="n">
        <f aca="false">(I451/55)*5</f>
        <v>8.84545454545455</v>
      </c>
      <c r="L451" s="0" t="n">
        <v>23.5</v>
      </c>
      <c r="M451" s="0" t="n">
        <v>0</v>
      </c>
      <c r="N451" s="0" t="n">
        <f aca="false">L451</f>
        <v>23.5</v>
      </c>
      <c r="O451" s="3" t="n">
        <f aca="false">LOOKUP(N451,$AB$3:$AC$123)</f>
        <v>1.096725</v>
      </c>
      <c r="P451" s="3" t="n">
        <f aca="false">(O451*(N451/100)*(J451/1000))*1000</f>
        <v>2.27974231704545</v>
      </c>
      <c r="Q451" s="3"/>
      <c r="R451" s="1"/>
      <c r="S451" s="1"/>
      <c r="T451" s="1"/>
      <c r="U451" s="1"/>
      <c r="V451" s="1"/>
      <c r="W451" s="1"/>
      <c r="X451" s="1"/>
      <c r="Y451" s="5"/>
      <c r="Z451" s="1"/>
    </row>
    <row r="452" customFormat="false" ht="15" hidden="false" customHeight="false" outlineLevel="0" collapsed="false">
      <c r="A452" s="0" t="s">
        <v>67</v>
      </c>
      <c r="B452" s="0" t="s">
        <v>68</v>
      </c>
      <c r="C452" s="0" t="s">
        <v>56</v>
      </c>
      <c r="D452" s="0" t="s">
        <v>136</v>
      </c>
      <c r="E452" s="0" t="n">
        <v>10</v>
      </c>
      <c r="F452" s="0" t="n">
        <v>2</v>
      </c>
      <c r="G452" s="1"/>
      <c r="H452" s="1"/>
      <c r="I452" s="0" t="n">
        <f aca="false">15.7+77.2+26.3</f>
        <v>119.2</v>
      </c>
      <c r="J452" s="0" t="n">
        <f aca="false">(I452/55)*5</f>
        <v>10.8363636363636</v>
      </c>
      <c r="L452" s="0" t="n">
        <v>26</v>
      </c>
      <c r="M452" s="0" t="n">
        <v>0</v>
      </c>
      <c r="N452" s="0" t="n">
        <f aca="false">L452</f>
        <v>26</v>
      </c>
      <c r="O452" s="3" t="n">
        <f aca="false">LOOKUP(N452,$AB$3:$AC$123)</f>
        <v>1.1081</v>
      </c>
      <c r="P452" s="3" t="n">
        <f aca="false">(O452*(N452/100)*(J452/1000))*1000</f>
        <v>3.12202138181818</v>
      </c>
      <c r="Q452" s="3"/>
      <c r="R452" s="1"/>
      <c r="S452" s="1"/>
      <c r="T452" s="1"/>
      <c r="U452" s="1"/>
      <c r="V452" s="1"/>
      <c r="W452" s="1"/>
      <c r="X452" s="1"/>
      <c r="Y452" s="5"/>
      <c r="Z452" s="1"/>
    </row>
    <row r="453" customFormat="false" ht="15" hidden="false" customHeight="false" outlineLevel="0" collapsed="false">
      <c r="A453" s="0" t="s">
        <v>69</v>
      </c>
      <c r="B453" s="0" t="s">
        <v>70</v>
      </c>
      <c r="C453" s="0" t="s">
        <v>56</v>
      </c>
      <c r="D453" s="0" t="s">
        <v>136</v>
      </c>
      <c r="E453" s="0" t="n">
        <v>10</v>
      </c>
      <c r="F453" s="0" t="n">
        <v>2</v>
      </c>
      <c r="G453" s="1"/>
      <c r="H453" s="1"/>
      <c r="I453" s="0" t="n">
        <f aca="false">63+97</f>
        <v>160</v>
      </c>
      <c r="J453" s="0" t="n">
        <f aca="false">(I453/55)*5</f>
        <v>14.5454545454545</v>
      </c>
      <c r="L453" s="0" t="n">
        <v>21</v>
      </c>
      <c r="M453" s="0" t="n">
        <v>0</v>
      </c>
      <c r="N453" s="0" t="n">
        <f aca="false">L453</f>
        <v>21</v>
      </c>
      <c r="O453" s="3" t="n">
        <f aca="false">LOOKUP(N453,$AB$3:$AC$123)</f>
        <v>1.08545</v>
      </c>
      <c r="P453" s="3" t="n">
        <f aca="false">(O453*(N453/100)*(J453/1000))*1000</f>
        <v>3.31555636363636</v>
      </c>
      <c r="Q453" s="3"/>
      <c r="R453" s="1"/>
      <c r="S453" s="1"/>
      <c r="T453" s="1"/>
      <c r="U453" s="1"/>
      <c r="V453" s="1"/>
      <c r="W453" s="1"/>
      <c r="X453" s="1"/>
      <c r="Y453" s="5"/>
      <c r="Z453" s="1"/>
    </row>
    <row r="454" customFormat="false" ht="15" hidden="false" customHeight="false" outlineLevel="0" collapsed="false">
      <c r="A454" s="0" t="s">
        <v>71</v>
      </c>
      <c r="B454" s="0" t="s">
        <v>72</v>
      </c>
      <c r="C454" s="0" t="s">
        <v>56</v>
      </c>
      <c r="D454" s="0" t="s">
        <v>136</v>
      </c>
      <c r="E454" s="0" t="n">
        <v>10</v>
      </c>
      <c r="F454" s="0" t="n">
        <v>0</v>
      </c>
      <c r="G454" s="1"/>
      <c r="H454" s="1"/>
      <c r="I454" s="0" t="n">
        <v>0</v>
      </c>
      <c r="J454" s="0" t="n">
        <f aca="false">(I454/55)*5</f>
        <v>0</v>
      </c>
      <c r="L454" s="0" t="n">
        <v>0</v>
      </c>
      <c r="M454" s="0" t="n">
        <v>0</v>
      </c>
      <c r="N454" s="0" t="n">
        <f aca="false">L454</f>
        <v>0</v>
      </c>
      <c r="O454" s="3" t="n">
        <v>0</v>
      </c>
      <c r="P454" s="3" t="n">
        <f aca="false">(O454*(N454/100)*(J454/1000))*1000</f>
        <v>0</v>
      </c>
      <c r="Q454" s="3"/>
      <c r="R454" s="1"/>
      <c r="S454" s="1"/>
      <c r="T454" s="1"/>
      <c r="U454" s="1"/>
      <c r="V454" s="1"/>
      <c r="W454" s="1"/>
      <c r="X454" s="1"/>
      <c r="Y454" s="5"/>
      <c r="Z454" s="1"/>
    </row>
    <row r="455" customFormat="false" ht="15" hidden="false" customHeight="false" outlineLevel="0" collapsed="false">
      <c r="A455" s="0" t="s">
        <v>73</v>
      </c>
      <c r="B455" s="0" t="s">
        <v>74</v>
      </c>
      <c r="C455" s="0" t="s">
        <v>56</v>
      </c>
      <c r="D455" s="0" t="s">
        <v>136</v>
      </c>
      <c r="E455" s="0" t="n">
        <v>10</v>
      </c>
      <c r="F455" s="0" t="n">
        <v>1</v>
      </c>
      <c r="G455" s="1"/>
      <c r="H455" s="1"/>
      <c r="I455" s="0" t="n">
        <f aca="false">11.3+107.5</f>
        <v>118.8</v>
      </c>
      <c r="J455" s="0" t="n">
        <f aca="false">(I455/55)*5</f>
        <v>10.8</v>
      </c>
      <c r="L455" s="0" t="n">
        <v>16</v>
      </c>
      <c r="M455" s="0" t="n">
        <v>0</v>
      </c>
      <c r="N455" s="0" t="n">
        <f aca="false">L455</f>
        <v>16</v>
      </c>
      <c r="O455" s="3" t="n">
        <f aca="false">LOOKUP(N455,$AB$3:$AC$123)</f>
        <v>1.0635</v>
      </c>
      <c r="P455" s="3" t="n">
        <f aca="false">(O455*(N455/100)*(J455/1000))*1000</f>
        <v>1.837728</v>
      </c>
      <c r="Q455" s="3"/>
      <c r="R455" s="1"/>
      <c r="S455" s="1"/>
      <c r="T455" s="1"/>
      <c r="U455" s="1"/>
      <c r="V455" s="1"/>
      <c r="W455" s="1"/>
      <c r="X455" s="1"/>
      <c r="Y455" s="5"/>
      <c r="Z455" s="1"/>
    </row>
    <row r="456" customFormat="false" ht="15" hidden="false" customHeight="false" outlineLevel="0" collapsed="false">
      <c r="A456" s="0" t="s">
        <v>75</v>
      </c>
      <c r="B456" s="0" t="s">
        <v>76</v>
      </c>
      <c r="C456" s="0" t="s">
        <v>56</v>
      </c>
      <c r="D456" s="0" t="s">
        <v>136</v>
      </c>
      <c r="E456" s="0" t="n">
        <v>10</v>
      </c>
      <c r="F456" s="0" t="n">
        <v>1</v>
      </c>
      <c r="G456" s="1"/>
      <c r="H456" s="1"/>
      <c r="I456" s="0" t="n">
        <v>104</v>
      </c>
      <c r="J456" s="0" t="n">
        <f aca="false">(I456/55)*5</f>
        <v>9.45454545454546</v>
      </c>
      <c r="L456" s="0" t="n">
        <v>25</v>
      </c>
      <c r="M456" s="0" t="n">
        <v>0</v>
      </c>
      <c r="N456" s="0" t="n">
        <f aca="false">L456</f>
        <v>25</v>
      </c>
      <c r="O456" s="3" t="n">
        <f aca="false">LOOKUP(N456,$AB$3:$AC$123)</f>
        <v>1.10355</v>
      </c>
      <c r="P456" s="3" t="n">
        <f aca="false">(O456*(N456/100)*(J456/1000))*1000</f>
        <v>2.60839090909091</v>
      </c>
      <c r="Q456" s="3"/>
      <c r="R456" s="1"/>
      <c r="S456" s="1"/>
      <c r="T456" s="1"/>
      <c r="U456" s="1"/>
      <c r="V456" s="1"/>
      <c r="W456" s="1"/>
      <c r="X456" s="1"/>
      <c r="Y456" s="5"/>
      <c r="Z456" s="1"/>
    </row>
    <row r="457" customFormat="false" ht="15" hidden="false" customHeight="false" outlineLevel="0" collapsed="false">
      <c r="A457" s="0" t="s">
        <v>77</v>
      </c>
      <c r="B457" s="0" t="s">
        <v>78</v>
      </c>
      <c r="C457" s="0" t="s">
        <v>56</v>
      </c>
      <c r="D457" s="0" t="s">
        <v>136</v>
      </c>
      <c r="E457" s="0" t="n">
        <v>10</v>
      </c>
      <c r="F457" s="0" t="n">
        <v>2</v>
      </c>
      <c r="G457" s="1"/>
      <c r="H457" s="1"/>
      <c r="I457" s="0" t="n">
        <f aca="false">15.8+98.4+105</f>
        <v>219.2</v>
      </c>
      <c r="J457" s="0" t="n">
        <f aca="false">(I457/55)*5</f>
        <v>19.9272727272727</v>
      </c>
      <c r="L457" s="0" t="n">
        <v>19</v>
      </c>
      <c r="M457" s="0" t="n">
        <v>0</v>
      </c>
      <c r="N457" s="0" t="n">
        <f aca="false">L457</f>
        <v>19</v>
      </c>
      <c r="O457" s="3" t="n">
        <f aca="false">LOOKUP(N457,$AB$3:$AC$123)</f>
        <v>1.0765</v>
      </c>
      <c r="P457" s="3" t="n">
        <f aca="false">(O457*(N457/100)*(J457/1000))*1000</f>
        <v>4.07582472727273</v>
      </c>
      <c r="Q457" s="3"/>
      <c r="R457" s="1"/>
      <c r="S457" s="1"/>
      <c r="T457" s="1"/>
      <c r="U457" s="1"/>
      <c r="V457" s="1"/>
      <c r="W457" s="1"/>
      <c r="X457" s="1"/>
      <c r="Y457" s="5"/>
      <c r="Z457" s="1"/>
    </row>
    <row r="458" customFormat="false" ht="15" hidden="false" customHeight="false" outlineLevel="0" collapsed="false">
      <c r="A458" s="0" t="s">
        <v>79</v>
      </c>
      <c r="B458" s="0" t="s">
        <v>80</v>
      </c>
      <c r="C458" s="0" t="s">
        <v>81</v>
      </c>
      <c r="D458" s="0" t="s">
        <v>136</v>
      </c>
      <c r="E458" s="0" t="n">
        <v>10</v>
      </c>
      <c r="F458" s="0" t="n">
        <v>1</v>
      </c>
      <c r="G458" s="1"/>
      <c r="H458" s="1"/>
      <c r="I458" s="0" t="n">
        <v>108.3</v>
      </c>
      <c r="J458" s="0" t="n">
        <f aca="false">(I458/55)*5</f>
        <v>9.84545454545455</v>
      </c>
      <c r="L458" s="0" t="n">
        <v>20</v>
      </c>
      <c r="M458" s="0" t="n">
        <v>0</v>
      </c>
      <c r="N458" s="0" t="n">
        <f aca="false">L458</f>
        <v>20</v>
      </c>
      <c r="O458" s="3" t="n">
        <f aca="false">LOOKUP(N458,$AB$3:$AC$123)</f>
        <v>1.081</v>
      </c>
      <c r="P458" s="3" t="n">
        <f aca="false">(O458*(N458/100)*(J458/1000))*1000</f>
        <v>2.12858727272727</v>
      </c>
      <c r="Q458" s="3"/>
      <c r="R458" s="0" t="n">
        <v>0</v>
      </c>
      <c r="S458" s="0" t="n">
        <v>0</v>
      </c>
      <c r="T458" s="0" t="n">
        <f aca="false">(S458/55)*5</f>
        <v>0</v>
      </c>
      <c r="V458" s="0" t="n">
        <v>0</v>
      </c>
      <c r="W458" s="0" t="n">
        <v>0</v>
      </c>
      <c r="X458" s="3" t="n">
        <v>0</v>
      </c>
      <c r="Y458" s="2" t="n">
        <v>0</v>
      </c>
      <c r="Z458" s="3" t="n">
        <f aca="false">X458*(V458/100)*((W458+T458)/1000)*1000</f>
        <v>0</v>
      </c>
    </row>
    <row r="459" customFormat="false" ht="15" hidden="false" customHeight="false" outlineLevel="0" collapsed="false">
      <c r="A459" s="0" t="s">
        <v>82</v>
      </c>
      <c r="B459" s="0" t="s">
        <v>83</v>
      </c>
      <c r="C459" s="0" t="s">
        <v>81</v>
      </c>
      <c r="D459" s="0" t="s">
        <v>136</v>
      </c>
      <c r="E459" s="0" t="n">
        <v>10</v>
      </c>
      <c r="F459" s="0" t="n">
        <v>1</v>
      </c>
      <c r="G459" s="1"/>
      <c r="H459" s="1"/>
      <c r="I459" s="0" t="n">
        <v>81</v>
      </c>
      <c r="J459" s="0" t="n">
        <f aca="false">(I459/55)*5</f>
        <v>7.36363636363636</v>
      </c>
      <c r="L459" s="0" t="n">
        <v>19</v>
      </c>
      <c r="M459" s="0" t="n">
        <v>0</v>
      </c>
      <c r="N459" s="0" t="n">
        <f aca="false">L459</f>
        <v>19</v>
      </c>
      <c r="O459" s="3" t="n">
        <f aca="false">LOOKUP(N459,$AB$3:$AC$123)</f>
        <v>1.0765</v>
      </c>
      <c r="P459" s="3" t="n">
        <f aca="false">(O459*(N459/100)*(J459/1000))*1000</f>
        <v>1.50612136363636</v>
      </c>
      <c r="Q459" s="3"/>
      <c r="R459" s="0" t="n">
        <v>1</v>
      </c>
      <c r="S459" s="0" t="n">
        <v>4.6</v>
      </c>
      <c r="T459" s="0" t="n">
        <f aca="false">(S459/55)*5</f>
        <v>0.418181818181818</v>
      </c>
      <c r="V459" s="0" t="n">
        <v>2.5</v>
      </c>
      <c r="W459" s="0" t="n">
        <v>4</v>
      </c>
      <c r="X459" s="3" t="n">
        <f aca="false">LOOKUP(V459,$AB$3:$AC$123)</f>
        <v>1.00795</v>
      </c>
      <c r="Y459" s="2" t="n">
        <f aca="false">(V459*((W459+T459)/1000)*X459)/((((W459+T459)/1000)*X459)-((W459/1000)*0.9982))</f>
        <v>24.1761391116893</v>
      </c>
      <c r="Z459" s="3" t="n">
        <f aca="false">X459*(V459/100)*((W459+T459)/1000)*1000</f>
        <v>0.111332659090909</v>
      </c>
    </row>
    <row r="460" customFormat="false" ht="15" hidden="false" customHeight="false" outlineLevel="0" collapsed="false">
      <c r="A460" s="0" t="s">
        <v>84</v>
      </c>
      <c r="B460" s="0" t="s">
        <v>85</v>
      </c>
      <c r="C460" s="0" t="s">
        <v>81</v>
      </c>
      <c r="D460" s="0" t="s">
        <v>136</v>
      </c>
      <c r="E460" s="0" t="n">
        <v>10</v>
      </c>
      <c r="F460" s="0" t="n">
        <v>1</v>
      </c>
      <c r="G460" s="1"/>
      <c r="H460" s="1"/>
      <c r="I460" s="0" t="n">
        <v>40</v>
      </c>
      <c r="J460" s="0" t="n">
        <f aca="false">(I460/55)*5</f>
        <v>3.63636363636364</v>
      </c>
      <c r="L460" s="0" t="n">
        <v>36</v>
      </c>
      <c r="M460" s="0" t="n">
        <v>0</v>
      </c>
      <c r="N460" s="0" t="n">
        <f aca="false">L460</f>
        <v>36</v>
      </c>
      <c r="O460" s="3" t="n">
        <f aca="false">LOOKUP(N460,$AB$3:$AC$123)</f>
        <v>1.1562</v>
      </c>
      <c r="P460" s="3" t="n">
        <f aca="false">(O460*(N460/100)*(J460/1000))*1000</f>
        <v>1.51357090909091</v>
      </c>
      <c r="Q460" s="3"/>
      <c r="R460" s="0" t="n">
        <v>2</v>
      </c>
      <c r="S460" s="0" t="n">
        <v>4</v>
      </c>
      <c r="T460" s="0" t="n">
        <f aca="false">(S460/55)*5</f>
        <v>0.363636363636364</v>
      </c>
      <c r="V460" s="0" t="n">
        <v>3</v>
      </c>
      <c r="W460" s="0" t="n">
        <v>4</v>
      </c>
      <c r="X460" s="3" t="n">
        <f aca="false">LOOKUP(V460,$AB$3:$AC$123)</f>
        <v>1.0099</v>
      </c>
      <c r="Y460" s="2" t="n">
        <f aca="false">(V460*((W460+T460)/1000)*X460)/((((W460+T460)/1000)*X460)-((W460/1000)*0.9982))</f>
        <v>31.9307922009486</v>
      </c>
      <c r="Z460" s="3" t="n">
        <f aca="false">X460*(V460/100)*((W460+T460)/1000)*1000</f>
        <v>0.132205090909091</v>
      </c>
    </row>
    <row r="461" customFormat="false" ht="15" hidden="false" customHeight="false" outlineLevel="0" collapsed="false">
      <c r="A461" s="0" t="s">
        <v>86</v>
      </c>
      <c r="B461" s="0" t="s">
        <v>87</v>
      </c>
      <c r="C461" s="0" t="s">
        <v>81</v>
      </c>
      <c r="D461" s="0" t="s">
        <v>136</v>
      </c>
      <c r="E461" s="0" t="n">
        <v>10</v>
      </c>
      <c r="F461" s="0" t="n">
        <v>0</v>
      </c>
      <c r="G461" s="1"/>
      <c r="H461" s="1"/>
      <c r="I461" s="0" t="n">
        <v>0</v>
      </c>
      <c r="J461" s="0" t="n">
        <f aca="false">(I461/55)*5</f>
        <v>0</v>
      </c>
      <c r="L461" s="0" t="n">
        <v>0</v>
      </c>
      <c r="M461" s="0" t="n">
        <v>0</v>
      </c>
      <c r="N461" s="0" t="n">
        <f aca="false">L461</f>
        <v>0</v>
      </c>
      <c r="O461" s="3" t="n">
        <v>0</v>
      </c>
      <c r="P461" s="3" t="n">
        <f aca="false">(O461*(N461/100)*(J461/1000))*1000</f>
        <v>0</v>
      </c>
      <c r="Q461" s="3"/>
      <c r="R461" s="0" t="n">
        <v>3</v>
      </c>
      <c r="S461" s="0" t="n">
        <v>2</v>
      </c>
      <c r="T461" s="0" t="n">
        <f aca="false">(S461/55)*5</f>
        <v>0.181818181818182</v>
      </c>
      <c r="V461" s="0" t="n">
        <v>18</v>
      </c>
      <c r="W461" s="0" t="n">
        <v>1</v>
      </c>
      <c r="X461" s="3" t="n">
        <f aca="false">LOOKUP(V461,$AB$3:$AC$123)</f>
        <v>1.0722</v>
      </c>
      <c r="Y461" s="2" t="n">
        <f aca="false">(V461*((W461+T461)/1000)*X461)/((((W461+T461)/1000)*X461)-((W461/1000)*0.9982))</f>
        <v>84.8075987020011</v>
      </c>
      <c r="Z461" s="3" t="n">
        <f aca="false">X461*(V461/100)*((W461+T461)/1000)*1000</f>
        <v>0.228086181818182</v>
      </c>
    </row>
    <row r="462" customFormat="false" ht="15" hidden="false" customHeight="false" outlineLevel="0" collapsed="false">
      <c r="A462" s="0" t="s">
        <v>88</v>
      </c>
      <c r="B462" s="0" t="s">
        <v>89</v>
      </c>
      <c r="C462" s="0" t="s">
        <v>81</v>
      </c>
      <c r="D462" s="0" t="s">
        <v>136</v>
      </c>
      <c r="E462" s="0" t="n">
        <v>10</v>
      </c>
      <c r="F462" s="0" t="n">
        <v>2</v>
      </c>
      <c r="G462" s="1"/>
      <c r="H462" s="1"/>
      <c r="I462" s="0" t="n">
        <v>82</v>
      </c>
      <c r="J462" s="0" t="n">
        <f aca="false">(I462/55)*5</f>
        <v>7.45454545454546</v>
      </c>
      <c r="L462" s="0" t="n">
        <v>24</v>
      </c>
      <c r="M462" s="0" t="n">
        <v>0</v>
      </c>
      <c r="N462" s="0" t="n">
        <f aca="false">L462</f>
        <v>24</v>
      </c>
      <c r="O462" s="3" t="n">
        <f aca="false">LOOKUP(N462,$AB$3:$AC$123)</f>
        <v>1.099</v>
      </c>
      <c r="P462" s="3" t="n">
        <f aca="false">(O462*(N462/100)*(J462/1000))*1000</f>
        <v>1.96621090909091</v>
      </c>
      <c r="Q462" s="3"/>
      <c r="R462" s="0" t="n">
        <v>3</v>
      </c>
      <c r="S462" s="0" t="n">
        <v>18.7</v>
      </c>
      <c r="T462" s="0" t="n">
        <f aca="false">(S462/55)*5</f>
        <v>1.7</v>
      </c>
      <c r="V462" s="0" t="n">
        <v>23</v>
      </c>
      <c r="W462" s="0" t="n">
        <v>4</v>
      </c>
      <c r="X462" s="3" t="n">
        <f aca="false">LOOKUP(V462,$AB$3:$AC$123)</f>
        <v>1.09445</v>
      </c>
      <c r="Y462" s="2" t="n">
        <f aca="false">(V462*((W462+T462)/1000)*X462)/((((W462+T462)/1000)*X462)-((W462/1000)*0.9982))</f>
        <v>63.8958992503</v>
      </c>
      <c r="Z462" s="3" t="n">
        <f aca="false">X462*(V462/100)*((W462+T462)/1000)*1000</f>
        <v>1.43482395</v>
      </c>
    </row>
    <row r="463" customFormat="false" ht="15" hidden="false" customHeight="false" outlineLevel="0" collapsed="false">
      <c r="A463" s="0" t="s">
        <v>90</v>
      </c>
      <c r="B463" s="0" t="s">
        <v>91</v>
      </c>
      <c r="C463" s="0" t="s">
        <v>81</v>
      </c>
      <c r="D463" s="0" t="s">
        <v>136</v>
      </c>
      <c r="E463" s="0" t="n">
        <v>10</v>
      </c>
      <c r="F463" s="0" t="n">
        <v>1</v>
      </c>
      <c r="G463" s="1"/>
      <c r="H463" s="1"/>
      <c r="I463" s="0" t="n">
        <v>123</v>
      </c>
      <c r="J463" s="0" t="n">
        <f aca="false">(I463/55)*5</f>
        <v>11.1818181818182</v>
      </c>
      <c r="L463" s="0" t="n">
        <v>12</v>
      </c>
      <c r="M463" s="0" t="n">
        <v>0</v>
      </c>
      <c r="N463" s="0" t="n">
        <f aca="false">L463</f>
        <v>12</v>
      </c>
      <c r="O463" s="3" t="n">
        <f aca="false">LOOKUP(N463,$AB$3:$AC$123)</f>
        <v>1.0465</v>
      </c>
      <c r="P463" s="3" t="n">
        <f aca="false">(O463*(N463/100)*(J463/1000))*1000</f>
        <v>1.40421272727273</v>
      </c>
      <c r="Q463" s="3"/>
      <c r="R463" s="0" t="n">
        <v>2</v>
      </c>
      <c r="S463" s="0" t="n">
        <v>16</v>
      </c>
      <c r="T463" s="0" t="n">
        <f aca="false">(S463/55)*5</f>
        <v>1.45454545454545</v>
      </c>
      <c r="V463" s="0" t="n">
        <v>20</v>
      </c>
      <c r="W463" s="0" t="n">
        <v>4</v>
      </c>
      <c r="X463" s="3" t="n">
        <f aca="false">LOOKUP(V463,$AB$3:$AC$123)</f>
        <v>1.081</v>
      </c>
      <c r="Y463" s="2" t="n">
        <f aca="false">(V463*((W463+T463)/1000)*X463)/((((W463+T463)/1000)*X463)-((W463/1000)*0.9982))</f>
        <v>61.9507908611599</v>
      </c>
      <c r="Z463" s="3" t="n">
        <f aca="false">X463*(V463/100)*((W463+T463)/1000)*1000</f>
        <v>1.17927272727273</v>
      </c>
    </row>
    <row r="464" customFormat="false" ht="15" hidden="false" customHeight="false" outlineLevel="0" collapsed="false">
      <c r="A464" s="0" t="s">
        <v>92</v>
      </c>
      <c r="B464" s="0" t="s">
        <v>93</v>
      </c>
      <c r="C464" s="0" t="s">
        <v>81</v>
      </c>
      <c r="D464" s="0" t="s">
        <v>136</v>
      </c>
      <c r="E464" s="0" t="n">
        <v>10</v>
      </c>
      <c r="F464" s="0" t="n">
        <v>1</v>
      </c>
      <c r="G464" s="1"/>
      <c r="H464" s="1"/>
      <c r="I464" s="0" t="n">
        <v>38.5</v>
      </c>
      <c r="J464" s="0" t="n">
        <f aca="false">(I464/55)*5</f>
        <v>3.5</v>
      </c>
      <c r="L464" s="0" t="n">
        <v>32</v>
      </c>
      <c r="M464" s="0" t="n">
        <v>0</v>
      </c>
      <c r="N464" s="0" t="n">
        <f aca="false">L464</f>
        <v>32</v>
      </c>
      <c r="O464" s="3" t="n">
        <f aca="false">LOOKUP(N464,$AB$3:$AC$123)</f>
        <v>1.1366</v>
      </c>
      <c r="P464" s="3" t="n">
        <f aca="false">(O464*(N464/100)*(J464/1000))*1000</f>
        <v>1.272992</v>
      </c>
      <c r="Q464" s="3"/>
      <c r="R464" s="0" t="n">
        <v>5</v>
      </c>
      <c r="S464" s="0" t="n">
        <v>9.6</v>
      </c>
      <c r="T464" s="0" t="n">
        <f aca="false">(S464/55)*5</f>
        <v>0.872727272727273</v>
      </c>
      <c r="V464" s="0" t="n">
        <v>4</v>
      </c>
      <c r="W464" s="0" t="n">
        <v>4</v>
      </c>
      <c r="X464" s="3" t="n">
        <f aca="false">LOOKUP(V464,$AB$3:$AC$123)</f>
        <v>1.0139</v>
      </c>
      <c r="Y464" s="2" t="n">
        <f aca="false">(V464*((W464+T464)/1000)*X464)/((((W464+T464)/1000)*X464)-((W464/1000)*0.9982))</f>
        <v>20.8533341519382</v>
      </c>
      <c r="Z464" s="3" t="n">
        <f aca="false">X464*(V464/100)*((W464+T464)/1000)*1000</f>
        <v>0.197618327272727</v>
      </c>
    </row>
    <row r="465" customFormat="false" ht="15" hidden="false" customHeight="false" outlineLevel="0" collapsed="false">
      <c r="A465" s="0" t="s">
        <v>94</v>
      </c>
      <c r="B465" s="0" t="s">
        <v>95</v>
      </c>
      <c r="C465" s="0" t="s">
        <v>81</v>
      </c>
      <c r="D465" s="0" t="s">
        <v>136</v>
      </c>
      <c r="E465" s="0" t="n">
        <v>10</v>
      </c>
      <c r="F465" s="0" t="n">
        <v>1</v>
      </c>
      <c r="G465" s="1"/>
      <c r="H465" s="1"/>
      <c r="I465" s="0" t="n">
        <v>52.2</v>
      </c>
      <c r="J465" s="0" t="n">
        <f aca="false">(I465/55)*5</f>
        <v>4.74545454545455</v>
      </c>
      <c r="L465" s="0" t="n">
        <v>21</v>
      </c>
      <c r="M465" s="0" t="n">
        <v>0</v>
      </c>
      <c r="N465" s="0" t="n">
        <f aca="false">L465</f>
        <v>21</v>
      </c>
      <c r="O465" s="3" t="n">
        <f aca="false">LOOKUP(N465,$AB$3:$AC$123)</f>
        <v>1.08545</v>
      </c>
      <c r="P465" s="3" t="n">
        <f aca="false">(O465*(N465/100)*(J465/1000))*1000</f>
        <v>1.08170026363636</v>
      </c>
      <c r="Q465" s="3"/>
      <c r="R465" s="0" t="n">
        <v>8</v>
      </c>
      <c r="S465" s="0" t="n">
        <v>14.1</v>
      </c>
      <c r="T465" s="0" t="n">
        <f aca="false">(S465/55)*5</f>
        <v>1.28181818181818</v>
      </c>
      <c r="V465" s="0" t="n">
        <v>11</v>
      </c>
      <c r="W465" s="0" t="n">
        <v>4</v>
      </c>
      <c r="X465" s="3" t="n">
        <f aca="false">LOOKUP(V465,$AB$3:$AC$123)</f>
        <v>1.0423</v>
      </c>
      <c r="Y465" s="2" t="n">
        <f aca="false">(V465*((W465+T465)/1000)*X465)/((((W465+T465)/1000)*X465)-((W465/1000)*0.9982))</f>
        <v>40.0397148976097</v>
      </c>
      <c r="Z465" s="3" t="n">
        <f aca="false">X465*(V465/100)*((W465+T465)/1000)*1000</f>
        <v>0.6055763</v>
      </c>
    </row>
    <row r="466" customFormat="false" ht="15" hidden="false" customHeight="false" outlineLevel="0" collapsed="false">
      <c r="A466" s="0" t="s">
        <v>96</v>
      </c>
      <c r="B466" s="0" t="s">
        <v>97</v>
      </c>
      <c r="C466" s="0" t="s">
        <v>81</v>
      </c>
      <c r="D466" s="0" t="s">
        <v>136</v>
      </c>
      <c r="E466" s="0" t="n">
        <v>10</v>
      </c>
      <c r="F466" s="0" t="n">
        <v>0</v>
      </c>
      <c r="G466" s="1"/>
      <c r="H466" s="1"/>
      <c r="I466" s="0" t="n">
        <v>0</v>
      </c>
      <c r="J466" s="0" t="n">
        <f aca="false">(I466/55)*5</f>
        <v>0</v>
      </c>
      <c r="L466" s="0" t="n">
        <v>0</v>
      </c>
      <c r="M466" s="0" t="n">
        <v>0</v>
      </c>
      <c r="N466" s="0" t="n">
        <f aca="false">L466</f>
        <v>0</v>
      </c>
      <c r="O466" s="3" t="n">
        <v>0</v>
      </c>
      <c r="P466" s="3" t="n">
        <f aca="false">(O466*(N466/100)*(J466/1000))*1000</f>
        <v>0</v>
      </c>
      <c r="Q466" s="3"/>
      <c r="R466" s="0" t="n">
        <v>6</v>
      </c>
      <c r="S466" s="0" t="n">
        <v>6</v>
      </c>
      <c r="T466" s="0" t="n">
        <f aca="false">(S466/55)*5</f>
        <v>0.545454545454545</v>
      </c>
      <c r="V466" s="0" t="n">
        <v>3</v>
      </c>
      <c r="W466" s="0" t="n">
        <v>4</v>
      </c>
      <c r="X466" s="3" t="n">
        <f aca="false">LOOKUP(V466,$AB$3:$AC$123)</f>
        <v>1.0099</v>
      </c>
      <c r="Y466" s="2" t="n">
        <f aca="false">(V466*((W466+T466)/1000)*X466)/((((W466+T466)/1000)*X466)-((W466/1000)*0.9982))</f>
        <v>23.0423473578535</v>
      </c>
      <c r="Z466" s="3" t="n">
        <f aca="false">X466*(V466/100)*((W466+T466)/1000)*1000</f>
        <v>0.137713636363636</v>
      </c>
    </row>
    <row r="467" customFormat="false" ht="15" hidden="false" customHeight="false" outlineLevel="0" collapsed="false">
      <c r="A467" s="0" t="s">
        <v>98</v>
      </c>
      <c r="B467" s="0" t="s">
        <v>99</v>
      </c>
      <c r="C467" s="0" t="s">
        <v>81</v>
      </c>
      <c r="D467" s="0" t="s">
        <v>136</v>
      </c>
      <c r="E467" s="0" t="n">
        <v>10</v>
      </c>
      <c r="F467" s="0" t="n">
        <v>1</v>
      </c>
      <c r="G467" s="1"/>
      <c r="H467" s="1"/>
      <c r="I467" s="0" t="n">
        <f aca="false">46.8-12</f>
        <v>34.8</v>
      </c>
      <c r="J467" s="0" t="n">
        <f aca="false">(I467/55)*5</f>
        <v>3.16363636363636</v>
      </c>
      <c r="L467" s="0" t="n">
        <v>29</v>
      </c>
      <c r="M467" s="0" t="n">
        <v>0</v>
      </c>
      <c r="N467" s="0" t="n">
        <f aca="false">L467</f>
        <v>29</v>
      </c>
      <c r="O467" s="3" t="n">
        <f aca="false">LOOKUP(N467,$AB$3:$AC$123)</f>
        <v>1.12225</v>
      </c>
      <c r="P467" s="3" t="n">
        <f aca="false">(O467*(N467/100)*(J467/1000))*1000</f>
        <v>1.02961336363636</v>
      </c>
      <c r="Q467" s="3"/>
      <c r="R467" s="0" t="n">
        <v>7</v>
      </c>
      <c r="S467" s="0" t="n">
        <v>11.8</v>
      </c>
      <c r="T467" s="0" t="n">
        <f aca="false">(S467/55)*5</f>
        <v>1.07272727272727</v>
      </c>
      <c r="V467" s="0" t="n">
        <v>8</v>
      </c>
      <c r="W467" s="0" t="n">
        <v>4</v>
      </c>
      <c r="X467" s="3" t="n">
        <f aca="false">LOOKUP(V467,$AB$3:$AC$123)</f>
        <v>1.0299</v>
      </c>
      <c r="Y467" s="2" t="n">
        <f aca="false">(V467*((W467+T467)/1000)*X467)/((((W467+T467)/1000)*X467)-((W467/1000)*0.9982))</f>
        <v>33.9356551187589</v>
      </c>
      <c r="Z467" s="3" t="n">
        <f aca="false">X467*(V467/100)*((W467+T467)/1000)*1000</f>
        <v>0.417952145454545</v>
      </c>
    </row>
    <row r="468" customFormat="false" ht="15" hidden="false" customHeight="false" outlineLevel="0" collapsed="false">
      <c r="A468" s="0" t="s">
        <v>100</v>
      </c>
      <c r="B468" s="0" t="s">
        <v>101</v>
      </c>
      <c r="C468" s="0" t="s">
        <v>81</v>
      </c>
      <c r="D468" s="0" t="s">
        <v>136</v>
      </c>
      <c r="E468" s="0" t="n">
        <v>10</v>
      </c>
      <c r="F468" s="0" t="n">
        <v>0</v>
      </c>
      <c r="G468" s="1"/>
      <c r="H468" s="1"/>
      <c r="I468" s="0" t="n">
        <v>0</v>
      </c>
      <c r="J468" s="0" t="n">
        <f aca="false">(I468/55)*5</f>
        <v>0</v>
      </c>
      <c r="L468" s="0" t="n">
        <v>0</v>
      </c>
      <c r="M468" s="0" t="n">
        <v>0</v>
      </c>
      <c r="N468" s="0" t="n">
        <f aca="false">L468</f>
        <v>0</v>
      </c>
      <c r="O468" s="3" t="n">
        <v>0</v>
      </c>
      <c r="P468" s="3" t="n">
        <f aca="false">(O468*(N468/100)*(J468/1000))*1000</f>
        <v>0</v>
      </c>
      <c r="Q468" s="3"/>
      <c r="R468" s="0" t="n">
        <v>1</v>
      </c>
      <c r="S468" s="0" t="n">
        <v>0.8</v>
      </c>
      <c r="T468" s="0" t="n">
        <f aca="false">(S468/55)*5</f>
        <v>0.0727272727272727</v>
      </c>
      <c r="V468" s="0" t="n">
        <v>1</v>
      </c>
      <c r="W468" s="0" t="n">
        <v>1</v>
      </c>
      <c r="X468" s="3" t="n">
        <f aca="false">LOOKUP(V468,$AB$3:$AC$123)</f>
        <v>1.0021</v>
      </c>
      <c r="Y468" s="2" t="n">
        <f aca="false">(V468*((W468+T468)/1000)*X468)/((((W468+T468)/1000)*X468)-((W468/1000)*0.9982))</f>
        <v>14.0007814535036</v>
      </c>
      <c r="Z468" s="3" t="n">
        <f aca="false">X468*(V468/100)*((W468+T468)/1000)*1000</f>
        <v>0.0107498</v>
      </c>
    </row>
    <row r="469" customFormat="false" ht="15" hidden="false" customHeight="false" outlineLevel="0" collapsed="false">
      <c r="A469" s="0" t="s">
        <v>102</v>
      </c>
      <c r="B469" s="0" t="s">
        <v>103</v>
      </c>
      <c r="C469" s="0" t="s">
        <v>81</v>
      </c>
      <c r="D469" s="0" t="s">
        <v>136</v>
      </c>
      <c r="E469" s="0" t="n">
        <v>10</v>
      </c>
      <c r="F469" s="0" t="n">
        <v>1</v>
      </c>
      <c r="G469" s="1"/>
      <c r="H469" s="1"/>
      <c r="I469" s="0" t="n">
        <f aca="false">75+104.6</f>
        <v>179.6</v>
      </c>
      <c r="J469" s="0" t="n">
        <f aca="false">(I469/55)*5</f>
        <v>16.3272727272727</v>
      </c>
      <c r="L469" s="0" t="n">
        <v>18</v>
      </c>
      <c r="M469" s="0" t="n">
        <v>0</v>
      </c>
      <c r="N469" s="0" t="n">
        <f aca="false">L469</f>
        <v>18</v>
      </c>
      <c r="O469" s="3" t="n">
        <f aca="false">LOOKUP(N469,$AB$3:$AC$123)</f>
        <v>1.0722</v>
      </c>
      <c r="P469" s="3" t="n">
        <f aca="false">(O469*(N469/100)*(J469/1000))*1000</f>
        <v>3.15109832727273</v>
      </c>
      <c r="Q469" s="3"/>
      <c r="R469" s="0" t="n">
        <v>3</v>
      </c>
      <c r="S469" s="0" t="n">
        <f aca="false">26.9-4.1</f>
        <v>22.8</v>
      </c>
      <c r="T469" s="0" t="n">
        <f aca="false">(S469/55)*5</f>
        <v>2.07272727272727</v>
      </c>
      <c r="V469" s="0" t="n">
        <v>22</v>
      </c>
      <c r="W469" s="0" t="n">
        <v>4</v>
      </c>
      <c r="X469" s="3" t="n">
        <f aca="false">LOOKUP(V469,$AB$3:$AC$123)</f>
        <v>1.0899</v>
      </c>
      <c r="Y469" s="2" t="n">
        <f aca="false">(V469*((W469+T469)/1000)*X469)/((((W469+T469)/1000)*X469)-((W469/1000)*0.9982))</f>
        <v>55.4524374993942</v>
      </c>
      <c r="Z469" s="3" t="n">
        <f aca="false">X469*(V469/100)*((W469+T469)/1000)*1000</f>
        <v>1.4561064</v>
      </c>
    </row>
    <row r="470" customFormat="false" ht="15" hidden="false" customHeight="false" outlineLevel="0" collapsed="false">
      <c r="A470" s="0" t="s">
        <v>104</v>
      </c>
      <c r="B470" s="0" t="s">
        <v>105</v>
      </c>
      <c r="C470" s="0" t="s">
        <v>106</v>
      </c>
      <c r="D470" s="0" t="s">
        <v>136</v>
      </c>
      <c r="E470" s="0" t="n">
        <v>10</v>
      </c>
      <c r="F470" s="0" t="n">
        <v>1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0" t="n">
        <v>6</v>
      </c>
      <c r="S470" s="1"/>
      <c r="T470" s="1"/>
      <c r="U470" s="1"/>
      <c r="V470" s="1"/>
      <c r="W470" s="1"/>
      <c r="X470" s="1"/>
      <c r="Y470" s="5"/>
      <c r="Z470" s="1"/>
    </row>
    <row r="471" customFormat="false" ht="15" hidden="false" customHeight="false" outlineLevel="0" collapsed="false">
      <c r="A471" s="0" t="s">
        <v>107</v>
      </c>
      <c r="B471" s="0" t="s">
        <v>37</v>
      </c>
      <c r="C471" s="0" t="s">
        <v>106</v>
      </c>
      <c r="D471" s="0" t="s">
        <v>136</v>
      </c>
      <c r="E471" s="0" t="n">
        <v>10</v>
      </c>
      <c r="F471" s="0" t="n">
        <v>1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0" t="n">
        <v>5</v>
      </c>
      <c r="S471" s="1"/>
      <c r="T471" s="1"/>
      <c r="U471" s="1"/>
      <c r="V471" s="1"/>
      <c r="W471" s="1"/>
      <c r="X471" s="1"/>
      <c r="Y471" s="5"/>
      <c r="Z471" s="1"/>
    </row>
    <row r="472" customFormat="false" ht="15" hidden="false" customHeight="false" outlineLevel="0" collapsed="false">
      <c r="A472" s="0" t="s">
        <v>108</v>
      </c>
      <c r="B472" s="0" t="s">
        <v>109</v>
      </c>
      <c r="C472" s="0" t="s">
        <v>106</v>
      </c>
      <c r="D472" s="0" t="s">
        <v>136</v>
      </c>
      <c r="E472" s="0" t="n">
        <v>10</v>
      </c>
      <c r="F472" s="0" t="n">
        <v>2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0" t="n">
        <v>7</v>
      </c>
      <c r="S472" s="1"/>
      <c r="T472" s="1"/>
      <c r="U472" s="1"/>
      <c r="V472" s="1"/>
      <c r="W472" s="1"/>
      <c r="X472" s="1"/>
      <c r="Y472" s="5"/>
      <c r="Z472" s="1"/>
    </row>
    <row r="473" customFormat="false" ht="15" hidden="false" customHeight="false" outlineLevel="0" collapsed="false">
      <c r="A473" s="0" t="s">
        <v>110</v>
      </c>
      <c r="B473" s="0" t="s">
        <v>111</v>
      </c>
      <c r="C473" s="0" t="s">
        <v>106</v>
      </c>
      <c r="D473" s="0" t="s">
        <v>136</v>
      </c>
      <c r="E473" s="0" t="n">
        <v>10</v>
      </c>
      <c r="F473" s="0" t="n">
        <v>0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0" t="n">
        <v>9</v>
      </c>
      <c r="S473" s="1"/>
      <c r="T473" s="1"/>
      <c r="U473" s="1"/>
      <c r="V473" s="1"/>
      <c r="W473" s="1"/>
      <c r="X473" s="1"/>
      <c r="Y473" s="5"/>
      <c r="Z473" s="1"/>
    </row>
    <row r="474" customFormat="false" ht="15" hidden="false" customHeight="false" outlineLevel="0" collapsed="false">
      <c r="A474" s="0" t="s">
        <v>112</v>
      </c>
      <c r="B474" s="0" t="s">
        <v>113</v>
      </c>
      <c r="C474" s="0" t="s">
        <v>106</v>
      </c>
      <c r="D474" s="0" t="s">
        <v>136</v>
      </c>
      <c r="E474" s="0" t="n">
        <v>10</v>
      </c>
      <c r="F474" s="0" t="n">
        <v>1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0" t="n">
        <v>8</v>
      </c>
      <c r="S474" s="1"/>
      <c r="T474" s="1"/>
      <c r="U474" s="1"/>
      <c r="V474" s="1"/>
      <c r="W474" s="1"/>
      <c r="X474" s="1"/>
      <c r="Y474" s="5"/>
      <c r="Z474" s="1"/>
    </row>
    <row r="475" customFormat="false" ht="15" hidden="false" customHeight="false" outlineLevel="0" collapsed="false">
      <c r="A475" s="0" t="s">
        <v>114</v>
      </c>
      <c r="B475" s="0" t="s">
        <v>115</v>
      </c>
      <c r="C475" s="0" t="s">
        <v>106</v>
      </c>
      <c r="D475" s="0" t="s">
        <v>136</v>
      </c>
      <c r="E475" s="0" t="n">
        <v>10</v>
      </c>
      <c r="F475" s="0" t="n">
        <v>0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0" t="n">
        <v>6</v>
      </c>
      <c r="S475" s="1"/>
      <c r="T475" s="1"/>
      <c r="U475" s="1"/>
      <c r="V475" s="1"/>
      <c r="W475" s="1"/>
      <c r="X475" s="1"/>
      <c r="Y475" s="5"/>
      <c r="Z475" s="1"/>
    </row>
    <row r="476" customFormat="false" ht="15" hidden="false" customHeight="false" outlineLevel="0" collapsed="false">
      <c r="A476" s="0" t="s">
        <v>116</v>
      </c>
      <c r="B476" s="0" t="s">
        <v>117</v>
      </c>
      <c r="C476" s="0" t="s">
        <v>106</v>
      </c>
      <c r="D476" s="0" t="s">
        <v>136</v>
      </c>
      <c r="E476" s="0" t="n">
        <v>10</v>
      </c>
      <c r="F476" s="0" t="n">
        <v>1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0" t="n">
        <v>3</v>
      </c>
      <c r="S476" s="1"/>
      <c r="T476" s="1"/>
      <c r="U476" s="1"/>
      <c r="V476" s="1"/>
      <c r="W476" s="1"/>
      <c r="X476" s="1"/>
      <c r="Y476" s="5"/>
      <c r="Z476" s="1"/>
    </row>
    <row r="477" customFormat="false" ht="15" hidden="false" customHeight="false" outlineLevel="0" collapsed="false">
      <c r="A477" s="0" t="s">
        <v>118</v>
      </c>
      <c r="B477" s="0" t="s">
        <v>119</v>
      </c>
      <c r="C477" s="0" t="s">
        <v>106</v>
      </c>
      <c r="D477" s="0" t="s">
        <v>136</v>
      </c>
      <c r="E477" s="0" t="n">
        <v>10</v>
      </c>
      <c r="F477" s="0" t="n">
        <v>0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0" t="n">
        <v>7</v>
      </c>
      <c r="S477" s="1"/>
      <c r="T477" s="1"/>
      <c r="U477" s="1"/>
      <c r="V477" s="1"/>
      <c r="W477" s="1"/>
      <c r="X477" s="1"/>
      <c r="Y477" s="5"/>
      <c r="Z477" s="1"/>
    </row>
    <row r="478" customFormat="false" ht="15" hidden="false" customHeight="false" outlineLevel="0" collapsed="false">
      <c r="A478" s="0" t="s">
        <v>120</v>
      </c>
      <c r="B478" s="0" t="s">
        <v>121</v>
      </c>
      <c r="C478" s="0" t="s">
        <v>106</v>
      </c>
      <c r="D478" s="0" t="s">
        <v>136</v>
      </c>
      <c r="E478" s="0" t="n">
        <v>10</v>
      </c>
      <c r="F478" s="0" t="n">
        <v>0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0" t="n">
        <v>5</v>
      </c>
      <c r="S478" s="1"/>
      <c r="T478" s="1"/>
      <c r="U478" s="1"/>
      <c r="V478" s="1"/>
      <c r="W478" s="1"/>
      <c r="X478" s="1"/>
      <c r="Y478" s="5"/>
      <c r="Z478" s="1"/>
    </row>
    <row r="479" customFormat="false" ht="15" hidden="false" customHeight="false" outlineLevel="0" collapsed="false">
      <c r="A479" s="0" t="s">
        <v>122</v>
      </c>
      <c r="B479" s="0" t="s">
        <v>123</v>
      </c>
      <c r="C479" s="0" t="s">
        <v>106</v>
      </c>
      <c r="D479" s="0" t="s">
        <v>136</v>
      </c>
      <c r="E479" s="0" t="n">
        <v>10</v>
      </c>
      <c r="F479" s="0" t="n">
        <v>1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0" t="n">
        <v>5</v>
      </c>
      <c r="S479" s="1"/>
      <c r="T479" s="1"/>
      <c r="U479" s="1"/>
      <c r="V479" s="1"/>
      <c r="W479" s="1"/>
      <c r="X479" s="1"/>
      <c r="Y479" s="5"/>
      <c r="Z479" s="1"/>
    </row>
    <row r="480" customFormat="false" ht="15" hidden="false" customHeight="false" outlineLevel="0" collapsed="false">
      <c r="A480" s="0" t="s">
        <v>124</v>
      </c>
      <c r="B480" s="0" t="s">
        <v>125</v>
      </c>
      <c r="C480" s="0" t="s">
        <v>106</v>
      </c>
      <c r="D480" s="0" t="s">
        <v>136</v>
      </c>
      <c r="E480" s="0" t="n">
        <v>10</v>
      </c>
      <c r="F480" s="0" t="n">
        <v>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0" t="n">
        <v>9</v>
      </c>
      <c r="S480" s="1"/>
      <c r="T480" s="1"/>
      <c r="U480" s="1"/>
      <c r="V480" s="1"/>
      <c r="W480" s="1"/>
      <c r="X480" s="1"/>
      <c r="Y480" s="5"/>
      <c r="Z480" s="1"/>
    </row>
    <row r="481" customFormat="false" ht="15" hidden="false" customHeight="false" outlineLevel="0" collapsed="false">
      <c r="A481" s="0" t="s">
        <v>126</v>
      </c>
      <c r="B481" s="0" t="s">
        <v>127</v>
      </c>
      <c r="C481" s="0" t="s">
        <v>106</v>
      </c>
      <c r="D481" s="0" t="s">
        <v>136</v>
      </c>
      <c r="E481" s="0" t="n">
        <v>10</v>
      </c>
      <c r="F481" s="0" t="n">
        <v>0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0" t="n">
        <v>8</v>
      </c>
      <c r="S481" s="1"/>
      <c r="T481" s="1"/>
      <c r="U481" s="1"/>
      <c r="V481" s="1"/>
      <c r="W481" s="1"/>
      <c r="X481" s="1"/>
      <c r="Y481" s="5"/>
      <c r="Z481" s="1"/>
    </row>
    <row r="482" customFormat="false" ht="15" hidden="false" customHeight="false" outlineLevel="0" collapsed="false">
      <c r="A482" s="0" t="s">
        <v>26</v>
      </c>
      <c r="B482" s="0" t="s">
        <v>27</v>
      </c>
      <c r="C482" s="0" t="s">
        <v>28</v>
      </c>
      <c r="D482" s="0" t="s">
        <v>137</v>
      </c>
      <c r="E482" s="0" t="n">
        <v>11</v>
      </c>
      <c r="F482" s="0" t="n">
        <v>0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0" t="n">
        <v>1</v>
      </c>
      <c r="S482" s="0" t="n">
        <v>1</v>
      </c>
      <c r="T482" s="0" t="n">
        <f aca="false">(S482/55)*5</f>
        <v>0.0909090909090909</v>
      </c>
      <c r="V482" s="0" t="n">
        <v>2</v>
      </c>
      <c r="W482" s="0" t="n">
        <v>1</v>
      </c>
      <c r="X482" s="3" t="n">
        <f aca="false">LOOKUP(V482,$AB$3:$AC$123)</f>
        <v>1.006</v>
      </c>
      <c r="Y482" s="2" t="n">
        <f aca="false">(V482*((W482+T482)/1000)*X482)/((((W482+T482)/1000)*X482)-((W482/1000)*0.9982))</f>
        <v>22.113940282103</v>
      </c>
      <c r="Z482" s="3" t="n">
        <f aca="false">(X482*(V482/100)*((W482+T482)/1000))*1000</f>
        <v>0.0219490909090909</v>
      </c>
    </row>
    <row r="483" customFormat="false" ht="15" hidden="false" customHeight="false" outlineLevel="0" collapsed="false">
      <c r="A483" s="0" t="s">
        <v>32</v>
      </c>
      <c r="B483" s="0" t="s">
        <v>33</v>
      </c>
      <c r="C483" s="0" t="s">
        <v>28</v>
      </c>
      <c r="D483" s="0" t="s">
        <v>137</v>
      </c>
      <c r="E483" s="0" t="n">
        <v>11</v>
      </c>
      <c r="F483" s="0" t="n">
        <v>2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0" t="n">
        <v>5</v>
      </c>
      <c r="S483" s="0" t="n">
        <v>6.4</v>
      </c>
      <c r="T483" s="0" t="n">
        <f aca="false">(S483/55)*5</f>
        <v>0.581818181818182</v>
      </c>
      <c r="V483" s="0" t="n">
        <v>9.5</v>
      </c>
      <c r="W483" s="0" t="n">
        <v>4</v>
      </c>
      <c r="X483" s="3" t="n">
        <f aca="false">LOOKUP(V483,$AB$3:$AC$123)</f>
        <v>1.0361</v>
      </c>
      <c r="Y483" s="2" t="n">
        <f aca="false">(V483*((W483+T483)/1000)*X483)/((((W483+T483)/1000)*X483)-((W483/1000)*0.9982))</f>
        <v>59.7790336729875</v>
      </c>
      <c r="Z483" s="3" t="n">
        <f aca="false">(X483*(V483/100)*((W483+T483)/1000))*1000</f>
        <v>0.450986072727273</v>
      </c>
    </row>
    <row r="484" customFormat="false" ht="15" hidden="false" customHeight="false" outlineLevel="0" collapsed="false">
      <c r="A484" s="0" t="s">
        <v>34</v>
      </c>
      <c r="B484" s="0" t="s">
        <v>35</v>
      </c>
      <c r="C484" s="0" t="s">
        <v>28</v>
      </c>
      <c r="D484" s="0" t="s">
        <v>137</v>
      </c>
      <c r="E484" s="0" t="n">
        <v>11</v>
      </c>
      <c r="F484" s="0" t="n">
        <v>1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0" t="n">
        <v>4</v>
      </c>
      <c r="S484" s="0" t="n">
        <v>7.4</v>
      </c>
      <c r="T484" s="0" t="n">
        <f aca="false">(S484/55)*5</f>
        <v>0.672727272727273</v>
      </c>
      <c r="V484" s="0" t="n">
        <v>8.5</v>
      </c>
      <c r="W484" s="0" t="n">
        <v>4</v>
      </c>
      <c r="X484" s="3" t="n">
        <f aca="false">LOOKUP(V484,$AB$3:$AC$123)</f>
        <v>1.032</v>
      </c>
      <c r="Y484" s="2" t="n">
        <f aca="false">(V484*((W484+T484)/1000)*X484)/((((W484+T484)/1000)*X484)-((W484/1000)*0.9982))</f>
        <v>49.4170100832968</v>
      </c>
      <c r="Z484" s="3" t="n">
        <f aca="false">(X484*(V484/100)*((W484+T484)/1000))*1000</f>
        <v>0.409891636363636</v>
      </c>
    </row>
    <row r="485" customFormat="false" ht="15" hidden="false" customHeight="false" outlineLevel="0" collapsed="false">
      <c r="A485" s="0" t="s">
        <v>36</v>
      </c>
      <c r="B485" s="0" t="s">
        <v>37</v>
      </c>
      <c r="C485" s="0" t="s">
        <v>28</v>
      </c>
      <c r="D485" s="0" t="s">
        <v>137</v>
      </c>
      <c r="E485" s="0" t="n">
        <v>11</v>
      </c>
      <c r="F485" s="0" t="n">
        <v>1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0" t="n">
        <v>4</v>
      </c>
      <c r="S485" s="0" t="n">
        <v>7.9</v>
      </c>
      <c r="T485" s="0" t="n">
        <f aca="false">(S485/55)*5</f>
        <v>0.718181818181818</v>
      </c>
      <c r="V485" s="0" t="n">
        <v>6.5</v>
      </c>
      <c r="W485" s="0" t="n">
        <v>4</v>
      </c>
      <c r="X485" s="3" t="n">
        <f aca="false">LOOKUP(V485,$AB$3:$AC$123)</f>
        <v>1.02385</v>
      </c>
      <c r="Y485" s="2" t="n">
        <f aca="false">(V485*((W485+T485)/1000)*X485)/((((W485+T485)/1000)*X485)-((W485/1000)*0.9982))</f>
        <v>37.4737154599401</v>
      </c>
      <c r="Z485" s="3" t="n">
        <f aca="false">(X485*(V485/100)*((W485+T485)/1000))*1000</f>
        <v>0.313996179545454</v>
      </c>
    </row>
    <row r="486" customFormat="false" ht="15" hidden="false" customHeight="false" outlineLevel="0" collapsed="false">
      <c r="A486" s="0" t="s">
        <v>38</v>
      </c>
      <c r="B486" s="0" t="s">
        <v>39</v>
      </c>
      <c r="C486" s="0" t="s">
        <v>28</v>
      </c>
      <c r="D486" s="0" t="s">
        <v>137</v>
      </c>
      <c r="E486" s="0" t="n">
        <v>11</v>
      </c>
      <c r="F486" s="0" t="n">
        <v>1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0" t="n">
        <v>5</v>
      </c>
      <c r="S486" s="0" t="n">
        <v>12.5</v>
      </c>
      <c r="T486" s="0" t="n">
        <f aca="false">(S486/55)*5</f>
        <v>1.13636363636364</v>
      </c>
      <c r="V486" s="0" t="n">
        <v>11.5</v>
      </c>
      <c r="W486" s="0" t="n">
        <v>4</v>
      </c>
      <c r="X486" s="3" t="n">
        <f aca="false">LOOKUP(V486,$AB$3:$AC$123)</f>
        <v>1.0444</v>
      </c>
      <c r="Y486" s="2" t="n">
        <f aca="false">(V486*((W486+T486)/1000)*X486)/((((W486+T486)/1000)*X486)-((W486/1000)*0.9982))</f>
        <v>44.9766632643593</v>
      </c>
      <c r="Z486" s="3" t="n">
        <f aca="false">(X486*(V486/100)*((W486+T486)/1000))*1000</f>
        <v>0.616908090909091</v>
      </c>
    </row>
    <row r="487" customFormat="false" ht="15" hidden="false" customHeight="false" outlineLevel="0" collapsed="false">
      <c r="A487" s="0" t="s">
        <v>40</v>
      </c>
      <c r="B487" s="0" t="s">
        <v>41</v>
      </c>
      <c r="C487" s="0" t="s">
        <v>28</v>
      </c>
      <c r="D487" s="0" t="s">
        <v>137</v>
      </c>
      <c r="E487" s="0" t="n">
        <v>11</v>
      </c>
      <c r="F487" s="0" t="n">
        <v>1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0" t="n">
        <v>3</v>
      </c>
      <c r="S487" s="0" t="n">
        <v>7.2</v>
      </c>
      <c r="T487" s="0" t="n">
        <f aca="false">(S487/55)*5</f>
        <v>0.654545454545455</v>
      </c>
      <c r="V487" s="0" t="n">
        <v>4</v>
      </c>
      <c r="W487" s="0" t="n">
        <v>4</v>
      </c>
      <c r="X487" s="3" t="n">
        <f aca="false">LOOKUP(V487,$AB$3:$AC$123)</f>
        <v>1.0139</v>
      </c>
      <c r="Y487" s="2" t="n">
        <f aca="false">(V487*((W487+T487)/1000)*X487)/((((W487+T487)/1000)*X487)-((W487/1000)*0.9982))</f>
        <v>25.9854634283083</v>
      </c>
      <c r="Z487" s="3" t="n">
        <f aca="false">(X487*(V487/100)*((W487+T487)/1000))*1000</f>
        <v>0.188769745454545</v>
      </c>
    </row>
    <row r="488" customFormat="false" ht="15" hidden="false" customHeight="false" outlineLevel="0" collapsed="false">
      <c r="A488" s="0" t="s">
        <v>42</v>
      </c>
      <c r="B488" s="0" t="s">
        <v>43</v>
      </c>
      <c r="C488" s="0" t="s">
        <v>28</v>
      </c>
      <c r="D488" s="0" t="s">
        <v>137</v>
      </c>
      <c r="E488" s="0" t="n">
        <v>11</v>
      </c>
      <c r="F488" s="0" t="n">
        <v>2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0" t="n">
        <v>2</v>
      </c>
      <c r="S488" s="0" t="n">
        <v>4.5</v>
      </c>
      <c r="T488" s="0" t="n">
        <f aca="false">(S488/55)*5</f>
        <v>0.409090909090909</v>
      </c>
      <c r="V488" s="0" t="n">
        <v>3.5</v>
      </c>
      <c r="W488" s="0" t="n">
        <v>4</v>
      </c>
      <c r="X488" s="3" t="n">
        <f aca="false">LOOKUP(V488,$AB$3:$AC$123)</f>
        <v>1.0119</v>
      </c>
      <c r="Y488" s="2" t="n">
        <f aca="false">(V488*((W488+T488)/1000)*X488)/((((W488+T488)/1000)*X488)-((W488/1000)*0.9982))</f>
        <v>33.3123284881748</v>
      </c>
      <c r="Z488" s="3" t="n">
        <f aca="false">(X488*(V488/100)*((W488+T488)/1000))*1000</f>
        <v>0.156154568181818</v>
      </c>
    </row>
    <row r="489" customFormat="false" ht="15" hidden="false" customHeight="false" outlineLevel="0" collapsed="false">
      <c r="A489" s="0" t="s">
        <v>44</v>
      </c>
      <c r="B489" s="0" t="s">
        <v>45</v>
      </c>
      <c r="C489" s="0" t="s">
        <v>28</v>
      </c>
      <c r="D489" s="0" t="s">
        <v>137</v>
      </c>
      <c r="E489" s="0" t="n">
        <v>11</v>
      </c>
      <c r="F489" s="0" t="n">
        <v>3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0" t="n">
        <v>3</v>
      </c>
      <c r="S489" s="0" t="n">
        <v>10.1</v>
      </c>
      <c r="T489" s="0" t="n">
        <f aca="false">(S489/55)*5</f>
        <v>0.918181818181818</v>
      </c>
      <c r="V489" s="0" t="n">
        <v>8.5</v>
      </c>
      <c r="W489" s="0" t="n">
        <v>4</v>
      </c>
      <c r="X489" s="3" t="n">
        <f aca="false">LOOKUP(V489,$AB$3:$AC$123)</f>
        <v>1.032</v>
      </c>
      <c r="Y489" s="2" t="n">
        <f aca="false">(V489*((W489+T489)/1000)*X489)/((((W489+T489)/1000)*X489)-((W489/1000)*0.9982))</f>
        <v>39.8446063944116</v>
      </c>
      <c r="Z489" s="3" t="n">
        <f aca="false">(X489*(V489/100)*((W489+T489)/1000))*1000</f>
        <v>0.431422909090909</v>
      </c>
    </row>
    <row r="490" customFormat="false" ht="15" hidden="false" customHeight="false" outlineLevel="0" collapsed="false">
      <c r="A490" s="0" t="s">
        <v>46</v>
      </c>
      <c r="B490" s="0" t="s">
        <v>47</v>
      </c>
      <c r="C490" s="0" t="s">
        <v>28</v>
      </c>
      <c r="D490" s="0" t="s">
        <v>137</v>
      </c>
      <c r="E490" s="0" t="n">
        <v>11</v>
      </c>
      <c r="F490" s="0" t="n">
        <v>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0" t="n">
        <v>2</v>
      </c>
      <c r="S490" s="0" t="n">
        <v>10</v>
      </c>
      <c r="T490" s="0" t="n">
        <f aca="false">(S490/55)*5</f>
        <v>0.909090909090909</v>
      </c>
      <c r="V490" s="0" t="n">
        <v>9</v>
      </c>
      <c r="W490" s="0" t="n">
        <v>4</v>
      </c>
      <c r="X490" s="3" t="n">
        <f aca="false">LOOKUP(V490,$AB$3:$AC$123)</f>
        <v>1.0341</v>
      </c>
      <c r="Y490" s="2" t="n">
        <f aca="false">(V490*((W490+T490)/1000)*X490)/((((W490+T490)/1000)*X490)-((W490/1000)*0.9982))</f>
        <v>42.1600087243931</v>
      </c>
      <c r="Z490" s="3" t="n">
        <f aca="false">(X490*(V490/100)*((W490+T490)/1000))*1000</f>
        <v>0.456884181818182</v>
      </c>
    </row>
    <row r="491" customFormat="false" ht="15" hidden="false" customHeight="false" outlineLevel="0" collapsed="false">
      <c r="A491" s="0" t="s">
        <v>48</v>
      </c>
      <c r="B491" s="0" t="s">
        <v>49</v>
      </c>
      <c r="C491" s="0" t="s">
        <v>28</v>
      </c>
      <c r="D491" s="0" t="s">
        <v>137</v>
      </c>
      <c r="E491" s="0" t="n">
        <v>11</v>
      </c>
      <c r="F491" s="0" t="n">
        <v>1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0" t="n">
        <v>3</v>
      </c>
      <c r="S491" s="0" t="n">
        <v>4.5</v>
      </c>
      <c r="T491" s="0" t="n">
        <f aca="false">(S491/55)*5</f>
        <v>0.409090909090909</v>
      </c>
      <c r="V491" s="0" t="n">
        <v>4</v>
      </c>
      <c r="W491" s="0" t="n">
        <v>4</v>
      </c>
      <c r="X491" s="3" t="n">
        <f aca="false">LOOKUP(V491,$AB$3:$AC$123)</f>
        <v>1.0139</v>
      </c>
      <c r="Y491" s="2" t="n">
        <f aca="false">(V491*((W491+T491)/1000)*X491)/((((W491+T491)/1000)*X491)-((W491/1000)*0.9982))</f>
        <v>37.4421274044181</v>
      </c>
      <c r="Z491" s="3" t="n">
        <f aca="false">(X491*(V491/100)*((W491+T491)/1000))*1000</f>
        <v>0.178815090909091</v>
      </c>
    </row>
    <row r="492" customFormat="false" ht="15" hidden="false" customHeight="false" outlineLevel="0" collapsed="false">
      <c r="A492" s="0" t="s">
        <v>50</v>
      </c>
      <c r="B492" s="0" t="s">
        <v>51</v>
      </c>
      <c r="C492" s="0" t="s">
        <v>28</v>
      </c>
      <c r="D492" s="0" t="s">
        <v>137</v>
      </c>
      <c r="E492" s="0" t="n">
        <v>11</v>
      </c>
      <c r="F492" s="0" t="n">
        <v>1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0" t="n">
        <v>2</v>
      </c>
      <c r="S492" s="0" t="n">
        <v>7.1</v>
      </c>
      <c r="T492" s="0" t="n">
        <f aca="false">(S492/55)*5</f>
        <v>0.645454545454546</v>
      </c>
      <c r="V492" s="0" t="n">
        <v>6.5</v>
      </c>
      <c r="W492" s="0" t="n">
        <v>4</v>
      </c>
      <c r="X492" s="3" t="n">
        <f aca="false">LOOKUP(V492,$AB$3:$AC$123)</f>
        <v>1.02385</v>
      </c>
      <c r="Y492" s="2" t="n">
        <f aca="false">(V492*((W492+T492)/1000)*X492)/((((W492+T492)/1000)*X492)-((W492/1000)*0.9982))</f>
        <v>40.4946903613806</v>
      </c>
      <c r="Z492" s="3" t="n">
        <f aca="false">(X492*(V492/100)*((W492+T492)/1000))*1000</f>
        <v>0.309156161363636</v>
      </c>
    </row>
    <row r="493" customFormat="false" ht="15" hidden="false" customHeight="false" outlineLevel="0" collapsed="false">
      <c r="A493" s="0" t="s">
        <v>52</v>
      </c>
      <c r="B493" s="0" t="s">
        <v>53</v>
      </c>
      <c r="C493" s="0" t="s">
        <v>28</v>
      </c>
      <c r="D493" s="0" t="s">
        <v>137</v>
      </c>
      <c r="E493" s="0" t="n">
        <v>11</v>
      </c>
      <c r="F493" s="0" t="n">
        <v>0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0" t="n">
        <v>1</v>
      </c>
      <c r="S493" s="0" t="n">
        <v>2.8</v>
      </c>
      <c r="T493" s="0" t="n">
        <f aca="false">(S493/55)*5</f>
        <v>0.254545454545454</v>
      </c>
      <c r="V493" s="0" t="n">
        <v>1.5</v>
      </c>
      <c r="W493" s="0" t="n">
        <v>2</v>
      </c>
      <c r="X493" s="3" t="n">
        <f aca="false">LOOKUP(V493,$AB$3:$AC$123)</f>
        <v>1.00405</v>
      </c>
      <c r="Y493" s="2" t="n">
        <f aca="false">(V493*((W493+T493)/1000)*X493)/((((W493+T493)/1000)*X493)-((W493/1000)*0.9982))</f>
        <v>12.7041332770983</v>
      </c>
      <c r="Z493" s="3" t="n">
        <f aca="false">(X493*(V493/100)*((W493+T493)/1000))*1000</f>
        <v>0.0339551454545454</v>
      </c>
    </row>
    <row r="494" customFormat="false" ht="15" hidden="false" customHeight="false" outlineLevel="0" collapsed="false">
      <c r="A494" s="0" t="s">
        <v>54</v>
      </c>
      <c r="B494" s="0" t="s">
        <v>55</v>
      </c>
      <c r="C494" s="0" t="s">
        <v>56</v>
      </c>
      <c r="D494" s="0" t="s">
        <v>137</v>
      </c>
      <c r="E494" s="0" t="n">
        <v>11</v>
      </c>
      <c r="F494" s="0" t="n">
        <v>0</v>
      </c>
      <c r="G494" s="1"/>
      <c r="H494" s="1"/>
      <c r="I494" s="0" t="n">
        <v>0</v>
      </c>
      <c r="J494" s="0" t="n">
        <v>0</v>
      </c>
      <c r="L494" s="0" t="n">
        <v>0</v>
      </c>
      <c r="M494" s="0" t="n">
        <v>0</v>
      </c>
      <c r="N494" s="0" t="n">
        <f aca="false">L494</f>
        <v>0</v>
      </c>
      <c r="O494" s="3" t="n">
        <v>0</v>
      </c>
      <c r="P494" s="3" t="n">
        <f aca="false">(O494*(N494/100)*(J494/1000))*1000</f>
        <v>0</v>
      </c>
      <c r="Q494" s="3"/>
      <c r="R494" s="1"/>
      <c r="S494" s="1"/>
      <c r="T494" s="1"/>
      <c r="U494" s="1"/>
      <c r="V494" s="1"/>
      <c r="W494" s="1"/>
      <c r="X494" s="1"/>
      <c r="Y494" s="5"/>
      <c r="Z494" s="1"/>
    </row>
    <row r="495" customFormat="false" ht="15" hidden="false" customHeight="false" outlineLevel="0" collapsed="false">
      <c r="A495" s="0" t="s">
        <v>57</v>
      </c>
      <c r="B495" s="0" t="s">
        <v>58</v>
      </c>
      <c r="C495" s="0" t="s">
        <v>56</v>
      </c>
      <c r="D495" s="0" t="s">
        <v>137</v>
      </c>
      <c r="E495" s="0" t="n">
        <v>11</v>
      </c>
      <c r="F495" s="0" t="n">
        <v>1</v>
      </c>
      <c r="G495" s="1"/>
      <c r="H495" s="1"/>
      <c r="I495" s="0" t="n">
        <v>64</v>
      </c>
      <c r="J495" s="0" t="n">
        <f aca="false">(I495/32)*5</f>
        <v>10</v>
      </c>
      <c r="L495" s="0" t="n">
        <v>19</v>
      </c>
      <c r="M495" s="0" t="n">
        <v>0</v>
      </c>
      <c r="N495" s="0" t="n">
        <f aca="false">L495</f>
        <v>19</v>
      </c>
      <c r="O495" s="3" t="n">
        <f aca="false">LOOKUP(N495,$AB$3:$AC$123)</f>
        <v>1.0765</v>
      </c>
      <c r="P495" s="3" t="n">
        <f aca="false">(O495*(N495/100)*(J495/1000))*1000</f>
        <v>2.04535</v>
      </c>
      <c r="Q495" s="3"/>
      <c r="R495" s="1"/>
      <c r="S495" s="1"/>
      <c r="T495" s="1"/>
      <c r="U495" s="1"/>
      <c r="V495" s="1"/>
      <c r="W495" s="1"/>
      <c r="X495" s="1"/>
      <c r="Y495" s="5"/>
      <c r="Z495" s="1"/>
    </row>
    <row r="496" customFormat="false" ht="15" hidden="false" customHeight="false" outlineLevel="0" collapsed="false">
      <c r="A496" s="0" t="s">
        <v>59</v>
      </c>
      <c r="B496" s="0" t="s">
        <v>60</v>
      </c>
      <c r="C496" s="0" t="s">
        <v>56</v>
      </c>
      <c r="D496" s="0" t="s">
        <v>137</v>
      </c>
      <c r="E496" s="0" t="n">
        <v>11</v>
      </c>
      <c r="F496" s="0" t="n">
        <v>0</v>
      </c>
      <c r="G496" s="1"/>
      <c r="H496" s="1"/>
      <c r="I496" s="0" t="n">
        <v>0</v>
      </c>
      <c r="J496" s="0" t="n">
        <v>0</v>
      </c>
      <c r="L496" s="0" t="n">
        <v>0</v>
      </c>
      <c r="M496" s="0" t="n">
        <v>0</v>
      </c>
      <c r="N496" s="0" t="n">
        <f aca="false">L496</f>
        <v>0</v>
      </c>
      <c r="O496" s="3" t="n">
        <v>0</v>
      </c>
      <c r="P496" s="3" t="n">
        <f aca="false">(O496*(N496/100)*(J496/1000))*1000</f>
        <v>0</v>
      </c>
      <c r="Q496" s="3"/>
      <c r="R496" s="1"/>
      <c r="S496" s="1"/>
      <c r="T496" s="1"/>
      <c r="U496" s="1"/>
      <c r="V496" s="1"/>
      <c r="W496" s="1"/>
      <c r="X496" s="1"/>
      <c r="Y496" s="5"/>
      <c r="Z496" s="1"/>
    </row>
    <row r="497" customFormat="false" ht="15" hidden="false" customHeight="false" outlineLevel="0" collapsed="false">
      <c r="A497" s="0" t="s">
        <v>61</v>
      </c>
      <c r="B497" s="0" t="s">
        <v>62</v>
      </c>
      <c r="C497" s="0" t="s">
        <v>56</v>
      </c>
      <c r="D497" s="0" t="s">
        <v>137</v>
      </c>
      <c r="E497" s="0" t="n">
        <v>11</v>
      </c>
      <c r="F497" s="0" t="n">
        <v>3</v>
      </c>
      <c r="G497" s="1"/>
      <c r="H497" s="1"/>
      <c r="I497" s="0" t="s">
        <v>138</v>
      </c>
      <c r="J497" s="0" t="n">
        <f aca="false">((13.6/32)*5)+(((109.8+11.5+29)/55)*5)</f>
        <v>15.7886363636364</v>
      </c>
      <c r="L497" s="0" t="n">
        <v>21</v>
      </c>
      <c r="M497" s="0" t="n">
        <v>0</v>
      </c>
      <c r="N497" s="0" t="n">
        <f aca="false">L497</f>
        <v>21</v>
      </c>
      <c r="O497" s="3" t="n">
        <f aca="false">LOOKUP(N497,$AB$3:$AC$123)</f>
        <v>1.08545</v>
      </c>
      <c r="P497" s="3" t="n">
        <f aca="false">(O497*(N497/100)*(J497/1000))*1000</f>
        <v>3.59893282159091</v>
      </c>
      <c r="Q497" s="3"/>
      <c r="R497" s="1"/>
      <c r="S497" s="1"/>
      <c r="T497" s="1"/>
      <c r="U497" s="1"/>
      <c r="V497" s="1"/>
      <c r="W497" s="1"/>
      <c r="X497" s="1"/>
      <c r="Y497" s="5"/>
      <c r="Z497" s="1"/>
    </row>
    <row r="498" customFormat="false" ht="15" hidden="false" customHeight="false" outlineLevel="0" collapsed="false">
      <c r="A498" s="0" t="s">
        <v>63</v>
      </c>
      <c r="B498" s="0" t="s">
        <v>64</v>
      </c>
      <c r="C498" s="0" t="s">
        <v>56</v>
      </c>
      <c r="D498" s="0" t="s">
        <v>137</v>
      </c>
      <c r="E498" s="0" t="n">
        <v>11</v>
      </c>
      <c r="F498" s="0" t="n">
        <v>1</v>
      </c>
      <c r="G498" s="1"/>
      <c r="H498" s="1"/>
      <c r="I498" s="0" t="n">
        <f aca="false">32+9.9</f>
        <v>41.9</v>
      </c>
      <c r="J498" s="0" t="n">
        <f aca="false">(I498/32)*5</f>
        <v>6.546875</v>
      </c>
      <c r="L498" s="0" t="n">
        <v>20.5</v>
      </c>
      <c r="M498" s="0" t="n">
        <v>0</v>
      </c>
      <c r="N498" s="0" t="n">
        <f aca="false">L498</f>
        <v>20.5</v>
      </c>
      <c r="O498" s="3" t="n">
        <f aca="false">LOOKUP(N498,$AB$3:$AC$123)</f>
        <v>1.083225</v>
      </c>
      <c r="P498" s="3" t="n">
        <f aca="false">(O498*(N498/100)*(J498/1000))*1000</f>
        <v>1.45380642773438</v>
      </c>
      <c r="Q498" s="3"/>
      <c r="R498" s="1"/>
      <c r="S498" s="1"/>
      <c r="T498" s="1"/>
      <c r="U498" s="1"/>
      <c r="V498" s="1"/>
      <c r="W498" s="1"/>
      <c r="X498" s="1"/>
      <c r="Y498" s="5"/>
      <c r="Z498" s="1"/>
    </row>
    <row r="499" customFormat="false" ht="15" hidden="false" customHeight="false" outlineLevel="0" collapsed="false">
      <c r="A499" s="0" t="s">
        <v>65</v>
      </c>
      <c r="B499" s="0" t="s">
        <v>66</v>
      </c>
      <c r="C499" s="0" t="s">
        <v>56</v>
      </c>
      <c r="D499" s="0" t="s">
        <v>137</v>
      </c>
      <c r="E499" s="0" t="n">
        <v>11</v>
      </c>
      <c r="F499" s="0" t="n">
        <v>3</v>
      </c>
      <c r="G499" s="1"/>
      <c r="H499" s="1"/>
      <c r="I499" s="0" t="n">
        <f aca="false">32+15.8+23.4</f>
        <v>71.2</v>
      </c>
      <c r="J499" s="0" t="n">
        <f aca="false">(I499/32)*5</f>
        <v>11.125</v>
      </c>
      <c r="L499" s="0" t="n">
        <v>16</v>
      </c>
      <c r="M499" s="0" t="n">
        <v>0</v>
      </c>
      <c r="N499" s="0" t="n">
        <f aca="false">L499</f>
        <v>16</v>
      </c>
      <c r="O499" s="3" t="n">
        <f aca="false">LOOKUP(N499,$AB$3:$AC$123)</f>
        <v>1.0635</v>
      </c>
      <c r="P499" s="3" t="n">
        <f aca="false">(O499*(N499/100)*(J499/1000))*1000</f>
        <v>1.89303</v>
      </c>
      <c r="Q499" s="3"/>
      <c r="R499" s="1"/>
      <c r="S499" s="1"/>
      <c r="T499" s="1"/>
      <c r="U499" s="1"/>
      <c r="V499" s="1"/>
      <c r="W499" s="1"/>
      <c r="X499" s="1"/>
      <c r="Y499" s="5"/>
      <c r="Z499" s="1"/>
    </row>
    <row r="500" customFormat="false" ht="15" hidden="false" customHeight="false" outlineLevel="0" collapsed="false">
      <c r="A500" s="0" t="s">
        <v>67</v>
      </c>
      <c r="B500" s="0" t="s">
        <v>68</v>
      </c>
      <c r="C500" s="0" t="s">
        <v>56</v>
      </c>
      <c r="D500" s="0" t="s">
        <v>137</v>
      </c>
      <c r="E500" s="0" t="n">
        <v>11</v>
      </c>
      <c r="F500" s="0" t="n">
        <v>1</v>
      </c>
      <c r="G500" s="1"/>
      <c r="H500" s="1"/>
      <c r="I500" s="0" t="n">
        <f aca="false">32+13.1</f>
        <v>45.1</v>
      </c>
      <c r="J500" s="0" t="n">
        <f aca="false">(I500/32)*5</f>
        <v>7.046875</v>
      </c>
      <c r="L500" s="0" t="n">
        <v>24.5</v>
      </c>
      <c r="M500" s="0" t="n">
        <v>0</v>
      </c>
      <c r="N500" s="0" t="n">
        <f aca="false">L500</f>
        <v>24.5</v>
      </c>
      <c r="O500" s="3" t="n">
        <f aca="false">LOOKUP(N500,$AB$3:$AC$123)</f>
        <v>1.101275</v>
      </c>
      <c r="P500" s="3" t="n">
        <f aca="false">(O500*(N500/100)*(J500/1000))*1000</f>
        <v>1.90133408007812</v>
      </c>
      <c r="Q500" s="3"/>
      <c r="R500" s="1"/>
      <c r="S500" s="1"/>
      <c r="T500" s="1"/>
      <c r="U500" s="1"/>
      <c r="V500" s="1"/>
      <c r="W500" s="1"/>
      <c r="X500" s="1"/>
      <c r="Y500" s="5"/>
      <c r="Z500" s="1"/>
    </row>
    <row r="501" customFormat="false" ht="15" hidden="false" customHeight="false" outlineLevel="0" collapsed="false">
      <c r="A501" s="0" t="s">
        <v>69</v>
      </c>
      <c r="B501" s="0" t="s">
        <v>70</v>
      </c>
      <c r="C501" s="0" t="s">
        <v>56</v>
      </c>
      <c r="D501" s="0" t="s">
        <v>137</v>
      </c>
      <c r="E501" s="0" t="n">
        <v>11</v>
      </c>
      <c r="F501" s="0" t="n">
        <v>0</v>
      </c>
      <c r="G501" s="1"/>
      <c r="H501" s="1"/>
      <c r="I501" s="0" t="n">
        <v>0</v>
      </c>
      <c r="J501" s="0" t="n">
        <v>0</v>
      </c>
      <c r="L501" s="0" t="n">
        <v>0</v>
      </c>
      <c r="M501" s="0" t="n">
        <v>0</v>
      </c>
      <c r="N501" s="0" t="n">
        <f aca="false">L501</f>
        <v>0</v>
      </c>
      <c r="O501" s="3" t="n">
        <f aca="false">LOOKUP(N501,$AB$3:$AC$123)</f>
        <v>0.9982</v>
      </c>
      <c r="P501" s="3" t="n">
        <f aca="false">(O501*(N501/100)*(J501/1000))*1000</f>
        <v>0</v>
      </c>
      <c r="Q501" s="3"/>
      <c r="R501" s="1"/>
      <c r="S501" s="1"/>
      <c r="T501" s="1"/>
      <c r="U501" s="1"/>
      <c r="V501" s="1"/>
      <c r="W501" s="1"/>
      <c r="X501" s="1"/>
      <c r="Y501" s="5"/>
      <c r="Z501" s="1"/>
    </row>
    <row r="502" customFormat="false" ht="15" hidden="false" customHeight="false" outlineLevel="0" collapsed="false">
      <c r="A502" s="0" t="s">
        <v>71</v>
      </c>
      <c r="B502" s="0" t="s">
        <v>72</v>
      </c>
      <c r="C502" s="0" t="s">
        <v>56</v>
      </c>
      <c r="D502" s="0" t="s">
        <v>137</v>
      </c>
      <c r="E502" s="0" t="n">
        <v>11</v>
      </c>
      <c r="F502" s="0" t="n">
        <v>0</v>
      </c>
      <c r="G502" s="1"/>
      <c r="H502" s="1"/>
      <c r="I502" s="0" t="n">
        <v>0</v>
      </c>
      <c r="J502" s="0" t="n">
        <v>0</v>
      </c>
      <c r="L502" s="0" t="n">
        <v>0</v>
      </c>
      <c r="M502" s="0" t="n">
        <v>0</v>
      </c>
      <c r="N502" s="0" t="n">
        <f aca="false">L502</f>
        <v>0</v>
      </c>
      <c r="O502" s="3" t="n">
        <f aca="false">LOOKUP(N502,$AB$3:$AC$123)</f>
        <v>0.9982</v>
      </c>
      <c r="P502" s="3" t="n">
        <f aca="false">(O502*(N502/100)*(J502/1000))*1000</f>
        <v>0</v>
      </c>
      <c r="Q502" s="3"/>
      <c r="R502" s="1"/>
      <c r="S502" s="1"/>
      <c r="T502" s="1"/>
      <c r="U502" s="1"/>
      <c r="V502" s="1"/>
      <c r="W502" s="1"/>
      <c r="X502" s="1"/>
      <c r="Y502" s="5"/>
      <c r="Z502" s="1"/>
    </row>
    <row r="503" customFormat="false" ht="15" hidden="false" customHeight="false" outlineLevel="0" collapsed="false">
      <c r="A503" s="0" t="s">
        <v>73</v>
      </c>
      <c r="B503" s="0" t="s">
        <v>74</v>
      </c>
      <c r="C503" s="0" t="s">
        <v>56</v>
      </c>
      <c r="D503" s="0" t="s">
        <v>137</v>
      </c>
      <c r="E503" s="0" t="n">
        <v>11</v>
      </c>
      <c r="F503" s="0" t="n">
        <v>1</v>
      </c>
      <c r="G503" s="1"/>
      <c r="H503" s="1"/>
      <c r="I503" s="0" t="n">
        <f aca="false">32+5.4</f>
        <v>37.4</v>
      </c>
      <c r="J503" s="0" t="n">
        <f aca="false">(I503/32)*5</f>
        <v>5.84375</v>
      </c>
      <c r="L503" s="0" t="n">
        <v>21</v>
      </c>
      <c r="M503" s="0" t="n">
        <v>0</v>
      </c>
      <c r="N503" s="0" t="n">
        <f aca="false">L503</f>
        <v>21</v>
      </c>
      <c r="O503" s="3" t="n">
        <f aca="false">LOOKUP(N503,$AB$3:$AC$123)</f>
        <v>1.08545</v>
      </c>
      <c r="P503" s="3" t="n">
        <f aca="false">(O503*(N503/100)*(J503/1000))*1000</f>
        <v>1.332050671875</v>
      </c>
      <c r="Q503" s="3"/>
      <c r="R503" s="1"/>
      <c r="S503" s="1"/>
      <c r="T503" s="1"/>
      <c r="U503" s="1"/>
      <c r="V503" s="1"/>
      <c r="W503" s="1"/>
      <c r="X503" s="1"/>
      <c r="Y503" s="5"/>
      <c r="Z503" s="1"/>
    </row>
    <row r="504" customFormat="false" ht="15" hidden="false" customHeight="false" outlineLevel="0" collapsed="false">
      <c r="A504" s="0" t="s">
        <v>75</v>
      </c>
      <c r="B504" s="0" t="s">
        <v>76</v>
      </c>
      <c r="C504" s="0" t="s">
        <v>56</v>
      </c>
      <c r="D504" s="0" t="s">
        <v>137</v>
      </c>
      <c r="E504" s="0" t="n">
        <v>11</v>
      </c>
      <c r="F504" s="0" t="n">
        <v>1</v>
      </c>
      <c r="G504" s="1"/>
      <c r="H504" s="1"/>
      <c r="I504" s="0" t="n">
        <f aca="false">32+2.8</f>
        <v>34.8</v>
      </c>
      <c r="J504" s="0" t="n">
        <f aca="false">(I504/32)*5</f>
        <v>5.4375</v>
      </c>
      <c r="L504" s="0" t="n">
        <v>11</v>
      </c>
      <c r="M504" s="0" t="n">
        <v>0</v>
      </c>
      <c r="N504" s="0" t="n">
        <f aca="false">L504</f>
        <v>11</v>
      </c>
      <c r="O504" s="3" t="n">
        <f aca="false">LOOKUP(N504,$AB$3:$AC$123)</f>
        <v>1.0423</v>
      </c>
      <c r="P504" s="3" t="n">
        <f aca="false">(O504*(N504/100)*(J504/1000))*1000</f>
        <v>0.6234256875</v>
      </c>
      <c r="Q504" s="3"/>
      <c r="R504" s="1"/>
      <c r="S504" s="1"/>
      <c r="T504" s="1"/>
      <c r="U504" s="1"/>
      <c r="V504" s="1"/>
      <c r="W504" s="1"/>
      <c r="X504" s="1"/>
      <c r="Y504" s="5"/>
      <c r="Z504" s="1"/>
    </row>
    <row r="505" customFormat="false" ht="15" hidden="false" customHeight="false" outlineLevel="0" collapsed="false">
      <c r="A505" s="0" t="s">
        <v>77</v>
      </c>
      <c r="B505" s="0" t="s">
        <v>78</v>
      </c>
      <c r="C505" s="0" t="s">
        <v>56</v>
      </c>
      <c r="D505" s="0" t="s">
        <v>137</v>
      </c>
      <c r="E505" s="0" t="n">
        <v>11</v>
      </c>
      <c r="F505" s="0" t="n">
        <v>1</v>
      </c>
      <c r="G505" s="1"/>
      <c r="H505" s="1"/>
      <c r="I505" s="0" t="n">
        <f aca="false">64+16.6</f>
        <v>80.6</v>
      </c>
      <c r="J505" s="0" t="n">
        <f aca="false">(I505/32)*5</f>
        <v>12.59375</v>
      </c>
      <c r="L505" s="0" t="n">
        <v>21</v>
      </c>
      <c r="M505" s="0" t="n">
        <v>0</v>
      </c>
      <c r="N505" s="0" t="n">
        <f aca="false">L505</f>
        <v>21</v>
      </c>
      <c r="O505" s="3" t="n">
        <f aca="false">LOOKUP(N505,$AB$3:$AC$123)</f>
        <v>1.08545</v>
      </c>
      <c r="P505" s="3" t="n">
        <f aca="false">(O505*(N505/100)*(J505/1000))*1000</f>
        <v>2.870676046875</v>
      </c>
      <c r="Q505" s="3"/>
      <c r="R505" s="1"/>
      <c r="S505" s="1"/>
      <c r="T505" s="1"/>
      <c r="U505" s="1"/>
      <c r="V505" s="1"/>
      <c r="W505" s="1"/>
      <c r="X505" s="1"/>
      <c r="Y505" s="5"/>
      <c r="Z505" s="1"/>
    </row>
    <row r="506" customFormat="false" ht="15" hidden="false" customHeight="false" outlineLevel="0" collapsed="false">
      <c r="A506" s="0" t="s">
        <v>79</v>
      </c>
      <c r="B506" s="0" t="s">
        <v>80</v>
      </c>
      <c r="C506" s="0" t="s">
        <v>81</v>
      </c>
      <c r="D506" s="0" t="s">
        <v>137</v>
      </c>
      <c r="E506" s="0" t="n">
        <v>11</v>
      </c>
      <c r="F506" s="0" t="n">
        <v>0</v>
      </c>
      <c r="G506" s="1"/>
      <c r="H506" s="1"/>
      <c r="I506" s="0" t="n">
        <v>0</v>
      </c>
      <c r="J506" s="0" t="n">
        <v>0</v>
      </c>
      <c r="L506" s="0" t="n">
        <v>0</v>
      </c>
      <c r="M506" s="0" t="n">
        <v>0</v>
      </c>
      <c r="N506" s="0" t="n">
        <f aca="false">L506</f>
        <v>0</v>
      </c>
      <c r="O506" s="3" t="n">
        <f aca="false">LOOKUP(N506,$AB$3:$AC$123)</f>
        <v>0.9982</v>
      </c>
      <c r="P506" s="3" t="n">
        <f aca="false">(O506*(N506/100)*(J506/1000))*1000</f>
        <v>0</v>
      </c>
      <c r="Q506" s="3"/>
      <c r="R506" s="0" t="n">
        <v>2</v>
      </c>
      <c r="S506" s="0" t="n">
        <v>1.3</v>
      </c>
      <c r="T506" s="0" t="n">
        <f aca="false">(S506/55)*5</f>
        <v>0.118181818181818</v>
      </c>
      <c r="V506" s="0" t="n">
        <v>4.5</v>
      </c>
      <c r="W506" s="0" t="n">
        <v>1</v>
      </c>
      <c r="X506" s="3" t="n">
        <f aca="false">LOOKUP(V506,$AB$3:$AC$123)</f>
        <v>1.0159</v>
      </c>
      <c r="Y506" s="2" t="n">
        <f aca="false">(V506*((W506+T506)/1000)*X506)/((((W506+T506)/1000)*X506)-((W506/1000)*0.9982))</f>
        <v>37.1064921438329</v>
      </c>
      <c r="Z506" s="3" t="n">
        <f aca="false">(X506*(V506/100)*((W506+T506)/1000))*1000</f>
        <v>0.0511182409090909</v>
      </c>
    </row>
    <row r="507" customFormat="false" ht="15" hidden="false" customHeight="false" outlineLevel="0" collapsed="false">
      <c r="A507" s="0" t="s">
        <v>82</v>
      </c>
      <c r="B507" s="0" t="s">
        <v>83</v>
      </c>
      <c r="C507" s="0" t="s">
        <v>81</v>
      </c>
      <c r="D507" s="0" t="s">
        <v>137</v>
      </c>
      <c r="E507" s="0" t="n">
        <v>11</v>
      </c>
      <c r="F507" s="0" t="n">
        <v>1</v>
      </c>
      <c r="G507" s="1"/>
      <c r="H507" s="1"/>
      <c r="I507" s="0" t="n">
        <v>54.6</v>
      </c>
      <c r="J507" s="0" t="n">
        <f aca="false">(I507/55)*5</f>
        <v>4.96363636363636</v>
      </c>
      <c r="L507" s="0" t="n">
        <v>20</v>
      </c>
      <c r="M507" s="0" t="n">
        <v>0</v>
      </c>
      <c r="N507" s="0" t="n">
        <f aca="false">L507</f>
        <v>20</v>
      </c>
      <c r="O507" s="3" t="n">
        <f aca="false">LOOKUP(N507,$AB$3:$AC$123)</f>
        <v>1.081</v>
      </c>
      <c r="P507" s="3" t="n">
        <f aca="false">(O507*(N507/100)*(J507/1000))*1000</f>
        <v>1.07313818181818</v>
      </c>
      <c r="Q507" s="3"/>
      <c r="R507" s="0" t="n">
        <v>1</v>
      </c>
      <c r="S507" s="0" t="n">
        <v>4.2</v>
      </c>
      <c r="T507" s="0" t="n">
        <f aca="false">(S507/55)*5</f>
        <v>0.381818181818182</v>
      </c>
      <c r="V507" s="0" t="n">
        <v>8.5</v>
      </c>
      <c r="W507" s="0" t="n">
        <v>4</v>
      </c>
      <c r="X507" s="3" t="n">
        <f aca="false">LOOKUP(V507,$AB$3:$AC$123)</f>
        <v>1.032</v>
      </c>
      <c r="Y507" s="2" t="n">
        <f aca="false">(V507*((W507+T507)/1000)*X507)/((((W507+T507)/1000)*X507)-((W507/1000)*0.9982))</f>
        <v>72.6278686271815</v>
      </c>
      <c r="Z507" s="3" t="n">
        <f aca="false">(X507*(V507/100)*((W507+T507)/1000))*1000</f>
        <v>0.384373090909091</v>
      </c>
    </row>
    <row r="508" customFormat="false" ht="15" hidden="false" customHeight="false" outlineLevel="0" collapsed="false">
      <c r="A508" s="0" t="s">
        <v>84</v>
      </c>
      <c r="B508" s="0" t="s">
        <v>85</v>
      </c>
      <c r="C508" s="0" t="s">
        <v>81</v>
      </c>
      <c r="D508" s="0" t="s">
        <v>137</v>
      </c>
      <c r="E508" s="0" t="n">
        <v>11</v>
      </c>
      <c r="F508" s="0" t="n">
        <v>1</v>
      </c>
      <c r="G508" s="1"/>
      <c r="H508" s="1"/>
      <c r="I508" s="0" t="n">
        <v>79.3</v>
      </c>
      <c r="J508" s="0" t="n">
        <f aca="false">(I508/55)*5</f>
        <v>7.20909090909091</v>
      </c>
      <c r="L508" s="0" t="n">
        <v>12</v>
      </c>
      <c r="M508" s="0" t="n">
        <v>0</v>
      </c>
      <c r="N508" s="0" t="n">
        <f aca="false">L508</f>
        <v>12</v>
      </c>
      <c r="O508" s="3" t="n">
        <f aca="false">LOOKUP(N508,$AB$3:$AC$123)</f>
        <v>1.0465</v>
      </c>
      <c r="P508" s="3" t="n">
        <f aca="false">(O508*(N508/100)*(J508/1000))*1000</f>
        <v>0.905317636363636</v>
      </c>
      <c r="Q508" s="3"/>
      <c r="R508" s="0" t="n">
        <v>2</v>
      </c>
      <c r="S508" s="0" t="n">
        <v>3.2</v>
      </c>
      <c r="T508" s="0" t="n">
        <f aca="false">(S508/55)*5</f>
        <v>0.290909090909091</v>
      </c>
      <c r="V508" s="0" t="n">
        <v>17.5</v>
      </c>
      <c r="W508" s="0" t="n">
        <v>4</v>
      </c>
      <c r="X508" s="3" t="n">
        <f aca="false">LOOKUP(V508,$AB$3:$AC$123)</f>
        <v>1.07</v>
      </c>
      <c r="Y508" s="2" t="n">
        <f aca="false">(V508*((W508+T508)/1000)*X508)/((((W508+T508)/1000)*X508)-((W508/1000)*0.9982))</f>
        <v>134.253858305991</v>
      </c>
      <c r="Z508" s="3" t="n">
        <f aca="false">(X508*(V508/100)*((W508+T508)/1000))*1000</f>
        <v>0.803472727272727</v>
      </c>
    </row>
    <row r="509" customFormat="false" ht="15" hidden="false" customHeight="false" outlineLevel="0" collapsed="false">
      <c r="A509" s="0" t="s">
        <v>86</v>
      </c>
      <c r="B509" s="0" t="s">
        <v>87</v>
      </c>
      <c r="C509" s="0" t="s">
        <v>81</v>
      </c>
      <c r="D509" s="0" t="s">
        <v>137</v>
      </c>
      <c r="E509" s="0" t="n">
        <v>11</v>
      </c>
      <c r="F509" s="0" t="n">
        <v>2</v>
      </c>
      <c r="G509" s="1"/>
      <c r="H509" s="1"/>
      <c r="I509" s="0" t="n">
        <f aca="false">99+14.6-4.3</f>
        <v>109.3</v>
      </c>
      <c r="J509" s="0" t="n">
        <f aca="false">(I509/55)*5</f>
        <v>9.93636363636364</v>
      </c>
      <c r="L509" s="0" t="n">
        <v>14</v>
      </c>
      <c r="M509" s="0" t="n">
        <v>0</v>
      </c>
      <c r="N509" s="0" t="n">
        <f aca="false">L509</f>
        <v>14</v>
      </c>
      <c r="O509" s="3" t="n">
        <f aca="false">LOOKUP(N509,$AB$3:$AC$123)</f>
        <v>1.0549</v>
      </c>
      <c r="P509" s="3" t="n">
        <f aca="false">(O509*(N509/100)*(J509/1000))*1000</f>
        <v>1.4674618</v>
      </c>
      <c r="Q509" s="3"/>
      <c r="R509" s="0" t="n">
        <v>3</v>
      </c>
      <c r="S509" s="0" t="n">
        <v>13.6</v>
      </c>
      <c r="T509" s="0" t="n">
        <f aca="false">(S509/55)*5</f>
        <v>1.23636363636364</v>
      </c>
      <c r="V509" s="0" t="n">
        <v>18</v>
      </c>
      <c r="W509" s="0" t="n">
        <v>4</v>
      </c>
      <c r="X509" s="3" t="n">
        <f aca="false">LOOKUP(V509,$AB$3:$AC$123)</f>
        <v>1.0722</v>
      </c>
      <c r="Y509" s="2" t="n">
        <f aca="false">(V509*((W509+T509)/1000)*X509)/((((W509+T509)/1000)*X509)-((W509/1000)*0.9982))</f>
        <v>62.3198758599658</v>
      </c>
      <c r="Z509" s="3" t="n">
        <f aca="false">(X509*(V509/100)*((W509+T509)/1000))*1000</f>
        <v>1.01059723636364</v>
      </c>
    </row>
    <row r="510" customFormat="false" ht="15" hidden="false" customHeight="false" outlineLevel="0" collapsed="false">
      <c r="A510" s="0" t="s">
        <v>88</v>
      </c>
      <c r="B510" s="0" t="s">
        <v>89</v>
      </c>
      <c r="C510" s="0" t="s">
        <v>81</v>
      </c>
      <c r="D510" s="0" t="s">
        <v>137</v>
      </c>
      <c r="E510" s="0" t="n">
        <v>11</v>
      </c>
      <c r="F510" s="0" t="n">
        <v>0</v>
      </c>
      <c r="G510" s="1"/>
      <c r="H510" s="1"/>
      <c r="I510" s="0" t="n">
        <v>0</v>
      </c>
      <c r="J510" s="0" t="n">
        <v>0</v>
      </c>
      <c r="L510" s="0" t="n">
        <v>0</v>
      </c>
      <c r="M510" s="0" t="n">
        <v>0</v>
      </c>
      <c r="N510" s="0" t="n">
        <f aca="false">L510</f>
        <v>0</v>
      </c>
      <c r="O510" s="3" t="n">
        <f aca="false">LOOKUP(N510,$AB$3:$AC$123)</f>
        <v>0.9982</v>
      </c>
      <c r="P510" s="3" t="n">
        <f aca="false">(O510*(N510/100)*(J510/1000))*1000</f>
        <v>0</v>
      </c>
      <c r="Q510" s="3"/>
      <c r="R510" s="0" t="n">
        <v>4</v>
      </c>
      <c r="S510" s="0" t="n">
        <v>5.6</v>
      </c>
      <c r="T510" s="0" t="n">
        <f aca="false">(S510/55)*5</f>
        <v>0.509090909090909</v>
      </c>
      <c r="V510" s="0" t="n">
        <v>6.5</v>
      </c>
      <c r="W510" s="0" t="n">
        <v>4</v>
      </c>
      <c r="X510" s="3" t="n">
        <f aca="false">LOOKUP(V510,$AB$3:$AC$123)</f>
        <v>1.02385</v>
      </c>
      <c r="Y510" s="2" t="n">
        <f aca="false">(V510*((W510+T510)/1000)*X510)/((((W510+T510)/1000)*X510)-((W510/1000)*0.9982))</f>
        <v>48.1028189374775</v>
      </c>
      <c r="Z510" s="3" t="n">
        <f aca="false">(X510*(V510/100)*((W510+T510)/1000))*1000</f>
        <v>0.300081127272727</v>
      </c>
    </row>
    <row r="511" customFormat="false" ht="15" hidden="false" customHeight="false" outlineLevel="0" collapsed="false">
      <c r="A511" s="0" t="s">
        <v>90</v>
      </c>
      <c r="B511" s="0" t="s">
        <v>91</v>
      </c>
      <c r="C511" s="0" t="s">
        <v>81</v>
      </c>
      <c r="D511" s="0" t="s">
        <v>137</v>
      </c>
      <c r="E511" s="0" t="n">
        <v>11</v>
      </c>
      <c r="F511" s="0" t="n">
        <v>1</v>
      </c>
      <c r="G511" s="1"/>
      <c r="H511" s="1"/>
      <c r="I511" s="0" t="n">
        <f aca="false">32+4.1</f>
        <v>36.1</v>
      </c>
      <c r="J511" s="0" t="n">
        <f aca="false">(I511/32)*5</f>
        <v>5.640625</v>
      </c>
      <c r="L511" s="0" t="n">
        <v>24</v>
      </c>
      <c r="M511" s="0" t="n">
        <v>0</v>
      </c>
      <c r="N511" s="0" t="n">
        <f aca="false">L511</f>
        <v>24</v>
      </c>
      <c r="O511" s="3" t="n">
        <f aca="false">LOOKUP(N511,$AB$3:$AC$123)</f>
        <v>1.099</v>
      </c>
      <c r="P511" s="3" t="n">
        <f aca="false">(O511*(N511/100)*(J511/1000))*1000</f>
        <v>1.48777125</v>
      </c>
      <c r="Q511" s="3"/>
      <c r="R511" s="0" t="n">
        <v>3</v>
      </c>
      <c r="S511" s="0" t="n">
        <v>2.9</v>
      </c>
      <c r="T511" s="0" t="n">
        <f aca="false">(S511/55)*5</f>
        <v>0.263636363636364</v>
      </c>
      <c r="V511" s="0" t="n">
        <v>6.5</v>
      </c>
      <c r="W511" s="0" t="n">
        <v>4</v>
      </c>
      <c r="X511" s="3" t="n">
        <f aca="false">LOOKUP(V511,$AB$3:$AC$123)</f>
        <v>1.02385</v>
      </c>
      <c r="Y511" s="2" t="n">
        <f aca="false">(V511*((W511+T511)/1000)*X511)/((((W511+T511)/1000)*X511)-((W511/1000)*0.9982))</f>
        <v>76.1685144218862</v>
      </c>
      <c r="Z511" s="3" t="n">
        <f aca="false">(X511*(V511/100)*((W511+T511)/1000))*1000</f>
        <v>0.283746065909091</v>
      </c>
    </row>
    <row r="512" customFormat="false" ht="15" hidden="false" customHeight="false" outlineLevel="0" collapsed="false">
      <c r="A512" s="0" t="s">
        <v>92</v>
      </c>
      <c r="B512" s="0" t="s">
        <v>93</v>
      </c>
      <c r="C512" s="0" t="s">
        <v>81</v>
      </c>
      <c r="D512" s="0" t="s">
        <v>137</v>
      </c>
      <c r="E512" s="0" t="n">
        <v>11</v>
      </c>
      <c r="F512" s="0" t="n">
        <v>0</v>
      </c>
      <c r="G512" s="1"/>
      <c r="H512" s="1"/>
      <c r="I512" s="0" t="n">
        <v>0</v>
      </c>
      <c r="J512" s="0" t="n">
        <v>0</v>
      </c>
      <c r="L512" s="0" t="n">
        <v>0</v>
      </c>
      <c r="M512" s="0" t="n">
        <v>0</v>
      </c>
      <c r="N512" s="0" t="n">
        <f aca="false">L512</f>
        <v>0</v>
      </c>
      <c r="O512" s="3" t="n">
        <f aca="false">LOOKUP(N512,$AB$3:$AC$123)</f>
        <v>0.9982</v>
      </c>
      <c r="P512" s="3" t="n">
        <f aca="false">(O512*(N512/100)*(J512/1000))*1000</f>
        <v>0</v>
      </c>
      <c r="Q512" s="3"/>
      <c r="R512" s="0" t="n">
        <v>3</v>
      </c>
      <c r="S512" s="0" t="n">
        <v>4.8</v>
      </c>
      <c r="T512" s="0" t="n">
        <f aca="false">(S512/55)*5</f>
        <v>0.436363636363636</v>
      </c>
      <c r="V512" s="0" t="n">
        <v>3</v>
      </c>
      <c r="W512" s="0" t="n">
        <v>4</v>
      </c>
      <c r="X512" s="3" t="n">
        <f aca="false">LOOKUP(V512,$AB$3:$AC$123)</f>
        <v>1.0099</v>
      </c>
      <c r="Y512" s="2" t="n">
        <f aca="false">(V512*((W512+T512)/1000)*X512)/((((W512+T512)/1000)*X512)-((W512/1000)*0.9982))</f>
        <v>27.5719017141834</v>
      </c>
      <c r="Z512" s="3" t="n">
        <f aca="false">(X512*(V512/100)*((W512+T512)/1000))*1000</f>
        <v>0.134408509090909</v>
      </c>
    </row>
    <row r="513" customFormat="false" ht="15" hidden="false" customHeight="false" outlineLevel="0" collapsed="false">
      <c r="A513" s="0" t="s">
        <v>94</v>
      </c>
      <c r="B513" s="0" t="s">
        <v>95</v>
      </c>
      <c r="C513" s="0" t="s">
        <v>81</v>
      </c>
      <c r="D513" s="0" t="s">
        <v>137</v>
      </c>
      <c r="E513" s="0" t="n">
        <v>11</v>
      </c>
      <c r="F513" s="0" t="n">
        <v>2</v>
      </c>
      <c r="G513" s="1"/>
      <c r="H513" s="1"/>
      <c r="I513" s="0" t="s">
        <v>138</v>
      </c>
      <c r="J513" s="0" t="n">
        <v>21.0625</v>
      </c>
      <c r="L513" s="0" t="n">
        <v>20</v>
      </c>
      <c r="M513" s="0" t="n">
        <v>0</v>
      </c>
      <c r="N513" s="0" t="n">
        <f aca="false">L513</f>
        <v>20</v>
      </c>
      <c r="O513" s="3" t="n">
        <f aca="false">LOOKUP(N513,$AB$3:$AC$123)</f>
        <v>1.081</v>
      </c>
      <c r="P513" s="3" t="n">
        <f aca="false">(O513*(N513/100)*(J513/1000))*1000</f>
        <v>4.5537125</v>
      </c>
      <c r="Q513" s="3"/>
      <c r="R513" s="0" t="n">
        <v>6</v>
      </c>
      <c r="S513" s="0" t="n">
        <v>23.9</v>
      </c>
      <c r="T513" s="0" t="n">
        <f aca="false">(S513/55)*5</f>
        <v>2.17272727272727</v>
      </c>
      <c r="V513" s="0" t="n">
        <v>23</v>
      </c>
      <c r="W513" s="0" t="n">
        <v>4</v>
      </c>
      <c r="X513" s="3" t="n">
        <f aca="false">LOOKUP(V513,$AB$3:$AC$123)</f>
        <v>1.09445</v>
      </c>
      <c r="Y513" s="2" t="n">
        <f aca="false">(V513*((W513+T513)/1000)*X513)/((((W513+T513)/1000)*X513)-((W513/1000)*0.9982))</f>
        <v>56.2379113102621</v>
      </c>
      <c r="Z513" s="3" t="n">
        <f aca="false">(X513*(V513/100)*((W513+T513)/1000))*1000</f>
        <v>1.55382051363636</v>
      </c>
    </row>
    <row r="514" customFormat="false" ht="15" hidden="false" customHeight="false" outlineLevel="0" collapsed="false">
      <c r="A514" s="0" t="s">
        <v>96</v>
      </c>
      <c r="B514" s="0" t="s">
        <v>97</v>
      </c>
      <c r="C514" s="0" t="s">
        <v>81</v>
      </c>
      <c r="D514" s="0" t="s">
        <v>137</v>
      </c>
      <c r="E514" s="0" t="n">
        <v>11</v>
      </c>
      <c r="F514" s="0" t="n">
        <v>0</v>
      </c>
      <c r="G514" s="1"/>
      <c r="H514" s="1"/>
      <c r="I514" s="0" t="n">
        <v>0</v>
      </c>
      <c r="J514" s="0" t="n">
        <v>0</v>
      </c>
      <c r="L514" s="0" t="n">
        <v>0</v>
      </c>
      <c r="M514" s="0" t="n">
        <v>0</v>
      </c>
      <c r="N514" s="0" t="n">
        <f aca="false">L514</f>
        <v>0</v>
      </c>
      <c r="O514" s="3" t="n">
        <f aca="false">LOOKUP(N514,$AB$3:$AC$123)</f>
        <v>0.9982</v>
      </c>
      <c r="P514" s="3" t="n">
        <f aca="false">(O514*(N514/100)*(J514/1000))*1000</f>
        <v>0</v>
      </c>
      <c r="Q514" s="3"/>
      <c r="R514" s="0" t="n">
        <v>2</v>
      </c>
      <c r="S514" s="0" t="n">
        <v>2.3</v>
      </c>
      <c r="T514" s="0" t="n">
        <f aca="false">(S514/55)*5</f>
        <v>0.209090909090909</v>
      </c>
      <c r="V514" s="0" t="n">
        <v>6</v>
      </c>
      <c r="W514" s="0" t="n">
        <v>4</v>
      </c>
      <c r="X514" s="3" t="n">
        <f aca="false">LOOKUP(V514,$AB$3:$AC$123)</f>
        <v>1.0218</v>
      </c>
      <c r="Y514" s="2" t="n">
        <f aca="false">(V514*((W514+T514)/1000)*X514)/((((W514+T514)/1000)*X514)-((W514/1000)*0.9982))</f>
        <v>83.7694228192674</v>
      </c>
      <c r="Z514" s="3" t="n">
        <f aca="false">(X514*(V514/100)*((W514+T514)/1000))*1000</f>
        <v>0.258050945454545</v>
      </c>
    </row>
    <row r="515" customFormat="false" ht="15" hidden="false" customHeight="false" outlineLevel="0" collapsed="false">
      <c r="A515" s="0" t="s">
        <v>98</v>
      </c>
      <c r="B515" s="0" t="s">
        <v>99</v>
      </c>
      <c r="C515" s="0" t="s">
        <v>81</v>
      </c>
      <c r="D515" s="0" t="s">
        <v>137</v>
      </c>
      <c r="E515" s="0" t="n">
        <v>11</v>
      </c>
      <c r="F515" s="0" t="n">
        <v>1</v>
      </c>
      <c r="G515" s="1"/>
      <c r="H515" s="1"/>
      <c r="I515" s="0" t="n">
        <f aca="false">32+19.6</f>
        <v>51.6</v>
      </c>
      <c r="J515" s="0" t="n">
        <f aca="false">(I515/32)*5</f>
        <v>8.0625</v>
      </c>
      <c r="L515" s="0" t="n">
        <v>20</v>
      </c>
      <c r="M515" s="0" t="n">
        <v>0</v>
      </c>
      <c r="N515" s="0" t="n">
        <f aca="false">L515</f>
        <v>20</v>
      </c>
      <c r="O515" s="3" t="n">
        <f aca="false">LOOKUP(N515,$AB$3:$AC$123)</f>
        <v>1.081</v>
      </c>
      <c r="P515" s="3" t="n">
        <f aca="false">(O515*(N515/100)*(J515/1000))*1000</f>
        <v>1.7431125</v>
      </c>
      <c r="Q515" s="3"/>
      <c r="R515" s="0" t="n">
        <v>4</v>
      </c>
      <c r="S515" s="0" t="n">
        <v>5.7</v>
      </c>
      <c r="T515" s="0" t="n">
        <f aca="false">(S515/55)*5</f>
        <v>0.518181818181818</v>
      </c>
      <c r="V515" s="0" t="n">
        <v>7.5</v>
      </c>
      <c r="W515" s="0" t="n">
        <v>4</v>
      </c>
      <c r="X515" s="3" t="n">
        <f aca="false">LOOKUP(V515,$AB$3:$AC$123)</f>
        <v>1.0279</v>
      </c>
      <c r="Y515" s="2" t="n">
        <f aca="false">(V515*((W515+T515)/1000)*X515)/((((W515+T515)/1000)*X515)-((W515/1000)*0.9982))</f>
        <v>53.4689945198253</v>
      </c>
      <c r="Z515" s="3" t="n">
        <f aca="false">(X515*(V515/100)*((W515+T515)/1000))*1000</f>
        <v>0.348317931818182</v>
      </c>
    </row>
    <row r="516" customFormat="false" ht="15" hidden="false" customHeight="false" outlineLevel="0" collapsed="false">
      <c r="A516" s="0" t="s">
        <v>100</v>
      </c>
      <c r="B516" s="0" t="s">
        <v>101</v>
      </c>
      <c r="C516" s="0" t="s">
        <v>81</v>
      </c>
      <c r="D516" s="0" t="s">
        <v>137</v>
      </c>
      <c r="E516" s="0" t="n">
        <v>11</v>
      </c>
      <c r="F516" s="0" t="n">
        <v>0</v>
      </c>
      <c r="G516" s="1"/>
      <c r="H516" s="1"/>
      <c r="I516" s="0" t="n">
        <v>0</v>
      </c>
      <c r="J516" s="0" t="n">
        <v>0</v>
      </c>
      <c r="L516" s="0" t="n">
        <v>0</v>
      </c>
      <c r="M516" s="0" t="n">
        <v>0</v>
      </c>
      <c r="N516" s="0" t="n">
        <f aca="false">L516</f>
        <v>0</v>
      </c>
      <c r="O516" s="3" t="n">
        <f aca="false">LOOKUP(N516,$AB$3:$AC$123)</f>
        <v>0.9982</v>
      </c>
      <c r="P516" s="3" t="n">
        <f aca="false">(O516*(N516/100)*(J516/1000))*1000</f>
        <v>0</v>
      </c>
      <c r="Q516" s="3"/>
      <c r="R516" s="0" t="n">
        <v>1</v>
      </c>
      <c r="S516" s="0" t="n">
        <v>0.6</v>
      </c>
      <c r="T516" s="0" t="n">
        <f aca="false">(S516/55)*5</f>
        <v>0.0545454545454546</v>
      </c>
      <c r="V516" s="0" t="n">
        <v>1.5</v>
      </c>
      <c r="W516" s="0" t="n">
        <v>1</v>
      </c>
      <c r="X516" s="3" t="n">
        <f aca="false">LOOKUP(V516,$AB$3:$AC$123)</f>
        <v>1.00405</v>
      </c>
      <c r="Y516" s="2" t="n">
        <f aca="false">(V516*((W516+T516)/1000)*X516)/((((W516+T516)/1000)*X516)-((W516/1000)*0.9982))</f>
        <v>26.2012507873663</v>
      </c>
      <c r="Z516" s="3" t="n">
        <f aca="false">(X516*(V516/100)*((W516+T516)/1000))*1000</f>
        <v>0.0158822454545455</v>
      </c>
    </row>
    <row r="517" customFormat="false" ht="15" hidden="false" customHeight="false" outlineLevel="0" collapsed="false">
      <c r="A517" s="0" t="s">
        <v>102</v>
      </c>
      <c r="B517" s="0" t="s">
        <v>103</v>
      </c>
      <c r="C517" s="0" t="s">
        <v>81</v>
      </c>
      <c r="D517" s="0" t="s">
        <v>137</v>
      </c>
      <c r="E517" s="0" t="n">
        <v>11</v>
      </c>
      <c r="F517" s="0" t="n">
        <v>1</v>
      </c>
      <c r="G517" s="1"/>
      <c r="H517" s="1"/>
      <c r="I517" s="0" t="n">
        <f aca="false">32+23.9</f>
        <v>55.9</v>
      </c>
      <c r="J517" s="0" t="n">
        <f aca="false">(I517/32)*5</f>
        <v>8.734375</v>
      </c>
      <c r="L517" s="0" t="n">
        <v>19.5</v>
      </c>
      <c r="M517" s="0" t="n">
        <v>0</v>
      </c>
      <c r="N517" s="0" t="n">
        <f aca="false">L517</f>
        <v>19.5</v>
      </c>
      <c r="O517" s="3" t="n">
        <f aca="false">LOOKUP(N517,$AB$3:$AC$123)</f>
        <v>1.07875</v>
      </c>
      <c r="P517" s="3" t="n">
        <f aca="false">(O517*(N517/100)*(J517/1000))*1000</f>
        <v>1.83733037109375</v>
      </c>
      <c r="Q517" s="3"/>
      <c r="R517" s="0" t="n">
        <v>4</v>
      </c>
      <c r="S517" s="0" t="n">
        <v>11</v>
      </c>
      <c r="T517" s="0" t="n">
        <f aca="false">(S517/55)*5</f>
        <v>1</v>
      </c>
      <c r="V517" s="0" t="n">
        <v>15.5</v>
      </c>
      <c r="W517" s="0" t="n">
        <v>4</v>
      </c>
      <c r="X517" s="3" t="n">
        <f aca="false">LOOKUP(V517,$AB$3:$AC$123)</f>
        <v>1.06135</v>
      </c>
      <c r="Y517" s="2" t="n">
        <f aca="false">(V517*((W517+T517)/1000)*X517)/((((W517+T517)/1000)*X517)-((W517/1000)*0.9982))</f>
        <v>62.6010312416759</v>
      </c>
      <c r="Z517" s="3" t="n">
        <f aca="false">(X517*(V517/100)*((W517+T517)/1000))*1000</f>
        <v>0.82254625</v>
      </c>
    </row>
    <row r="518" customFormat="false" ht="15" hidden="false" customHeight="false" outlineLevel="0" collapsed="false">
      <c r="A518" s="0" t="s">
        <v>104</v>
      </c>
      <c r="B518" s="0" t="s">
        <v>105</v>
      </c>
      <c r="C518" s="0" t="s">
        <v>106</v>
      </c>
      <c r="D518" s="0" t="s">
        <v>137</v>
      </c>
      <c r="E518" s="0" t="n">
        <v>11</v>
      </c>
      <c r="F518" s="0" t="n">
        <v>0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0" t="n">
        <v>9</v>
      </c>
      <c r="S518" s="1"/>
      <c r="T518" s="1"/>
      <c r="U518" s="1"/>
      <c r="V518" s="1"/>
      <c r="W518" s="1"/>
      <c r="X518" s="1"/>
      <c r="Y518" s="5"/>
      <c r="Z518" s="1"/>
    </row>
    <row r="519" customFormat="false" ht="15" hidden="false" customHeight="false" outlineLevel="0" collapsed="false">
      <c r="A519" s="0" t="s">
        <v>107</v>
      </c>
      <c r="B519" s="0" t="s">
        <v>37</v>
      </c>
      <c r="C519" s="0" t="s">
        <v>106</v>
      </c>
      <c r="D519" s="0" t="s">
        <v>137</v>
      </c>
      <c r="E519" s="0" t="n">
        <v>11</v>
      </c>
      <c r="F519" s="0" t="n">
        <v>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0" t="n">
        <v>4</v>
      </c>
      <c r="S519" s="1"/>
      <c r="T519" s="1"/>
      <c r="U519" s="1"/>
      <c r="V519" s="1"/>
      <c r="W519" s="1"/>
      <c r="X519" s="1"/>
      <c r="Y519" s="5"/>
      <c r="Z519" s="1"/>
    </row>
    <row r="520" customFormat="false" ht="15" hidden="false" customHeight="false" outlineLevel="0" collapsed="false">
      <c r="A520" s="0" t="s">
        <v>108</v>
      </c>
      <c r="B520" s="0" t="s">
        <v>109</v>
      </c>
      <c r="C520" s="0" t="s">
        <v>106</v>
      </c>
      <c r="D520" s="0" t="s">
        <v>137</v>
      </c>
      <c r="E520" s="0" t="n">
        <v>11</v>
      </c>
      <c r="F520" s="0" t="n">
        <v>0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0" t="n">
        <v>6</v>
      </c>
      <c r="S520" s="1"/>
      <c r="T520" s="1"/>
      <c r="U520" s="1"/>
      <c r="V520" s="1"/>
      <c r="W520" s="1"/>
      <c r="X520" s="1"/>
      <c r="Y520" s="5"/>
      <c r="Z520" s="1"/>
    </row>
    <row r="521" customFormat="false" ht="15" hidden="false" customHeight="false" outlineLevel="0" collapsed="false">
      <c r="A521" s="0" t="s">
        <v>110</v>
      </c>
      <c r="B521" s="0" t="s">
        <v>111</v>
      </c>
      <c r="C521" s="0" t="s">
        <v>106</v>
      </c>
      <c r="D521" s="0" t="s">
        <v>137</v>
      </c>
      <c r="E521" s="0" t="n">
        <v>11</v>
      </c>
      <c r="F521" s="0" t="n">
        <v>1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0" t="n">
        <v>12</v>
      </c>
      <c r="S521" s="1"/>
      <c r="T521" s="1"/>
      <c r="U521" s="1"/>
      <c r="V521" s="1"/>
      <c r="W521" s="1"/>
      <c r="X521" s="1"/>
      <c r="Y521" s="5"/>
      <c r="Z521" s="1"/>
    </row>
    <row r="522" customFormat="false" ht="15" hidden="false" customHeight="false" outlineLevel="0" collapsed="false">
      <c r="A522" s="0" t="s">
        <v>112</v>
      </c>
      <c r="B522" s="0" t="s">
        <v>113</v>
      </c>
      <c r="C522" s="0" t="s">
        <v>106</v>
      </c>
      <c r="D522" s="0" t="s">
        <v>137</v>
      </c>
      <c r="E522" s="0" t="n">
        <v>11</v>
      </c>
      <c r="F522" s="0" t="n">
        <v>0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0" t="n">
        <v>9</v>
      </c>
      <c r="S522" s="1"/>
      <c r="T522" s="1"/>
      <c r="U522" s="1"/>
      <c r="V522" s="1"/>
      <c r="W522" s="1"/>
      <c r="X522" s="1"/>
      <c r="Y522" s="5"/>
      <c r="Z522" s="1"/>
    </row>
    <row r="523" customFormat="false" ht="15" hidden="false" customHeight="false" outlineLevel="0" collapsed="false">
      <c r="A523" s="0" t="s">
        <v>114</v>
      </c>
      <c r="B523" s="0" t="s">
        <v>115</v>
      </c>
      <c r="C523" s="0" t="s">
        <v>106</v>
      </c>
      <c r="D523" s="0" t="s">
        <v>137</v>
      </c>
      <c r="E523" s="0" t="n">
        <v>11</v>
      </c>
      <c r="F523" s="0" t="n">
        <v>1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0" t="n">
        <v>9</v>
      </c>
      <c r="S523" s="1"/>
      <c r="T523" s="1"/>
      <c r="U523" s="1"/>
      <c r="V523" s="1"/>
      <c r="W523" s="1"/>
      <c r="X523" s="1"/>
      <c r="Y523" s="5"/>
      <c r="Z523" s="1"/>
    </row>
    <row r="524" customFormat="false" ht="15" hidden="false" customHeight="false" outlineLevel="0" collapsed="false">
      <c r="A524" s="0" t="s">
        <v>116</v>
      </c>
      <c r="B524" s="0" t="s">
        <v>117</v>
      </c>
      <c r="C524" s="0" t="s">
        <v>106</v>
      </c>
      <c r="D524" s="0" t="s">
        <v>137</v>
      </c>
      <c r="E524" s="0" t="n">
        <v>11</v>
      </c>
      <c r="F524" s="0" t="n">
        <v>0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0" t="n">
        <v>6</v>
      </c>
      <c r="S524" s="1"/>
      <c r="T524" s="1"/>
      <c r="U524" s="1"/>
      <c r="V524" s="1"/>
      <c r="W524" s="1"/>
      <c r="X524" s="1"/>
      <c r="Y524" s="5"/>
      <c r="Z524" s="1"/>
    </row>
    <row r="525" customFormat="false" ht="15" hidden="false" customHeight="false" outlineLevel="0" collapsed="false">
      <c r="A525" s="0" t="s">
        <v>118</v>
      </c>
      <c r="B525" s="0" t="s">
        <v>119</v>
      </c>
      <c r="C525" s="0" t="s">
        <v>106</v>
      </c>
      <c r="D525" s="0" t="s">
        <v>137</v>
      </c>
      <c r="E525" s="0" t="n">
        <v>11</v>
      </c>
      <c r="F525" s="0" t="n">
        <v>0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0" t="n">
        <v>11</v>
      </c>
      <c r="S525" s="1"/>
      <c r="T525" s="1"/>
      <c r="U525" s="1"/>
      <c r="V525" s="1"/>
      <c r="W525" s="1"/>
      <c r="X525" s="1"/>
      <c r="Y525" s="5"/>
      <c r="Z525" s="1"/>
    </row>
    <row r="526" customFormat="false" ht="15" hidden="false" customHeight="false" outlineLevel="0" collapsed="false">
      <c r="A526" s="0" t="s">
        <v>120</v>
      </c>
      <c r="B526" s="0" t="s">
        <v>121</v>
      </c>
      <c r="C526" s="0" t="s">
        <v>106</v>
      </c>
      <c r="D526" s="0" t="s">
        <v>137</v>
      </c>
      <c r="E526" s="0" t="n">
        <v>11</v>
      </c>
      <c r="F526" s="0" t="n">
        <v>1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0" t="n">
        <v>7</v>
      </c>
      <c r="S526" s="1"/>
      <c r="T526" s="1"/>
      <c r="U526" s="1"/>
      <c r="V526" s="1"/>
      <c r="W526" s="1"/>
      <c r="X526" s="1"/>
      <c r="Y526" s="5"/>
      <c r="Z526" s="1"/>
    </row>
    <row r="527" customFormat="false" ht="15" hidden="false" customHeight="false" outlineLevel="0" collapsed="false">
      <c r="A527" s="0" t="s">
        <v>122</v>
      </c>
      <c r="B527" s="0" t="s">
        <v>123</v>
      </c>
      <c r="C527" s="0" t="s">
        <v>106</v>
      </c>
      <c r="D527" s="0" t="s">
        <v>137</v>
      </c>
      <c r="E527" s="0" t="n">
        <v>11</v>
      </c>
      <c r="F527" s="0" t="n">
        <v>0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0" t="n">
        <v>6</v>
      </c>
      <c r="S527" s="1"/>
      <c r="T527" s="1"/>
      <c r="U527" s="1"/>
      <c r="V527" s="1"/>
      <c r="W527" s="1"/>
      <c r="X527" s="1"/>
      <c r="Y527" s="5"/>
      <c r="Z527" s="1"/>
    </row>
    <row r="528" customFormat="false" ht="15" hidden="false" customHeight="false" outlineLevel="0" collapsed="false">
      <c r="A528" s="0" t="s">
        <v>124</v>
      </c>
      <c r="B528" s="0" t="s">
        <v>125</v>
      </c>
      <c r="C528" s="0" t="s">
        <v>106</v>
      </c>
      <c r="D528" s="0" t="s">
        <v>137</v>
      </c>
      <c r="E528" s="0" t="n">
        <v>11</v>
      </c>
      <c r="F528" s="0" t="n">
        <v>1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0" t="n">
        <v>8</v>
      </c>
      <c r="S528" s="1"/>
      <c r="T528" s="1"/>
      <c r="U528" s="1"/>
      <c r="V528" s="1"/>
      <c r="W528" s="1"/>
      <c r="X528" s="1"/>
      <c r="Y528" s="5"/>
      <c r="Z528" s="1"/>
    </row>
    <row r="529" customFormat="false" ht="15" hidden="false" customHeight="false" outlineLevel="0" collapsed="false">
      <c r="A529" s="0" t="s">
        <v>126</v>
      </c>
      <c r="B529" s="0" t="s">
        <v>127</v>
      </c>
      <c r="C529" s="0" t="s">
        <v>106</v>
      </c>
      <c r="D529" s="0" t="s">
        <v>137</v>
      </c>
      <c r="E529" s="0" t="n">
        <v>11</v>
      </c>
      <c r="F529" s="0" t="n">
        <v>0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0" t="n">
        <v>8</v>
      </c>
      <c r="S529" s="1"/>
      <c r="T529" s="1"/>
      <c r="U529" s="1"/>
      <c r="V529" s="1"/>
      <c r="W529" s="1"/>
      <c r="X529" s="1"/>
      <c r="Y529" s="5"/>
      <c r="Z529" s="1"/>
    </row>
    <row r="530" customFormat="false" ht="15" hidden="false" customHeight="false" outlineLevel="0" collapsed="false">
      <c r="A530" s="0" t="s">
        <v>26</v>
      </c>
      <c r="B530" s="0" t="s">
        <v>27</v>
      </c>
      <c r="C530" s="0" t="s">
        <v>28</v>
      </c>
      <c r="D530" s="0" t="s">
        <v>139</v>
      </c>
      <c r="E530" s="0" t="n">
        <v>12</v>
      </c>
      <c r="F530" s="0" t="n">
        <v>1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0" t="n">
        <v>1</v>
      </c>
      <c r="S530" s="0" t="n">
        <v>2.7</v>
      </c>
      <c r="T530" s="0" t="n">
        <f aca="false">(S530/32)*5</f>
        <v>0.421875</v>
      </c>
      <c r="V530" s="0" t="n">
        <v>5</v>
      </c>
      <c r="W530" s="0" t="n">
        <v>4</v>
      </c>
      <c r="X530" s="3" t="n">
        <f aca="false">LOOKUP(V530,$AB$3:$AC$123)</f>
        <v>1.0179</v>
      </c>
      <c r="Y530" s="2" t="n">
        <f aca="false">(V530*((W530+T530)/1000)*X530)/((((W530+T530)/1000)*X530)-((W530/1000)*0.9982))</f>
        <v>44.2816933884679</v>
      </c>
      <c r="Z530" s="3" t="n">
        <f aca="false">(X530*(V530/100)*((W530+T530)/1000))*1000</f>
        <v>0.225051328125</v>
      </c>
    </row>
    <row r="531" customFormat="false" ht="15" hidden="false" customHeight="false" outlineLevel="0" collapsed="false">
      <c r="A531" s="0" t="s">
        <v>32</v>
      </c>
      <c r="B531" s="0" t="s">
        <v>33</v>
      </c>
      <c r="C531" s="0" t="s">
        <v>28</v>
      </c>
      <c r="D531" s="0" t="s">
        <v>139</v>
      </c>
      <c r="E531" s="0" t="n">
        <v>12</v>
      </c>
      <c r="F531" s="0" t="n">
        <v>0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0" t="n">
        <v>6</v>
      </c>
      <c r="S531" s="0" t="n">
        <v>6</v>
      </c>
      <c r="T531" s="0" t="n">
        <f aca="false">(S531/32)*5</f>
        <v>0.9375</v>
      </c>
      <c r="V531" s="0" t="n">
        <v>12</v>
      </c>
      <c r="W531" s="0" t="n">
        <v>4</v>
      </c>
      <c r="X531" s="3" t="n">
        <f aca="false">LOOKUP(V531,$AB$3:$AC$123)</f>
        <v>1.0465</v>
      </c>
      <c r="Y531" s="2" t="n">
        <f aca="false">(V531*((W531+T531)/1000)*X531)/((((W531+T531)/1000)*X531)-((W531/1000)*0.9982))</f>
        <v>52.8020565552699</v>
      </c>
      <c r="Z531" s="3" t="n">
        <f aca="false">(X531*(V531/100)*((W531+T531)/1000))*1000</f>
        <v>0.62005125</v>
      </c>
    </row>
    <row r="532" customFormat="false" ht="15" hidden="false" customHeight="false" outlineLevel="0" collapsed="false">
      <c r="A532" s="0" t="s">
        <v>34</v>
      </c>
      <c r="B532" s="0" t="s">
        <v>35</v>
      </c>
      <c r="C532" s="0" t="s">
        <v>28</v>
      </c>
      <c r="D532" s="0" t="s">
        <v>139</v>
      </c>
      <c r="E532" s="0" t="n">
        <v>12</v>
      </c>
      <c r="F532" s="0" t="n">
        <v>1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0" t="n">
        <v>6</v>
      </c>
      <c r="S532" s="0" t="n">
        <v>7</v>
      </c>
      <c r="T532" s="0" t="n">
        <f aca="false">(S532/32)*5</f>
        <v>1.09375</v>
      </c>
      <c r="V532" s="0" t="n">
        <v>13</v>
      </c>
      <c r="W532" s="0" t="n">
        <v>4</v>
      </c>
      <c r="X532" s="3" t="n">
        <f aca="false">LOOKUP(V532,$AB$3:$AC$123)</f>
        <v>1.0507</v>
      </c>
      <c r="Y532" s="2" t="n">
        <f aca="false">(V532*((W532+T532)/1000)*X532)/((((W532+T532)/1000)*X532)-((W532/1000)*0.9982))</f>
        <v>51.1888468656957</v>
      </c>
      <c r="Z532" s="3" t="n">
        <f aca="false">(X532*(V532/100)*((W532+T532)/1000))*1000</f>
        <v>0.69576040625</v>
      </c>
    </row>
    <row r="533" customFormat="false" ht="15" hidden="false" customHeight="false" outlineLevel="0" collapsed="false">
      <c r="A533" s="0" t="s">
        <v>36</v>
      </c>
      <c r="B533" s="0" t="s">
        <v>37</v>
      </c>
      <c r="C533" s="0" t="s">
        <v>28</v>
      </c>
      <c r="D533" s="0" t="s">
        <v>139</v>
      </c>
      <c r="E533" s="0" t="n">
        <v>12</v>
      </c>
      <c r="F533" s="0" t="n">
        <v>0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0" t="n">
        <v>2</v>
      </c>
      <c r="S533" s="0" t="n">
        <v>2.1</v>
      </c>
      <c r="T533" s="0" t="n">
        <f aca="false">(S533/32)*5</f>
        <v>0.328125</v>
      </c>
      <c r="V533" s="0" t="n">
        <v>4.5</v>
      </c>
      <c r="W533" s="0" t="n">
        <v>4</v>
      </c>
      <c r="X533" s="3" t="n">
        <f aca="false">LOOKUP(V533,$AB$3:$AC$123)</f>
        <v>1.0159</v>
      </c>
      <c r="Y533" s="2" t="n">
        <f aca="false">(V533*((W533+T533)/1000)*X533)/((((W533+T533)/1000)*X533)-((W533/1000)*0.9982))</f>
        <v>48.9586102508786</v>
      </c>
      <c r="Z533" s="3" t="n">
        <f aca="false">(X533*(V533/100)*((W533+T533)/1000))*1000</f>
        <v>0.1978623984375</v>
      </c>
    </row>
    <row r="534" customFormat="false" ht="15" hidden="false" customHeight="false" outlineLevel="0" collapsed="false">
      <c r="A534" s="0" t="s">
        <v>38</v>
      </c>
      <c r="B534" s="0" t="s">
        <v>39</v>
      </c>
      <c r="C534" s="0" t="s">
        <v>28</v>
      </c>
      <c r="D534" s="0" t="s">
        <v>139</v>
      </c>
      <c r="E534" s="0" t="n">
        <v>12</v>
      </c>
      <c r="F534" s="0" t="n">
        <v>0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0" t="n">
        <v>4</v>
      </c>
      <c r="S534" s="0" t="n">
        <v>6.1</v>
      </c>
      <c r="T534" s="0" t="n">
        <f aca="false">(S534/32)*5</f>
        <v>0.953125</v>
      </c>
      <c r="V534" s="0" t="n">
        <v>10.5</v>
      </c>
      <c r="W534" s="0" t="n">
        <v>4</v>
      </c>
      <c r="X534" s="3" t="n">
        <f aca="false">LOOKUP(V534,$AB$3:$AC$123)</f>
        <v>1.0402</v>
      </c>
      <c r="Y534" s="2" t="n">
        <f aca="false">(V534*((W534+T534)/1000)*X534)/((((W534+T534)/1000)*X534)-((W534/1000)*0.9982))</f>
        <v>46.6591608022187</v>
      </c>
      <c r="Z534" s="3" t="n">
        <f aca="false">(X534*(V534/100)*((W534+T534)/1000))*1000</f>
        <v>0.540985265625</v>
      </c>
    </row>
    <row r="535" customFormat="false" ht="15" hidden="false" customHeight="false" outlineLevel="0" collapsed="false">
      <c r="A535" s="0" t="s">
        <v>40</v>
      </c>
      <c r="B535" s="0" t="s">
        <v>41</v>
      </c>
      <c r="C535" s="0" t="s">
        <v>28</v>
      </c>
      <c r="D535" s="0" t="s">
        <v>139</v>
      </c>
      <c r="E535" s="0" t="n">
        <v>12</v>
      </c>
      <c r="F535" s="0" t="n">
        <v>0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0" t="n">
        <v>1</v>
      </c>
      <c r="S535" s="0" t="n">
        <v>2</v>
      </c>
      <c r="T535" s="0" t="n">
        <f aca="false">(S535/32)*5</f>
        <v>0.3125</v>
      </c>
      <c r="V535" s="0" t="n">
        <v>2.5</v>
      </c>
      <c r="W535" s="0" t="n">
        <v>4</v>
      </c>
      <c r="X535" s="3" t="n">
        <f aca="false">LOOKUP(V535,$AB$3:$AC$123)</f>
        <v>1.00795</v>
      </c>
      <c r="Y535" s="2" t="n">
        <f aca="false">(V535*((W535+T535)/1000)*X535)/((((W535+T535)/1000)*X535)-((W535/1000)*0.9982))</f>
        <v>30.6989847715736</v>
      </c>
      <c r="Z535" s="3" t="n">
        <f aca="false">(X535*(V535/100)*((W535+T535)/1000))*1000</f>
        <v>0.108669609375</v>
      </c>
    </row>
    <row r="536" customFormat="false" ht="15" hidden="false" customHeight="false" outlineLevel="0" collapsed="false">
      <c r="A536" s="0" t="s">
        <v>42</v>
      </c>
      <c r="B536" s="0" t="s">
        <v>43</v>
      </c>
      <c r="C536" s="0" t="s">
        <v>28</v>
      </c>
      <c r="D536" s="0" t="s">
        <v>139</v>
      </c>
      <c r="E536" s="0" t="n">
        <v>12</v>
      </c>
      <c r="F536" s="0" t="n">
        <v>0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0" t="n">
        <v>2</v>
      </c>
      <c r="S536" s="0" t="n">
        <v>2.6</v>
      </c>
      <c r="T536" s="0" t="n">
        <f aca="false">(S536/32)*5</f>
        <v>0.40625</v>
      </c>
      <c r="V536" s="0" t="n">
        <v>5</v>
      </c>
      <c r="W536" s="0" t="n">
        <v>4</v>
      </c>
      <c r="X536" s="3" t="n">
        <f aca="false">LOOKUP(V536,$AB$3:$AC$123)</f>
        <v>1.0179</v>
      </c>
      <c r="Y536" s="2" t="n">
        <f aca="false">(V536*((W536+T536)/1000)*X536)/((((W536+T536)/1000)*X536)-((W536/1000)*0.9982))</f>
        <v>45.5507067911619</v>
      </c>
      <c r="Z536" s="3" t="n">
        <f aca="false">(X536*(V536/100)*((W536+T536)/1000))*1000</f>
        <v>0.22425609375</v>
      </c>
    </row>
    <row r="537" customFormat="false" ht="15" hidden="false" customHeight="false" outlineLevel="0" collapsed="false">
      <c r="A537" s="0" t="s">
        <v>44</v>
      </c>
      <c r="B537" s="0" t="s">
        <v>45</v>
      </c>
      <c r="C537" s="0" t="s">
        <v>28</v>
      </c>
      <c r="D537" s="0" t="s">
        <v>139</v>
      </c>
      <c r="E537" s="0" t="n">
        <v>12</v>
      </c>
      <c r="F537" s="0" t="n">
        <v>0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0" t="n">
        <v>3</v>
      </c>
      <c r="S537" s="0" t="n">
        <v>6.2</v>
      </c>
      <c r="T537" s="0" t="n">
        <f aca="false">(S537/32)*5</f>
        <v>0.96875</v>
      </c>
      <c r="V537" s="0" t="n">
        <v>14</v>
      </c>
      <c r="W537" s="0" t="n">
        <v>4</v>
      </c>
      <c r="X537" s="3" t="n">
        <f aca="false">LOOKUP(V537,$AB$3:$AC$123)</f>
        <v>1.0549</v>
      </c>
      <c r="Y537" s="2" t="n">
        <f aca="false">(V537*((W537+T537)/1000)*X537)/((((W537+T537)/1000)*X537)-((W537/1000)*0.9982))</f>
        <v>58.7646842427958</v>
      </c>
      <c r="Z537" s="3" t="n">
        <f aca="false">(X537*(V537/100)*((W537+T537)/1000))*1000</f>
        <v>0.7338148125</v>
      </c>
    </row>
    <row r="538" customFormat="false" ht="15" hidden="false" customHeight="false" outlineLevel="0" collapsed="false">
      <c r="A538" s="0" t="s">
        <v>46</v>
      </c>
      <c r="B538" s="0" t="s">
        <v>47</v>
      </c>
      <c r="C538" s="0" t="s">
        <v>28</v>
      </c>
      <c r="D538" s="0" t="s">
        <v>139</v>
      </c>
      <c r="E538" s="0" t="n">
        <v>12</v>
      </c>
      <c r="F538" s="0" t="n">
        <v>2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0" t="n">
        <v>2</v>
      </c>
      <c r="S538" s="0" t="n">
        <v>2.5</v>
      </c>
      <c r="T538" s="0" t="n">
        <f aca="false">(S538/32)*5</f>
        <v>0.390625</v>
      </c>
      <c r="V538" s="0" t="n">
        <v>8</v>
      </c>
      <c r="W538" s="0" t="n">
        <v>4</v>
      </c>
      <c r="X538" s="3" t="n">
        <f aca="false">LOOKUP(V538,$AB$3:$AC$123)</f>
        <v>1.0299</v>
      </c>
      <c r="Y538" s="2" t="n">
        <f aca="false">(V538*((W538+T538)/1000)*X538)/((((W538+T538)/1000)*X538)-((W538/1000)*0.9982))</f>
        <v>68.3706615243321</v>
      </c>
      <c r="Z538" s="3" t="n">
        <f aca="false">(X538*(V538/100)*((W538+T538)/1000))*1000</f>
        <v>0.361752375</v>
      </c>
    </row>
    <row r="539" customFormat="false" ht="15" hidden="false" customHeight="false" outlineLevel="0" collapsed="false">
      <c r="A539" s="0" t="s">
        <v>48</v>
      </c>
      <c r="B539" s="0" t="s">
        <v>49</v>
      </c>
      <c r="C539" s="0" t="s">
        <v>28</v>
      </c>
      <c r="D539" s="0" t="s">
        <v>139</v>
      </c>
      <c r="E539" s="0" t="n">
        <v>12</v>
      </c>
      <c r="F539" s="0" t="n">
        <v>1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0" t="n">
        <v>1</v>
      </c>
      <c r="S539" s="0" t="n">
        <v>1.7</v>
      </c>
      <c r="T539" s="0" t="n">
        <f aca="false">(S539/32)*5</f>
        <v>0.265625</v>
      </c>
      <c r="V539" s="0" t="n">
        <v>2.5</v>
      </c>
      <c r="W539" s="0" t="n">
        <v>1</v>
      </c>
      <c r="X539" s="3" t="n">
        <f aca="false">LOOKUP(V539,$AB$3:$AC$123)</f>
        <v>1.00795</v>
      </c>
      <c r="Y539" s="2" t="n">
        <f aca="false">(V539*((W539+T539)/1000)*X539)/((((W539+T539)/1000)*X539)-((W539/1000)*0.9982))</f>
        <v>11.4932232116965</v>
      </c>
      <c r="Z539" s="3" t="n">
        <f aca="false">(X539*(V539/100)*((W539+T539)/1000))*1000</f>
        <v>0.03189216796875</v>
      </c>
    </row>
    <row r="540" customFormat="false" ht="15" hidden="false" customHeight="false" outlineLevel="0" collapsed="false">
      <c r="A540" s="0" t="s">
        <v>50</v>
      </c>
      <c r="B540" s="0" t="s">
        <v>51</v>
      </c>
      <c r="C540" s="0" t="s">
        <v>28</v>
      </c>
      <c r="D540" s="0" t="s">
        <v>139</v>
      </c>
      <c r="E540" s="0" t="n">
        <v>12</v>
      </c>
      <c r="F540" s="0" t="n">
        <v>1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0" t="n">
        <v>2</v>
      </c>
      <c r="S540" s="0" t="n">
        <v>6.1</v>
      </c>
      <c r="T540" s="0" t="n">
        <f aca="false">(S540/32)*5</f>
        <v>0.953125</v>
      </c>
      <c r="V540" s="0" t="n">
        <v>10</v>
      </c>
      <c r="W540" s="0" t="n">
        <v>4</v>
      </c>
      <c r="X540" s="3" t="n">
        <f aca="false">LOOKUP(V540,$AB$3:$AC$123)</f>
        <v>1.0381</v>
      </c>
      <c r="Y540" s="2" t="n">
        <f aca="false">(V540*((W540+T540)/1000)*X540)/((((W540+T540)/1000)*X540)-((W540/1000)*0.9982))</f>
        <v>44.7490362191234</v>
      </c>
      <c r="Z540" s="3" t="n">
        <f aca="false">(X540*(V540/100)*((W540+T540)/1000))*1000</f>
        <v>0.51418390625</v>
      </c>
    </row>
    <row r="541" customFormat="false" ht="15" hidden="false" customHeight="false" outlineLevel="0" collapsed="false">
      <c r="A541" s="0" t="s">
        <v>52</v>
      </c>
      <c r="B541" s="0" t="s">
        <v>53</v>
      </c>
      <c r="C541" s="0" t="s">
        <v>28</v>
      </c>
      <c r="D541" s="0" t="s">
        <v>139</v>
      </c>
      <c r="E541" s="0" t="n">
        <v>12</v>
      </c>
      <c r="F541" s="0" t="n">
        <v>0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0" t="n">
        <v>1</v>
      </c>
      <c r="S541" s="0" t="n">
        <v>3.2</v>
      </c>
      <c r="T541" s="0" t="n">
        <f aca="false">(S541/32)*5</f>
        <v>0.5</v>
      </c>
      <c r="V541" s="0" t="n">
        <v>7.5</v>
      </c>
      <c r="W541" s="0" t="n">
        <v>4</v>
      </c>
      <c r="X541" s="3" t="n">
        <f aca="false">LOOKUP(V541,$AB$3:$AC$123)</f>
        <v>1.0279</v>
      </c>
      <c r="Y541" s="2" t="n">
        <f aca="false">(V541*((W541+T541)/1000)*X541)/((((W541+T541)/1000)*X541)-((W541/1000)*0.9982))</f>
        <v>54.8267483208218</v>
      </c>
      <c r="Z541" s="3" t="n">
        <f aca="false">(X541*(V541/100)*((W541+T541)/1000))*1000</f>
        <v>0.34691625</v>
      </c>
    </row>
    <row r="542" customFormat="false" ht="15" hidden="false" customHeight="false" outlineLevel="0" collapsed="false">
      <c r="A542" s="0" t="s">
        <v>54</v>
      </c>
      <c r="B542" s="0" t="s">
        <v>55</v>
      </c>
      <c r="C542" s="0" t="s">
        <v>56</v>
      </c>
      <c r="D542" s="0" t="s">
        <v>139</v>
      </c>
      <c r="E542" s="0" t="n">
        <v>12</v>
      </c>
      <c r="F542" s="0" t="n">
        <v>1</v>
      </c>
      <c r="G542" s="1"/>
      <c r="H542" s="1"/>
      <c r="I542" s="0" t="n">
        <v>20</v>
      </c>
      <c r="J542" s="0" t="n">
        <f aca="false">(I542/32)*5</f>
        <v>3.125</v>
      </c>
      <c r="L542" s="0" t="n">
        <v>4.5</v>
      </c>
      <c r="M542" s="0" t="n">
        <v>4</v>
      </c>
      <c r="N542" s="2" t="n">
        <f aca="false">(L542*((M542+J542)/1000)*O542)/((((M542+J542)/1000)*O542)-((M542/1000)*0.9982))</f>
        <v>10.0361790794141</v>
      </c>
      <c r="O542" s="3" t="n">
        <f aca="false">LOOKUP(L542,$AB$3:$AC$123)</f>
        <v>1.0159</v>
      </c>
      <c r="P542" s="3" t="n">
        <f aca="false">(O542*(N542/100)*(J542/1000))*1000</f>
        <v>0.318617322711775</v>
      </c>
      <c r="Q542" s="3"/>
      <c r="R542" s="1"/>
      <c r="S542" s="1"/>
      <c r="T542" s="1"/>
      <c r="U542" s="1"/>
      <c r="V542" s="1"/>
      <c r="W542" s="1"/>
      <c r="X542" s="1"/>
      <c r="Y542" s="5"/>
      <c r="Z542" s="1"/>
    </row>
    <row r="543" customFormat="false" ht="15" hidden="false" customHeight="false" outlineLevel="0" collapsed="false">
      <c r="A543" s="0" t="s">
        <v>57</v>
      </c>
      <c r="B543" s="0" t="s">
        <v>58</v>
      </c>
      <c r="C543" s="0" t="s">
        <v>56</v>
      </c>
      <c r="D543" s="0" t="s">
        <v>139</v>
      </c>
      <c r="E543" s="0" t="n">
        <v>12</v>
      </c>
      <c r="F543" s="0" t="n">
        <v>0</v>
      </c>
      <c r="G543" s="1"/>
      <c r="H543" s="1"/>
      <c r="I543" s="0" t="n">
        <v>0</v>
      </c>
      <c r="J543" s="0" t="n">
        <f aca="false">(I543/32)*5</f>
        <v>0</v>
      </c>
      <c r="L543" s="0" t="n">
        <v>0</v>
      </c>
      <c r="M543" s="0" t="n">
        <v>0</v>
      </c>
      <c r="N543" s="2" t="n">
        <v>0</v>
      </c>
      <c r="O543" s="3" t="n">
        <f aca="false">LOOKUP(L543,$AB$3:$AC$123)</f>
        <v>0.9982</v>
      </c>
      <c r="P543" s="3" t="n">
        <v>0</v>
      </c>
      <c r="Q543" s="3"/>
      <c r="R543" s="1"/>
      <c r="S543" s="1"/>
      <c r="T543" s="1"/>
      <c r="U543" s="1"/>
      <c r="V543" s="1"/>
      <c r="W543" s="1"/>
      <c r="X543" s="1"/>
      <c r="Y543" s="5"/>
      <c r="Z543" s="1"/>
    </row>
    <row r="544" customFormat="false" ht="15" hidden="false" customHeight="false" outlineLevel="0" collapsed="false">
      <c r="A544" s="0" t="s">
        <v>59</v>
      </c>
      <c r="B544" s="0" t="s">
        <v>60</v>
      </c>
      <c r="C544" s="0" t="s">
        <v>56</v>
      </c>
      <c r="D544" s="0" t="s">
        <v>139</v>
      </c>
      <c r="E544" s="0" t="n">
        <v>12</v>
      </c>
      <c r="F544" s="0" t="n">
        <v>2</v>
      </c>
      <c r="G544" s="1"/>
      <c r="H544" s="1"/>
      <c r="I544" s="0" t="n">
        <v>28.5</v>
      </c>
      <c r="J544" s="0" t="n">
        <f aca="false">(I544/32)*5</f>
        <v>4.453125</v>
      </c>
      <c r="L544" s="0" t="n">
        <v>8</v>
      </c>
      <c r="M544" s="0" t="n">
        <v>4</v>
      </c>
      <c r="N544" s="2" t="n">
        <f aca="false">(L544*((M544+J544)/1000)*O544)/((((M544+J544)/1000)*O544)-((M544/1000)*0.9982))</f>
        <v>14.777403412781</v>
      </c>
      <c r="O544" s="3" t="n">
        <f aca="false">LOOKUP(L544,$AB$3:$AC$123)</f>
        <v>1.0299</v>
      </c>
      <c r="P544" s="3" t="n">
        <f aca="false">(O544*(N544/100)*(J544/1000))*1000</f>
        <v>0.677732127472594</v>
      </c>
      <c r="Q544" s="3"/>
      <c r="R544" s="1"/>
      <c r="S544" s="1"/>
      <c r="T544" s="1"/>
      <c r="U544" s="1"/>
      <c r="V544" s="1"/>
      <c r="W544" s="1"/>
      <c r="X544" s="1"/>
      <c r="Y544" s="5"/>
      <c r="Z544" s="1"/>
    </row>
    <row r="545" customFormat="false" ht="15" hidden="false" customHeight="false" outlineLevel="0" collapsed="false">
      <c r="A545" s="0" t="s">
        <v>61</v>
      </c>
      <c r="B545" s="0" t="s">
        <v>62</v>
      </c>
      <c r="C545" s="0" t="s">
        <v>56</v>
      </c>
      <c r="D545" s="0" t="s">
        <v>139</v>
      </c>
      <c r="E545" s="0" t="n">
        <v>12</v>
      </c>
      <c r="F545" s="0" t="n">
        <v>0</v>
      </c>
      <c r="G545" s="1"/>
      <c r="H545" s="1"/>
      <c r="I545" s="0" t="n">
        <v>0</v>
      </c>
      <c r="J545" s="0" t="n">
        <f aca="false">(I545/32)*5</f>
        <v>0</v>
      </c>
      <c r="L545" s="0" t="n">
        <v>0</v>
      </c>
      <c r="M545" s="0" t="n">
        <v>0</v>
      </c>
      <c r="N545" s="2" t="n">
        <v>0</v>
      </c>
      <c r="O545" s="3" t="n">
        <f aca="false">LOOKUP(L545,$AB$3:$AC$123)</f>
        <v>0.9982</v>
      </c>
      <c r="P545" s="3" t="n">
        <v>0</v>
      </c>
      <c r="Q545" s="3"/>
      <c r="R545" s="1"/>
      <c r="S545" s="1"/>
      <c r="T545" s="1"/>
      <c r="U545" s="1"/>
      <c r="V545" s="1"/>
      <c r="W545" s="1"/>
      <c r="X545" s="1"/>
      <c r="Y545" s="5"/>
      <c r="Z545" s="1"/>
    </row>
    <row r="546" customFormat="false" ht="15" hidden="false" customHeight="false" outlineLevel="0" collapsed="false">
      <c r="A546" s="0" t="s">
        <v>63</v>
      </c>
      <c r="B546" s="0" t="s">
        <v>64</v>
      </c>
      <c r="C546" s="0" t="s">
        <v>56</v>
      </c>
      <c r="D546" s="0" t="s">
        <v>139</v>
      </c>
      <c r="E546" s="0" t="n">
        <v>12</v>
      </c>
      <c r="F546" s="0" t="n">
        <v>1</v>
      </c>
      <c r="G546" s="1"/>
      <c r="H546" s="1"/>
      <c r="I546" s="0" t="n">
        <v>39.5</v>
      </c>
      <c r="J546" s="0" t="n">
        <f aca="false">(I546/32)*5</f>
        <v>6.171875</v>
      </c>
      <c r="L546" s="0" t="n">
        <v>11</v>
      </c>
      <c r="M546" s="0" t="n">
        <v>4</v>
      </c>
      <c r="N546" s="2" t="n">
        <f aca="false">(L546*((M546+J546)/1000)*O546)/((((M546+J546)/1000)*O546)-((M546/1000)*0.9982))</f>
        <v>17.6452572718412</v>
      </c>
      <c r="O546" s="3" t="n">
        <f aca="false">LOOKUP(L546,$AB$3:$AC$123)</f>
        <v>1.0423</v>
      </c>
      <c r="P546" s="3" t="n">
        <f aca="false">(O546*(N546/100)*(J546/1000))*1000</f>
        <v>1.13510975054747</v>
      </c>
      <c r="Q546" s="3"/>
      <c r="R546" s="1"/>
      <c r="S546" s="1"/>
      <c r="T546" s="1"/>
      <c r="U546" s="1"/>
      <c r="V546" s="1"/>
      <c r="W546" s="1"/>
      <c r="X546" s="1"/>
      <c r="Y546" s="5"/>
      <c r="Z546" s="1"/>
    </row>
    <row r="547" customFormat="false" ht="15" hidden="false" customHeight="false" outlineLevel="0" collapsed="false">
      <c r="A547" s="0" t="s">
        <v>65</v>
      </c>
      <c r="B547" s="0" t="s">
        <v>66</v>
      </c>
      <c r="C547" s="0" t="s">
        <v>56</v>
      </c>
      <c r="D547" s="0" t="s">
        <v>139</v>
      </c>
      <c r="E547" s="0" t="n">
        <v>12</v>
      </c>
      <c r="F547" s="0" t="n">
        <v>0</v>
      </c>
      <c r="G547" s="1"/>
      <c r="H547" s="1"/>
      <c r="I547" s="0" t="n">
        <v>0</v>
      </c>
      <c r="J547" s="0" t="n">
        <f aca="false">(I547/32)*5</f>
        <v>0</v>
      </c>
      <c r="L547" s="0" t="n">
        <v>0</v>
      </c>
      <c r="M547" s="0" t="n">
        <v>0</v>
      </c>
      <c r="N547" s="2" t="n">
        <v>0</v>
      </c>
      <c r="O547" s="3" t="n">
        <f aca="false">LOOKUP(L547,$AB$3:$AC$123)</f>
        <v>0.9982</v>
      </c>
      <c r="P547" s="3" t="n">
        <v>0</v>
      </c>
      <c r="Q547" s="3"/>
      <c r="R547" s="1"/>
      <c r="S547" s="1"/>
      <c r="T547" s="1"/>
      <c r="U547" s="1"/>
      <c r="V547" s="1"/>
      <c r="W547" s="1"/>
      <c r="X547" s="1"/>
      <c r="Y547" s="5"/>
      <c r="Z547" s="1"/>
    </row>
    <row r="548" customFormat="false" ht="15" hidden="false" customHeight="false" outlineLevel="0" collapsed="false">
      <c r="A548" s="0" t="s">
        <v>67</v>
      </c>
      <c r="B548" s="0" t="s">
        <v>68</v>
      </c>
      <c r="C548" s="0" t="s">
        <v>56</v>
      </c>
      <c r="D548" s="0" t="s">
        <v>139</v>
      </c>
      <c r="E548" s="0" t="n">
        <v>12</v>
      </c>
      <c r="F548" s="0" t="n">
        <v>0</v>
      </c>
      <c r="G548" s="1"/>
      <c r="H548" s="1"/>
      <c r="I548" s="0" t="n">
        <v>0</v>
      </c>
      <c r="J548" s="0" t="n">
        <f aca="false">(I548/32)*5</f>
        <v>0</v>
      </c>
      <c r="L548" s="0" t="n">
        <v>0</v>
      </c>
      <c r="M548" s="0" t="n">
        <v>0</v>
      </c>
      <c r="N548" s="2" t="n">
        <v>0</v>
      </c>
      <c r="O548" s="3" t="n">
        <f aca="false">LOOKUP(L548,$AB$3:$AC$123)</f>
        <v>0.9982</v>
      </c>
      <c r="P548" s="3" t="n">
        <v>0</v>
      </c>
      <c r="Q548" s="3"/>
      <c r="R548" s="1"/>
      <c r="S548" s="1"/>
      <c r="T548" s="1"/>
      <c r="U548" s="1"/>
      <c r="V548" s="1"/>
      <c r="W548" s="1"/>
      <c r="X548" s="1"/>
      <c r="Y548" s="5"/>
      <c r="Z548" s="1"/>
    </row>
    <row r="549" customFormat="false" ht="15" hidden="false" customHeight="false" outlineLevel="0" collapsed="false">
      <c r="A549" s="0" t="s">
        <v>69</v>
      </c>
      <c r="B549" s="0" t="s">
        <v>70</v>
      </c>
      <c r="C549" s="0" t="s">
        <v>56</v>
      </c>
      <c r="D549" s="0" t="s">
        <v>139</v>
      </c>
      <c r="E549" s="0" t="n">
        <v>12</v>
      </c>
      <c r="F549" s="0" t="n">
        <v>2</v>
      </c>
      <c r="G549" s="1"/>
      <c r="H549" s="1"/>
      <c r="I549" s="0" t="n">
        <f aca="false">32+18.5</f>
        <v>50.5</v>
      </c>
      <c r="J549" s="0" t="n">
        <f aca="false">(I549/32)*5</f>
        <v>7.890625</v>
      </c>
      <c r="L549" s="0" t="n">
        <v>16</v>
      </c>
      <c r="M549" s="0" t="n">
        <v>4</v>
      </c>
      <c r="N549" s="2" t="n">
        <f aca="false">(L549*((M549+J549)/1000)*O549)/((((M549+J549)/1000)*O549)-((M549/1000)*0.9982))</f>
        <v>23.3830681007027</v>
      </c>
      <c r="O549" s="3" t="n">
        <f aca="false">LOOKUP(L549,$AB$3:$AC$123)</f>
        <v>1.0635</v>
      </c>
      <c r="P549" s="3" t="n">
        <f aca="false">(O549*(N549/100)*(J549/1000))*1000</f>
        <v>1.96223217612096</v>
      </c>
      <c r="Q549" s="3"/>
      <c r="R549" s="1"/>
      <c r="S549" s="1"/>
      <c r="T549" s="1"/>
      <c r="U549" s="1"/>
      <c r="V549" s="1"/>
      <c r="W549" s="1"/>
      <c r="X549" s="1"/>
      <c r="Y549" s="5"/>
      <c r="Z549" s="1"/>
    </row>
    <row r="550" customFormat="false" ht="15" hidden="false" customHeight="false" outlineLevel="0" collapsed="false">
      <c r="A550" s="0" t="s">
        <v>71</v>
      </c>
      <c r="B550" s="0" t="s">
        <v>72</v>
      </c>
      <c r="C550" s="0" t="s">
        <v>56</v>
      </c>
      <c r="D550" s="0" t="s">
        <v>139</v>
      </c>
      <c r="E550" s="0" t="n">
        <v>12</v>
      </c>
      <c r="F550" s="0" t="n">
        <v>2</v>
      </c>
      <c r="G550" s="1"/>
      <c r="H550" s="1"/>
      <c r="I550" s="0" t="n">
        <v>76.3</v>
      </c>
      <c r="J550" s="0" t="n">
        <f aca="false">(I550/32)*5</f>
        <v>11.921875</v>
      </c>
      <c r="L550" s="0" t="n">
        <v>14</v>
      </c>
      <c r="M550" s="0" t="n">
        <v>4</v>
      </c>
      <c r="N550" s="2" t="n">
        <f aca="false">(L550*((M550+J550)/1000)*O550)/((((M550+J550)/1000)*O550)-((M550/1000)*0.9982))</f>
        <v>18.3660382871012</v>
      </c>
      <c r="O550" s="3" t="n">
        <f aca="false">LOOKUP(L550,$AB$3:$AC$123)</f>
        <v>1.0549</v>
      </c>
      <c r="P550" s="3" t="n">
        <f aca="false">(O550*(N550/100)*(J550/1000))*1000</f>
        <v>2.30978385641486</v>
      </c>
      <c r="Q550" s="3"/>
      <c r="R550" s="1"/>
      <c r="S550" s="1"/>
      <c r="T550" s="1"/>
      <c r="U550" s="1"/>
      <c r="V550" s="1"/>
      <c r="W550" s="1"/>
      <c r="X550" s="1"/>
      <c r="Y550" s="5"/>
      <c r="Z550" s="1"/>
    </row>
    <row r="551" customFormat="false" ht="15" hidden="false" customHeight="false" outlineLevel="0" collapsed="false">
      <c r="A551" s="0" t="s">
        <v>73</v>
      </c>
      <c r="B551" s="0" t="s">
        <v>74</v>
      </c>
      <c r="C551" s="0" t="s">
        <v>56</v>
      </c>
      <c r="D551" s="0" t="s">
        <v>139</v>
      </c>
      <c r="E551" s="0" t="n">
        <v>12</v>
      </c>
      <c r="F551" s="0" t="n">
        <v>0</v>
      </c>
      <c r="G551" s="1"/>
      <c r="H551" s="1"/>
      <c r="I551" s="0" t="n">
        <v>0</v>
      </c>
      <c r="J551" s="0" t="n">
        <f aca="false">(I551/32)*5</f>
        <v>0</v>
      </c>
      <c r="L551" s="0" t="n">
        <v>0</v>
      </c>
      <c r="M551" s="0" t="n">
        <v>0</v>
      </c>
      <c r="N551" s="2" t="n">
        <v>0</v>
      </c>
      <c r="O551" s="3" t="n">
        <f aca="false">LOOKUP(L551,$AB$3:$AC$123)</f>
        <v>0.9982</v>
      </c>
      <c r="P551" s="3" t="n">
        <v>0</v>
      </c>
      <c r="Q551" s="3"/>
      <c r="R551" s="1"/>
      <c r="S551" s="1"/>
      <c r="T551" s="1"/>
      <c r="U551" s="1"/>
      <c r="V551" s="1"/>
      <c r="W551" s="1"/>
      <c r="X551" s="1"/>
      <c r="Y551" s="5"/>
      <c r="Z551" s="1"/>
    </row>
    <row r="552" customFormat="false" ht="15" hidden="false" customHeight="false" outlineLevel="0" collapsed="false">
      <c r="A552" s="0" t="s">
        <v>75</v>
      </c>
      <c r="B552" s="0" t="s">
        <v>76</v>
      </c>
      <c r="C552" s="0" t="s">
        <v>56</v>
      </c>
      <c r="D552" s="0" t="s">
        <v>139</v>
      </c>
      <c r="E552" s="0" t="n">
        <v>12</v>
      </c>
      <c r="F552" s="0" t="n">
        <v>0</v>
      </c>
      <c r="G552" s="1"/>
      <c r="H552" s="1"/>
      <c r="I552" s="0" t="n">
        <v>0</v>
      </c>
      <c r="J552" s="0" t="n">
        <f aca="false">(I552/32)*5</f>
        <v>0</v>
      </c>
      <c r="L552" s="0" t="n">
        <v>0</v>
      </c>
      <c r="M552" s="0" t="n">
        <v>0</v>
      </c>
      <c r="N552" s="2" t="n">
        <v>0</v>
      </c>
      <c r="O552" s="3" t="n">
        <f aca="false">LOOKUP(L552,$AB$3:$AC$123)</f>
        <v>0.9982</v>
      </c>
      <c r="P552" s="3" t="n">
        <v>0</v>
      </c>
      <c r="Q552" s="3"/>
      <c r="R552" s="1"/>
      <c r="S552" s="1"/>
      <c r="T552" s="1"/>
      <c r="U552" s="1"/>
      <c r="V552" s="1"/>
      <c r="W552" s="1"/>
      <c r="X552" s="1"/>
      <c r="Y552" s="5"/>
      <c r="Z552" s="1"/>
    </row>
    <row r="553" customFormat="false" ht="15" hidden="false" customHeight="false" outlineLevel="0" collapsed="false">
      <c r="A553" s="0" t="s">
        <v>77</v>
      </c>
      <c r="B553" s="0" t="s">
        <v>78</v>
      </c>
      <c r="C553" s="0" t="s">
        <v>56</v>
      </c>
      <c r="D553" s="0" t="s">
        <v>139</v>
      </c>
      <c r="E553" s="0" t="n">
        <v>12</v>
      </c>
      <c r="F553" s="0" t="n">
        <v>1</v>
      </c>
      <c r="G553" s="1"/>
      <c r="H553" s="1"/>
      <c r="I553" s="0" t="n">
        <v>21.2</v>
      </c>
      <c r="J553" s="0" t="n">
        <f aca="false">(I553/32)*5</f>
        <v>3.3125</v>
      </c>
      <c r="L553" s="0" t="n">
        <v>7</v>
      </c>
      <c r="M553" s="0" t="n">
        <v>4</v>
      </c>
      <c r="N553" s="2" t="n">
        <f aca="false">(L553*((M553+J553)/1000)*O553)/((((M553+J553)/1000)*O553)-((M553/1000)*0.9982))</f>
        <v>14.9649054688265</v>
      </c>
      <c r="O553" s="3" t="n">
        <f aca="false">LOOKUP(L553,$AB$3:$AC$123)</f>
        <v>1.0259</v>
      </c>
      <c r="P553" s="3" t="n">
        <f aca="false">(O553*(N553/100)*(J553/1000))*1000</f>
        <v>0.50855144724054</v>
      </c>
      <c r="Q553" s="3"/>
      <c r="R553" s="1"/>
      <c r="S553" s="1"/>
      <c r="T553" s="1"/>
      <c r="U553" s="1"/>
      <c r="V553" s="1"/>
      <c r="W553" s="1"/>
      <c r="X553" s="1"/>
      <c r="Y553" s="5"/>
      <c r="Z553" s="1"/>
    </row>
    <row r="554" customFormat="false" ht="15" hidden="false" customHeight="false" outlineLevel="0" collapsed="false">
      <c r="A554" s="0" t="s">
        <v>79</v>
      </c>
      <c r="B554" s="0" t="s">
        <v>80</v>
      </c>
      <c r="C554" s="0" t="s">
        <v>81</v>
      </c>
      <c r="D554" s="0" t="s">
        <v>139</v>
      </c>
      <c r="E554" s="0" t="n">
        <v>12</v>
      </c>
      <c r="F554" s="0" t="n">
        <v>0</v>
      </c>
      <c r="G554" s="1"/>
      <c r="H554" s="1"/>
      <c r="I554" s="0" t="n">
        <v>0</v>
      </c>
      <c r="J554" s="0" t="n">
        <f aca="false">(I554/32)*5</f>
        <v>0</v>
      </c>
      <c r="L554" s="0" t="n">
        <v>0</v>
      </c>
      <c r="M554" s="0" t="n">
        <v>0</v>
      </c>
      <c r="N554" s="2" t="n">
        <v>0</v>
      </c>
      <c r="O554" s="3" t="n">
        <v>0</v>
      </c>
      <c r="P554" s="3" t="n">
        <v>0</v>
      </c>
      <c r="Q554" s="3"/>
      <c r="R554" s="3" t="n">
        <v>2</v>
      </c>
      <c r="S554" s="3" t="n">
        <v>0.8</v>
      </c>
      <c r="T554" s="0" t="n">
        <f aca="false">(S554/32)*5</f>
        <v>0.125</v>
      </c>
      <c r="V554" s="0" t="n">
        <v>1.5</v>
      </c>
      <c r="W554" s="0" t="n">
        <v>4</v>
      </c>
      <c r="X554" s="3" t="n">
        <f aca="false">LOOKUP(V554,$AB$3:$AC$123)</f>
        <v>1.00405</v>
      </c>
      <c r="Y554" s="2" t="n">
        <f aca="false">(V554*((W554+T554)/1000)*X554)/((((W554+T554)/1000)*X554)-((W554/1000)*0.9982))</f>
        <v>41.7212801678909</v>
      </c>
      <c r="Z554" s="3" t="n">
        <f aca="false">(X554*(V554/100)*((W554+T554)/1000))*1000</f>
        <v>0.06212559375</v>
      </c>
    </row>
    <row r="555" customFormat="false" ht="15" hidden="false" customHeight="false" outlineLevel="0" collapsed="false">
      <c r="A555" s="0" t="s">
        <v>82</v>
      </c>
      <c r="B555" s="0" t="s">
        <v>83</v>
      </c>
      <c r="C555" s="0" t="s">
        <v>81</v>
      </c>
      <c r="D555" s="0" t="s">
        <v>139</v>
      </c>
      <c r="E555" s="0" t="n">
        <v>12</v>
      </c>
      <c r="F555" s="0" t="n">
        <v>0</v>
      </c>
      <c r="G555" s="1"/>
      <c r="H555" s="1"/>
      <c r="I555" s="0" t="n">
        <v>0</v>
      </c>
      <c r="J555" s="0" t="n">
        <f aca="false">(I555/32)*5</f>
        <v>0</v>
      </c>
      <c r="L555" s="0" t="n">
        <v>0</v>
      </c>
      <c r="M555" s="0" t="n">
        <v>0</v>
      </c>
      <c r="N555" s="2" t="n">
        <v>0</v>
      </c>
      <c r="O555" s="3" t="n">
        <v>0</v>
      </c>
      <c r="P555" s="3" t="n">
        <v>0</v>
      </c>
      <c r="Q555" s="3"/>
      <c r="R555" s="3" t="n">
        <v>2</v>
      </c>
      <c r="S555" s="3" t="n">
        <v>7.9</v>
      </c>
      <c r="T555" s="0" t="n">
        <f aca="false">(S555/32)*5</f>
        <v>1.234375</v>
      </c>
      <c r="V555" s="0" t="n">
        <v>15</v>
      </c>
      <c r="W555" s="0" t="n">
        <v>4</v>
      </c>
      <c r="X555" s="3" t="n">
        <f aca="false">LOOKUP(V555,$AB$3:$AC$123)</f>
        <v>1.0592</v>
      </c>
      <c r="Y555" s="2" t="n">
        <f aca="false">(V555*((W555+T555)/1000)*X555)/((((W555+T555)/1000)*X555)-((W555/1000)*0.9982))</f>
        <v>53.603886686648</v>
      </c>
      <c r="Z555" s="3" t="n">
        <f aca="false">(X555*(V555/100)*((W555+T555)/1000))*1000</f>
        <v>0.8316375</v>
      </c>
    </row>
    <row r="556" customFormat="false" ht="15" hidden="false" customHeight="false" outlineLevel="0" collapsed="false">
      <c r="A556" s="0" t="s">
        <v>84</v>
      </c>
      <c r="B556" s="0" t="s">
        <v>85</v>
      </c>
      <c r="C556" s="0" t="s">
        <v>81</v>
      </c>
      <c r="D556" s="0" t="s">
        <v>139</v>
      </c>
      <c r="E556" s="0" t="n">
        <v>12</v>
      </c>
      <c r="F556" s="0" t="n">
        <v>0</v>
      </c>
      <c r="G556" s="1"/>
      <c r="H556" s="1"/>
      <c r="I556" s="0" t="n">
        <v>0</v>
      </c>
      <c r="J556" s="0" t="n">
        <f aca="false">(I556/32)*5</f>
        <v>0</v>
      </c>
      <c r="L556" s="0" t="n">
        <v>0</v>
      </c>
      <c r="M556" s="0" t="n">
        <v>0</v>
      </c>
      <c r="N556" s="2" t="n">
        <v>0</v>
      </c>
      <c r="O556" s="3" t="n">
        <v>0</v>
      </c>
      <c r="P556" s="3" t="n">
        <v>0</v>
      </c>
      <c r="Q556" s="3"/>
      <c r="R556" s="3" t="n">
        <v>2</v>
      </c>
      <c r="S556" s="3" t="n">
        <v>2.8</v>
      </c>
      <c r="T556" s="0" t="n">
        <f aca="false">(S556/32)*5</f>
        <v>0.4375</v>
      </c>
      <c r="V556" s="0" t="n">
        <v>4.5</v>
      </c>
      <c r="W556" s="0" t="n">
        <v>4</v>
      </c>
      <c r="X556" s="3" t="n">
        <f aca="false">LOOKUP(V556,$AB$3:$AC$123)</f>
        <v>1.0159</v>
      </c>
      <c r="Y556" s="2" t="n">
        <f aca="false">(V556*((W556+T556)/1000)*X556)/((((W556+T556)/1000)*X556)-((W556/1000)*0.9982))</f>
        <v>39.3711927317719</v>
      </c>
      <c r="Z556" s="3" t="n">
        <f aca="false">(X556*(V556/100)*((W556+T556)/1000))*1000</f>
        <v>0.20286253125</v>
      </c>
    </row>
    <row r="557" customFormat="false" ht="15" hidden="false" customHeight="false" outlineLevel="0" collapsed="false">
      <c r="A557" s="0" t="s">
        <v>86</v>
      </c>
      <c r="B557" s="0" t="s">
        <v>87</v>
      </c>
      <c r="C557" s="0" t="s">
        <v>81</v>
      </c>
      <c r="D557" s="0" t="s">
        <v>139</v>
      </c>
      <c r="E557" s="0" t="n">
        <v>12</v>
      </c>
      <c r="F557" s="0" t="n">
        <v>0</v>
      </c>
      <c r="G557" s="1"/>
      <c r="H557" s="1"/>
      <c r="I557" s="0" t="n">
        <v>0</v>
      </c>
      <c r="J557" s="0" t="n">
        <f aca="false">(I557/32)*5</f>
        <v>0</v>
      </c>
      <c r="L557" s="0" t="n">
        <v>0</v>
      </c>
      <c r="M557" s="0" t="n">
        <v>0</v>
      </c>
      <c r="N557" s="2" t="n">
        <v>0</v>
      </c>
      <c r="O557" s="3" t="n">
        <v>0</v>
      </c>
      <c r="P557" s="3" t="n">
        <v>0</v>
      </c>
      <c r="Q557" s="3"/>
      <c r="R557" s="3" t="n">
        <v>2</v>
      </c>
      <c r="S557" s="3" t="n">
        <v>1.2</v>
      </c>
      <c r="T557" s="0" t="n">
        <f aca="false">(S557/32)*5</f>
        <v>0.1875</v>
      </c>
      <c r="V557" s="0" t="n">
        <v>1.5</v>
      </c>
      <c r="W557" s="0" t="n">
        <v>4</v>
      </c>
      <c r="X557" s="3" t="n">
        <f aca="false">LOOKUP(V557,$AB$3:$AC$123)</f>
        <v>1.00405</v>
      </c>
      <c r="Y557" s="2" t="n">
        <f aca="false">(V557*((W557+T557)/1000)*X557)/((((W557+T557)/1000)*X557)-((W557/1000)*0.9982))</f>
        <v>29.7964078486957</v>
      </c>
      <c r="Z557" s="3" t="n">
        <f aca="false">(X557*(V557/100)*((W557+T557)/1000))*1000</f>
        <v>0.063066890625</v>
      </c>
    </row>
    <row r="558" customFormat="false" ht="15" hidden="false" customHeight="false" outlineLevel="0" collapsed="false">
      <c r="A558" s="0" t="s">
        <v>88</v>
      </c>
      <c r="B558" s="0" t="s">
        <v>89</v>
      </c>
      <c r="C558" s="0" t="s">
        <v>81</v>
      </c>
      <c r="D558" s="0" t="s">
        <v>139</v>
      </c>
      <c r="E558" s="0" t="n">
        <v>12</v>
      </c>
      <c r="F558" s="0" t="n">
        <v>1</v>
      </c>
      <c r="G558" s="1"/>
      <c r="H558" s="1"/>
      <c r="I558" s="0" t="n">
        <v>19.8</v>
      </c>
      <c r="J558" s="0" t="n">
        <f aca="false">(I558/32)*5</f>
        <v>3.09375</v>
      </c>
      <c r="L558" s="0" t="n">
        <v>5</v>
      </c>
      <c r="M558" s="0" t="n">
        <v>4</v>
      </c>
      <c r="N558" s="2" t="n">
        <f aca="false">(L558*((M558+J558)/1000)*O558)/((((M558+J558)/1000)*O558)-((M558/1000)*0.9982))</f>
        <v>11.1847721593863</v>
      </c>
      <c r="O558" s="3" t="n">
        <f aca="false">LOOKUP(L558,$AB$3:$AC$123)</f>
        <v>1.0179</v>
      </c>
      <c r="P558" s="3" t="n">
        <f aca="false">(O558*(N558/100)*(J558/1000))*1000</f>
        <v>0.352222805788404</v>
      </c>
      <c r="Q558" s="3"/>
      <c r="R558" s="3" t="n">
        <v>6</v>
      </c>
      <c r="S558" s="3" t="n">
        <v>10.4</v>
      </c>
      <c r="T558" s="0" t="n">
        <f aca="false">(S558/32)*5</f>
        <v>1.625</v>
      </c>
      <c r="V558" s="0" t="n">
        <v>20.5</v>
      </c>
      <c r="W558" s="0" t="n">
        <v>4</v>
      </c>
      <c r="X558" s="3" t="n">
        <f aca="false">LOOKUP(V558,$AB$3:$AC$123)</f>
        <v>1.083225</v>
      </c>
      <c r="Y558" s="2" t="n">
        <f aca="false">(V558*((W558+T558)/1000)*X558)/((((W558+T558)/1000)*X558)-((W558/1000)*0.9982))</f>
        <v>59.4710121423757</v>
      </c>
      <c r="Z558" s="3" t="n">
        <f aca="false">(X558*(V558/100)*((W558+T558)/1000))*1000</f>
        <v>1.249093828125</v>
      </c>
    </row>
    <row r="559" customFormat="false" ht="15" hidden="false" customHeight="false" outlineLevel="0" collapsed="false">
      <c r="A559" s="0" t="s">
        <v>90</v>
      </c>
      <c r="B559" s="0" t="s">
        <v>91</v>
      </c>
      <c r="C559" s="0" t="s">
        <v>81</v>
      </c>
      <c r="D559" s="0" t="s">
        <v>139</v>
      </c>
      <c r="E559" s="0" t="n">
        <v>12</v>
      </c>
      <c r="F559" s="0" t="n">
        <v>0</v>
      </c>
      <c r="G559" s="1"/>
      <c r="H559" s="1"/>
      <c r="I559" s="0" t="n">
        <v>0</v>
      </c>
      <c r="J559" s="0" t="n">
        <f aca="false">(I559/32)*5</f>
        <v>0</v>
      </c>
      <c r="L559" s="0" t="n">
        <v>0</v>
      </c>
      <c r="M559" s="0" t="n">
        <v>0</v>
      </c>
      <c r="N559" s="2" t="n">
        <v>0</v>
      </c>
      <c r="O559" s="3" t="n">
        <v>0</v>
      </c>
      <c r="P559" s="3" t="n">
        <v>0</v>
      </c>
      <c r="Q559" s="3"/>
      <c r="R559" s="3" t="n">
        <v>4</v>
      </c>
      <c r="S559" s="3" t="n">
        <v>3.3</v>
      </c>
      <c r="T559" s="0" t="n">
        <f aca="false">(S559/32)*5</f>
        <v>0.515625</v>
      </c>
      <c r="V559" s="0" t="n">
        <v>6</v>
      </c>
      <c r="W559" s="0" t="n">
        <v>4</v>
      </c>
      <c r="X559" s="3" t="n">
        <f aca="false">LOOKUP(V559,$AB$3:$AC$123)</f>
        <v>1.0218</v>
      </c>
      <c r="Y559" s="2" t="n">
        <f aca="false">(V559*((W559+T559)/1000)*X559)/((((W559+T559)/1000)*X559)-((W559/1000)*0.9982))</f>
        <v>44.5612836699278</v>
      </c>
      <c r="Z559" s="3" t="n">
        <f aca="false">(X559*(V559/100)*((W559+T559)/1000))*1000</f>
        <v>0.2768439375</v>
      </c>
    </row>
    <row r="560" customFormat="false" ht="15" hidden="false" customHeight="false" outlineLevel="0" collapsed="false">
      <c r="A560" s="0" t="s">
        <v>92</v>
      </c>
      <c r="B560" s="0" t="s">
        <v>93</v>
      </c>
      <c r="C560" s="0" t="s">
        <v>81</v>
      </c>
      <c r="D560" s="0" t="s">
        <v>139</v>
      </c>
      <c r="E560" s="0" t="n">
        <v>12</v>
      </c>
      <c r="F560" s="0" t="n">
        <v>2</v>
      </c>
      <c r="G560" s="1"/>
      <c r="H560" s="1"/>
      <c r="I560" s="0" t="n">
        <v>19.1</v>
      </c>
      <c r="J560" s="0" t="n">
        <f aca="false">(I560/32)*5</f>
        <v>2.984375</v>
      </c>
      <c r="L560" s="0" t="n">
        <v>6</v>
      </c>
      <c r="M560" s="0" t="n">
        <v>4</v>
      </c>
      <c r="N560" s="2" t="n">
        <f aca="false">(L560*((M560+J560)/1000)*O560)/((((M560+J560)/1000)*O560)-((M560/1000)*0.9982))</f>
        <v>13.6202487607192</v>
      </c>
      <c r="O560" s="3" t="n">
        <f aca="false">LOOKUP(L560,$AB$3:$AC$123)</f>
        <v>1.0218</v>
      </c>
      <c r="P560" s="3" t="n">
        <f aca="false">(O560*(N560/100)*(J560/1000))*1000</f>
        <v>0.415340547669881</v>
      </c>
      <c r="Q560" s="3"/>
      <c r="R560" s="3" t="n">
        <v>4</v>
      </c>
      <c r="S560" s="3" t="n">
        <v>6.4</v>
      </c>
      <c r="T560" s="0" t="n">
        <f aca="false">(S560/32)*5</f>
        <v>1</v>
      </c>
      <c r="V560" s="0" t="n">
        <v>10</v>
      </c>
      <c r="W560" s="0" t="n">
        <v>4</v>
      </c>
      <c r="X560" s="3" t="n">
        <f aca="false">LOOKUP(V560,$AB$3:$AC$123)</f>
        <v>1.0381</v>
      </c>
      <c r="Y560" s="2" t="n">
        <f aca="false">(V560*((W560+T560)/1000)*X560)/((((W560+T560)/1000)*X560)-((W560/1000)*0.9982))</f>
        <v>43.3372296902397</v>
      </c>
      <c r="Z560" s="3" t="n">
        <f aca="false">(X560*(V560/100)*((W560+T560)/1000))*1000</f>
        <v>0.51905</v>
      </c>
    </row>
    <row r="561" customFormat="false" ht="15" hidden="false" customHeight="false" outlineLevel="0" collapsed="false">
      <c r="A561" s="0" t="s">
        <v>94</v>
      </c>
      <c r="B561" s="0" t="s">
        <v>95</v>
      </c>
      <c r="C561" s="0" t="s">
        <v>81</v>
      </c>
      <c r="D561" s="0" t="s">
        <v>139</v>
      </c>
      <c r="E561" s="0" t="n">
        <v>12</v>
      </c>
      <c r="F561" s="0" t="n">
        <v>1</v>
      </c>
      <c r="G561" s="1"/>
      <c r="H561" s="1"/>
      <c r="I561" s="0" t="n">
        <v>17.2</v>
      </c>
      <c r="J561" s="0" t="n">
        <f aca="false">(I561/32)*5</f>
        <v>2.6875</v>
      </c>
      <c r="L561" s="0" t="n">
        <v>6.5</v>
      </c>
      <c r="M561" s="0" t="n">
        <v>4</v>
      </c>
      <c r="N561" s="2" t="n">
        <f aca="false">(L561*((M561+J561)/1000)*O561)/((((M561+J561)/1000)*O561)-((M561/1000)*0.9982))</f>
        <v>15.5929957310671</v>
      </c>
      <c r="O561" s="3" t="n">
        <f aca="false">LOOKUP(L561,$AB$3:$AC$123)</f>
        <v>1.02385</v>
      </c>
      <c r="P561" s="3" t="n">
        <f aca="false">(O561*(N561/100)*(J561/1000))*1000</f>
        <v>0.429056383254925</v>
      </c>
      <c r="Q561" s="3"/>
      <c r="R561" s="3" t="n">
        <v>5</v>
      </c>
      <c r="S561" s="3" t="n">
        <v>11.8</v>
      </c>
      <c r="T561" s="0" t="n">
        <f aca="false">(S561/32)*5</f>
        <v>1.84375</v>
      </c>
      <c r="V561" s="0" t="n">
        <v>18</v>
      </c>
      <c r="W561" s="0" t="n">
        <v>4</v>
      </c>
      <c r="X561" s="3" t="n">
        <f aca="false">LOOKUP(V561,$AB$3:$AC$123)</f>
        <v>1.0722</v>
      </c>
      <c r="Y561" s="2" t="n">
        <f aca="false">(V561*((W561+T561)/1000)*X561)/((((W561+T561)/1000)*X561)-((W561/1000)*0.9982))</f>
        <v>49.6210075922774</v>
      </c>
      <c r="Z561" s="3" t="n">
        <f aca="false">(X561*(V561/100)*((W561+T561)/1000))*1000</f>
        <v>1.127820375</v>
      </c>
    </row>
    <row r="562" customFormat="false" ht="15" hidden="false" customHeight="false" outlineLevel="0" collapsed="false">
      <c r="A562" s="0" t="s">
        <v>96</v>
      </c>
      <c r="B562" s="0" t="s">
        <v>97</v>
      </c>
      <c r="C562" s="0" t="s">
        <v>81</v>
      </c>
      <c r="D562" s="0" t="s">
        <v>139</v>
      </c>
      <c r="E562" s="0" t="n">
        <v>12</v>
      </c>
      <c r="F562" s="0" t="n">
        <v>2</v>
      </c>
      <c r="G562" s="1"/>
      <c r="H562" s="1"/>
      <c r="I562" s="0" t="n">
        <v>20.8</v>
      </c>
      <c r="J562" s="0" t="n">
        <f aca="false">(I562/32)*5</f>
        <v>3.25</v>
      </c>
      <c r="L562" s="0" t="n">
        <v>7</v>
      </c>
      <c r="M562" s="0" t="n">
        <v>4</v>
      </c>
      <c r="N562" s="2" t="n">
        <f aca="false">(L562*((M562+J562)/1000)*O562)/((((M562+J562)/1000)*O562)-((M562/1000)*0.9982))</f>
        <v>15.1131503131373</v>
      </c>
      <c r="O562" s="3" t="n">
        <f aca="false">LOOKUP(L562,$AB$3:$AC$123)</f>
        <v>1.0259</v>
      </c>
      <c r="P562" s="3" t="n">
        <f aca="false">(O562*(N562/100)*(J562/1000))*1000</f>
        <v>0.503898879453044</v>
      </c>
      <c r="Q562" s="3"/>
      <c r="R562" s="3" t="n">
        <v>2</v>
      </c>
      <c r="S562" s="3" t="n">
        <v>3.5</v>
      </c>
      <c r="T562" s="0" t="n">
        <f aca="false">(S562/32)*5</f>
        <v>0.546875</v>
      </c>
      <c r="V562" s="0" t="n">
        <v>5.5</v>
      </c>
      <c r="W562" s="0" t="n">
        <v>4</v>
      </c>
      <c r="X562" s="3" t="n">
        <f aca="false">LOOKUP(V562,$AB$3:$AC$123)</f>
        <v>1.01985</v>
      </c>
      <c r="Y562" s="2" t="n">
        <f aca="false">(V562*((W562+T562)/1000)*X562)/((((W562+T562)/1000)*X562)-((W562/1000)*0.9982))</f>
        <v>39.5825105517719</v>
      </c>
      <c r="Z562" s="3" t="n">
        <f aca="false">(X562*(V562/100)*((W562+T562)/1000))*1000</f>
        <v>0.25504217578125</v>
      </c>
    </row>
    <row r="563" customFormat="false" ht="15" hidden="false" customHeight="false" outlineLevel="0" collapsed="false">
      <c r="A563" s="0" t="s">
        <v>98</v>
      </c>
      <c r="B563" s="0" t="s">
        <v>99</v>
      </c>
      <c r="C563" s="0" t="s">
        <v>81</v>
      </c>
      <c r="D563" s="0" t="s">
        <v>139</v>
      </c>
      <c r="E563" s="0" t="n">
        <v>12</v>
      </c>
      <c r="F563" s="0" t="n">
        <v>0</v>
      </c>
      <c r="G563" s="1"/>
      <c r="H563" s="1"/>
      <c r="I563" s="0" t="n">
        <v>0</v>
      </c>
      <c r="J563" s="0" t="n">
        <f aca="false">(I563/32)*5</f>
        <v>0</v>
      </c>
      <c r="L563" s="0" t="n">
        <v>0</v>
      </c>
      <c r="M563" s="0" t="n">
        <v>0</v>
      </c>
      <c r="N563" s="2" t="n">
        <v>0</v>
      </c>
      <c r="O563" s="3" t="n">
        <f aca="false">LOOKUP(L563,$AB$3:$AC$123)</f>
        <v>0.9982</v>
      </c>
      <c r="P563" s="3" t="n">
        <v>0</v>
      </c>
      <c r="Q563" s="3"/>
      <c r="R563" s="3" t="n">
        <v>5</v>
      </c>
      <c r="S563" s="3" t="n">
        <v>7.1</v>
      </c>
      <c r="T563" s="0" t="n">
        <f aca="false">(S563/32)*5</f>
        <v>1.109375</v>
      </c>
      <c r="V563" s="0" t="n">
        <v>8.5</v>
      </c>
      <c r="W563" s="0" t="n">
        <v>4</v>
      </c>
      <c r="X563" s="3" t="n">
        <f aca="false">LOOKUP(V563,$AB$3:$AC$123)</f>
        <v>1.032</v>
      </c>
      <c r="Y563" s="2" t="n">
        <f aca="false">(V563*((W563+T563)/1000)*X563)/((((W563+T563)/1000)*X563)-((W563/1000)*0.9982))</f>
        <v>35.0131339960549</v>
      </c>
      <c r="Z563" s="3" t="n">
        <f aca="false">(X563*(V563/100)*((W563+T563)/1000))*1000</f>
        <v>0.448194375</v>
      </c>
    </row>
    <row r="564" customFormat="false" ht="15" hidden="false" customHeight="false" outlineLevel="0" collapsed="false">
      <c r="A564" s="0" t="s">
        <v>100</v>
      </c>
      <c r="B564" s="0" t="s">
        <v>101</v>
      </c>
      <c r="C564" s="0" t="s">
        <v>81</v>
      </c>
      <c r="D564" s="0" t="s">
        <v>139</v>
      </c>
      <c r="E564" s="0" t="n">
        <v>12</v>
      </c>
      <c r="F564" s="0" t="n">
        <v>1</v>
      </c>
      <c r="G564" s="1"/>
      <c r="H564" s="1"/>
      <c r="I564" s="0" t="n">
        <v>28.7</v>
      </c>
      <c r="J564" s="0" t="n">
        <f aca="false">(I564/32)*5</f>
        <v>4.484375</v>
      </c>
      <c r="L564" s="0" t="n">
        <v>16</v>
      </c>
      <c r="M564" s="0" t="n">
        <v>4</v>
      </c>
      <c r="N564" s="2" t="n">
        <f aca="false">(L564*((M564+J564)/1000)*O564)/((((M564+J564)/1000)*O564)-((M564/1000)*0.9982))</f>
        <v>28.6999151708712</v>
      </c>
      <c r="O564" s="3" t="n">
        <f aca="false">LOOKUP(L564,$AB$3:$AC$123)</f>
        <v>1.0635</v>
      </c>
      <c r="P564" s="3" t="n">
        <f aca="false">(O564*(N564/100)*(J564/1000))*1000</f>
        <v>1.36873707157368</v>
      </c>
      <c r="Q564" s="3"/>
      <c r="R564" s="3" t="n">
        <v>2</v>
      </c>
      <c r="S564" s="3" t="n">
        <v>3.6</v>
      </c>
      <c r="T564" s="0" t="n">
        <f aca="false">(S564/32)*5</f>
        <v>0.5625</v>
      </c>
      <c r="V564" s="0" t="n">
        <v>5</v>
      </c>
      <c r="W564" s="0" t="n">
        <v>4</v>
      </c>
      <c r="X564" s="3" t="n">
        <f aca="false">LOOKUP(V564,$AB$3:$AC$123)</f>
        <v>1.0179</v>
      </c>
      <c r="Y564" s="2" t="n">
        <f aca="false">(V564*((W564+T564)/1000)*X564)/((((W564+T564)/1000)*X564)-((W564/1000)*0.9982))</f>
        <v>35.6493057887717</v>
      </c>
      <c r="Z564" s="3" t="n">
        <f aca="false">(X564*(V564/100)*((W564+T564)/1000))*1000</f>
        <v>0.2322084375</v>
      </c>
    </row>
    <row r="565" customFormat="false" ht="15" hidden="false" customHeight="false" outlineLevel="0" collapsed="false">
      <c r="A565" s="0" t="s">
        <v>102</v>
      </c>
      <c r="B565" s="0" t="s">
        <v>103</v>
      </c>
      <c r="C565" s="0" t="s">
        <v>81</v>
      </c>
      <c r="D565" s="0" t="s">
        <v>139</v>
      </c>
      <c r="E565" s="0" t="n">
        <v>12</v>
      </c>
      <c r="F565" s="0" t="n">
        <v>0</v>
      </c>
      <c r="G565" s="1"/>
      <c r="H565" s="1"/>
      <c r="I565" s="0" t="n">
        <v>0</v>
      </c>
      <c r="J565" s="0" t="n">
        <f aca="false">(I565/32)*5</f>
        <v>0</v>
      </c>
      <c r="L565" s="0" t="n">
        <v>0</v>
      </c>
      <c r="M565" s="0" t="n">
        <v>0</v>
      </c>
      <c r="N565" s="2" t="n">
        <v>0</v>
      </c>
      <c r="O565" s="3" t="n">
        <v>0</v>
      </c>
      <c r="P565" s="3" t="n">
        <v>0</v>
      </c>
      <c r="Q565" s="3"/>
      <c r="R565" s="3" t="n">
        <v>2</v>
      </c>
      <c r="S565" s="3" t="n">
        <v>3.4</v>
      </c>
      <c r="T565" s="0" t="n">
        <f aca="false">(S565/32)*5</f>
        <v>0.53125</v>
      </c>
      <c r="V565" s="0" t="n">
        <v>5</v>
      </c>
      <c r="W565" s="0" t="n">
        <v>4</v>
      </c>
      <c r="X565" s="3" t="n">
        <f aca="false">LOOKUP(V565,$AB$3:$AC$123)</f>
        <v>1.0179</v>
      </c>
      <c r="Y565" s="2" t="n">
        <f aca="false">(V565*((W565+T565)/1000)*X565)/((((W565+T565)/1000)*X565)-((W565/1000)*0.9982))</f>
        <v>37.2229003475252</v>
      </c>
      <c r="Z565" s="3" t="n">
        <f aca="false">(X565*(V565/100)*((W565+T565)/1000))*1000</f>
        <v>0.23061796875</v>
      </c>
    </row>
    <row r="566" customFormat="false" ht="15" hidden="false" customHeight="false" outlineLevel="0" collapsed="false">
      <c r="A566" s="0" t="s">
        <v>104</v>
      </c>
      <c r="B566" s="0" t="s">
        <v>105</v>
      </c>
      <c r="C566" s="0" t="s">
        <v>106</v>
      </c>
      <c r="D566" s="0" t="s">
        <v>139</v>
      </c>
      <c r="E566" s="0" t="n">
        <v>12</v>
      </c>
      <c r="F566" s="0" t="n">
        <v>3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3" t="n">
        <v>10</v>
      </c>
      <c r="S566" s="1"/>
      <c r="T566" s="1"/>
      <c r="U566" s="1"/>
      <c r="V566" s="1"/>
      <c r="W566" s="1"/>
      <c r="X566" s="1"/>
      <c r="Y566" s="5"/>
      <c r="Z566" s="1"/>
    </row>
    <row r="567" customFormat="false" ht="15" hidden="false" customHeight="false" outlineLevel="0" collapsed="false">
      <c r="A567" s="0" t="s">
        <v>107</v>
      </c>
      <c r="B567" s="0" t="s">
        <v>37</v>
      </c>
      <c r="C567" s="0" t="s">
        <v>106</v>
      </c>
      <c r="D567" s="0" t="s">
        <v>139</v>
      </c>
      <c r="E567" s="0" t="n">
        <v>12</v>
      </c>
      <c r="F567" s="0" t="n">
        <v>1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3" t="n">
        <v>2</v>
      </c>
      <c r="S567" s="1"/>
      <c r="T567" s="1"/>
      <c r="U567" s="1"/>
      <c r="V567" s="1"/>
      <c r="W567" s="1"/>
      <c r="X567" s="1"/>
      <c r="Y567" s="5"/>
      <c r="Z567" s="1"/>
    </row>
    <row r="568" customFormat="false" ht="15" hidden="false" customHeight="false" outlineLevel="0" collapsed="false">
      <c r="A568" s="0" t="s">
        <v>108</v>
      </c>
      <c r="B568" s="0" t="s">
        <v>109</v>
      </c>
      <c r="C568" s="0" t="s">
        <v>106</v>
      </c>
      <c r="D568" s="0" t="s">
        <v>139</v>
      </c>
      <c r="E568" s="0" t="n">
        <v>12</v>
      </c>
      <c r="F568" s="0" t="n">
        <v>3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3" t="n">
        <v>6</v>
      </c>
      <c r="S568" s="1"/>
      <c r="T568" s="1"/>
      <c r="U568" s="1"/>
      <c r="V568" s="1"/>
      <c r="W568" s="1"/>
      <c r="X568" s="1"/>
      <c r="Y568" s="5"/>
      <c r="Z568" s="1"/>
    </row>
    <row r="569" customFormat="false" ht="15" hidden="false" customHeight="false" outlineLevel="0" collapsed="false">
      <c r="A569" s="0" t="s">
        <v>110</v>
      </c>
      <c r="B569" s="0" t="s">
        <v>111</v>
      </c>
      <c r="C569" s="0" t="s">
        <v>106</v>
      </c>
      <c r="D569" s="0" t="s">
        <v>139</v>
      </c>
      <c r="E569" s="0" t="n">
        <v>12</v>
      </c>
      <c r="F569" s="0" t="n">
        <v>1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3" t="n">
        <v>5</v>
      </c>
      <c r="S569" s="1"/>
      <c r="T569" s="1"/>
      <c r="U569" s="1"/>
      <c r="V569" s="1"/>
      <c r="W569" s="1"/>
      <c r="X569" s="1"/>
      <c r="Y569" s="5"/>
      <c r="Z569" s="1"/>
    </row>
    <row r="570" customFormat="false" ht="15" hidden="false" customHeight="false" outlineLevel="0" collapsed="false">
      <c r="A570" s="0" t="s">
        <v>112</v>
      </c>
      <c r="B570" s="0" t="s">
        <v>113</v>
      </c>
      <c r="C570" s="0" t="s">
        <v>106</v>
      </c>
      <c r="D570" s="0" t="s">
        <v>139</v>
      </c>
      <c r="E570" s="0" t="n">
        <v>12</v>
      </c>
      <c r="F570" s="0" t="n">
        <v>1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3" t="n">
        <v>3</v>
      </c>
      <c r="S570" s="1"/>
      <c r="T570" s="1"/>
      <c r="U570" s="1"/>
      <c r="V570" s="1"/>
      <c r="W570" s="1"/>
      <c r="X570" s="1"/>
      <c r="Y570" s="5"/>
      <c r="Z570" s="1"/>
    </row>
    <row r="571" customFormat="false" ht="15" hidden="false" customHeight="false" outlineLevel="0" collapsed="false">
      <c r="A571" s="0" t="s">
        <v>114</v>
      </c>
      <c r="B571" s="0" t="s">
        <v>115</v>
      </c>
      <c r="C571" s="0" t="s">
        <v>106</v>
      </c>
      <c r="D571" s="0" t="s">
        <v>139</v>
      </c>
      <c r="E571" s="0" t="n">
        <v>12</v>
      </c>
      <c r="F571" s="0" t="n">
        <v>1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3" t="n">
        <v>2</v>
      </c>
      <c r="S571" s="1"/>
      <c r="T571" s="1"/>
      <c r="U571" s="1"/>
      <c r="V571" s="1"/>
      <c r="W571" s="1"/>
      <c r="X571" s="1"/>
      <c r="Y571" s="5"/>
      <c r="Z571" s="1"/>
    </row>
    <row r="572" customFormat="false" ht="15" hidden="false" customHeight="false" outlineLevel="0" collapsed="false">
      <c r="A572" s="0" t="s">
        <v>116</v>
      </c>
      <c r="B572" s="0" t="s">
        <v>117</v>
      </c>
      <c r="C572" s="0" t="s">
        <v>106</v>
      </c>
      <c r="D572" s="0" t="s">
        <v>139</v>
      </c>
      <c r="E572" s="0" t="n">
        <v>12</v>
      </c>
      <c r="F572" s="0" t="n">
        <v>1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3" t="n">
        <v>1</v>
      </c>
      <c r="S572" s="1"/>
      <c r="T572" s="1"/>
      <c r="U572" s="1"/>
      <c r="V572" s="1"/>
      <c r="W572" s="1"/>
      <c r="X572" s="1"/>
      <c r="Y572" s="5"/>
      <c r="Z572" s="1"/>
    </row>
    <row r="573" customFormat="false" ht="15" hidden="false" customHeight="false" outlineLevel="0" collapsed="false">
      <c r="A573" s="0" t="s">
        <v>118</v>
      </c>
      <c r="B573" s="0" t="s">
        <v>119</v>
      </c>
      <c r="C573" s="0" t="s">
        <v>106</v>
      </c>
      <c r="D573" s="0" t="s">
        <v>139</v>
      </c>
      <c r="E573" s="0" t="n">
        <v>12</v>
      </c>
      <c r="F573" s="0" t="n">
        <v>2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3" t="n">
        <v>4</v>
      </c>
      <c r="S573" s="1"/>
      <c r="T573" s="1"/>
      <c r="U573" s="1"/>
      <c r="V573" s="1"/>
      <c r="W573" s="1"/>
      <c r="X573" s="1"/>
      <c r="Y573" s="5"/>
      <c r="Z573" s="1"/>
    </row>
    <row r="574" customFormat="false" ht="15" hidden="false" customHeight="false" outlineLevel="0" collapsed="false">
      <c r="A574" s="0" t="s">
        <v>120</v>
      </c>
      <c r="B574" s="0" t="s">
        <v>121</v>
      </c>
      <c r="C574" s="0" t="s">
        <v>106</v>
      </c>
      <c r="D574" s="0" t="s">
        <v>139</v>
      </c>
      <c r="E574" s="0" t="n">
        <v>12</v>
      </c>
      <c r="F574" s="0" t="n">
        <v>1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3" t="n">
        <v>6</v>
      </c>
      <c r="S574" s="1"/>
      <c r="T574" s="1"/>
      <c r="U574" s="1"/>
      <c r="V574" s="1"/>
      <c r="W574" s="1"/>
      <c r="X574" s="1"/>
      <c r="Y574" s="5"/>
      <c r="Z574" s="1"/>
    </row>
    <row r="575" customFormat="false" ht="15" hidden="false" customHeight="false" outlineLevel="0" collapsed="false">
      <c r="A575" s="0" t="s">
        <v>122</v>
      </c>
      <c r="B575" s="0" t="s">
        <v>123</v>
      </c>
      <c r="C575" s="0" t="s">
        <v>106</v>
      </c>
      <c r="D575" s="0" t="s">
        <v>139</v>
      </c>
      <c r="E575" s="0" t="n">
        <v>12</v>
      </c>
      <c r="F575" s="0" t="n">
        <v>0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3" t="n">
        <v>5</v>
      </c>
      <c r="S575" s="1"/>
      <c r="T575" s="1"/>
      <c r="U575" s="1"/>
      <c r="V575" s="1"/>
      <c r="W575" s="1"/>
      <c r="X575" s="1"/>
      <c r="Y575" s="5"/>
      <c r="Z575" s="1"/>
    </row>
    <row r="576" customFormat="false" ht="15" hidden="false" customHeight="false" outlineLevel="0" collapsed="false">
      <c r="A576" s="0" t="s">
        <v>124</v>
      </c>
      <c r="B576" s="0" t="s">
        <v>125</v>
      </c>
      <c r="C576" s="0" t="s">
        <v>106</v>
      </c>
      <c r="D576" s="0" t="s">
        <v>139</v>
      </c>
      <c r="E576" s="0" t="n">
        <v>12</v>
      </c>
      <c r="F576" s="0" t="n">
        <v>1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3" t="n">
        <v>2</v>
      </c>
      <c r="S576" s="1"/>
      <c r="T576" s="1"/>
      <c r="U576" s="1"/>
      <c r="V576" s="1"/>
      <c r="W576" s="1"/>
      <c r="X576" s="1"/>
      <c r="Y576" s="5"/>
      <c r="Z576" s="1"/>
    </row>
    <row r="577" customFormat="false" ht="15" hidden="false" customHeight="false" outlineLevel="0" collapsed="false">
      <c r="A577" s="0" t="s">
        <v>126</v>
      </c>
      <c r="B577" s="0" t="s">
        <v>127</v>
      </c>
      <c r="C577" s="0" t="s">
        <v>106</v>
      </c>
      <c r="D577" s="0" t="s">
        <v>139</v>
      </c>
      <c r="E577" s="0" t="n">
        <v>12</v>
      </c>
      <c r="F577" s="0" t="n">
        <v>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3" t="n">
        <v>6</v>
      </c>
      <c r="S577" s="1"/>
      <c r="T577" s="1"/>
      <c r="U577" s="1"/>
      <c r="V577" s="1"/>
      <c r="W577" s="1"/>
      <c r="X577" s="1"/>
      <c r="Y577" s="5"/>
      <c r="Z577" s="1"/>
    </row>
    <row r="578" customFormat="false" ht="15" hidden="false" customHeight="false" outlineLevel="0" collapsed="false">
      <c r="A578" s="0" t="s">
        <v>26</v>
      </c>
      <c r="B578" s="0" t="s">
        <v>27</v>
      </c>
      <c r="C578" s="0" t="s">
        <v>28</v>
      </c>
      <c r="D578" s="0" t="s">
        <v>140</v>
      </c>
      <c r="E578" s="0" t="n">
        <v>13</v>
      </c>
      <c r="F578" s="0" t="n">
        <v>1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3" t="n">
        <v>2</v>
      </c>
      <c r="S578" s="0" t="n">
        <v>8.3</v>
      </c>
      <c r="T578" s="0" t="n">
        <f aca="false">(S578/32)*5</f>
        <v>1.296875</v>
      </c>
      <c r="V578" s="0" t="n">
        <v>10</v>
      </c>
      <c r="W578" s="0" t="n">
        <v>4</v>
      </c>
      <c r="X578" s="3" t="n">
        <f aca="false">LOOKUP(V578,$AB$3:$AC$123)</f>
        <v>1.0381</v>
      </c>
      <c r="Y578" s="2" t="n">
        <f aca="false">(V578*((W578+T578)/1000)*X578)/((((W578+T578)/1000)*X578)-((W578/1000)*0.9982))</f>
        <v>36.5146243853546</v>
      </c>
      <c r="Z578" s="3" t="n">
        <f aca="false">(X578*(V578/100)*((W578+T578)/1000))*1000</f>
        <v>0.54986859375</v>
      </c>
    </row>
    <row r="579" customFormat="false" ht="15" hidden="false" customHeight="false" outlineLevel="0" collapsed="false">
      <c r="A579" s="0" t="s">
        <v>32</v>
      </c>
      <c r="B579" s="0" t="s">
        <v>33</v>
      </c>
      <c r="C579" s="0" t="s">
        <v>28</v>
      </c>
      <c r="D579" s="0" t="s">
        <v>140</v>
      </c>
      <c r="E579" s="0" t="n">
        <v>13</v>
      </c>
      <c r="F579" s="0" t="n">
        <v>1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3" t="n">
        <v>3</v>
      </c>
      <c r="S579" s="0" t="n">
        <v>15.9</v>
      </c>
      <c r="T579" s="0" t="n">
        <f aca="false">(S579/32)*5</f>
        <v>2.484375</v>
      </c>
      <c r="V579" s="0" t="n">
        <v>30.5</v>
      </c>
      <c r="W579" s="0" t="n">
        <v>4</v>
      </c>
      <c r="X579" s="3" t="n">
        <f aca="false">LOOKUP(V579,$AB$3:$AC$123)</f>
        <v>1.1294</v>
      </c>
      <c r="Y579" s="2" t="n">
        <f aca="false">(V579*((W579+T579)/1000)*X579)/((((W579+T579)/1000)*X579)-((W579/1000)*0.9982))</f>
        <v>67.0635193547812</v>
      </c>
      <c r="Z579" s="3" t="n">
        <f aca="false">(X579*(V579/100)*((W579+T579)/1000))*1000</f>
        <v>2.233653203125</v>
      </c>
    </row>
    <row r="580" customFormat="false" ht="15" hidden="false" customHeight="false" outlineLevel="0" collapsed="false">
      <c r="A580" s="0" t="s">
        <v>34</v>
      </c>
      <c r="B580" s="0" t="s">
        <v>35</v>
      </c>
      <c r="C580" s="0" t="s">
        <v>28</v>
      </c>
      <c r="D580" s="0" t="s">
        <v>140</v>
      </c>
      <c r="E580" s="0" t="n">
        <v>13</v>
      </c>
      <c r="F580" s="0" t="n">
        <v>0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3" t="n">
        <v>2</v>
      </c>
      <c r="S580" s="0" t="n">
        <v>15.9</v>
      </c>
      <c r="T580" s="0" t="n">
        <f aca="false">(S580/32)*5</f>
        <v>2.484375</v>
      </c>
      <c r="V580" s="0" t="n">
        <v>30.5</v>
      </c>
      <c r="W580" s="0" t="n">
        <v>4</v>
      </c>
      <c r="X580" s="3" t="n">
        <f aca="false">LOOKUP(V580,$AB$3:$AC$123)</f>
        <v>1.1294</v>
      </c>
      <c r="Y580" s="2" t="n">
        <f aca="false">(V580*((W580+T580)/1000)*X580)/((((W580+T580)/1000)*X580)-((W580/1000)*0.9982))</f>
        <v>67.0635193547812</v>
      </c>
      <c r="Z580" s="3" t="n">
        <f aca="false">(X580*(V580/100)*((W580+T580)/1000))*1000</f>
        <v>2.233653203125</v>
      </c>
    </row>
    <row r="581" customFormat="false" ht="15" hidden="false" customHeight="false" outlineLevel="0" collapsed="false">
      <c r="A581" s="0" t="s">
        <v>36</v>
      </c>
      <c r="B581" s="0" t="s">
        <v>37</v>
      </c>
      <c r="C581" s="0" t="s">
        <v>28</v>
      </c>
      <c r="D581" s="0" t="s">
        <v>140</v>
      </c>
      <c r="E581" s="0" t="n">
        <v>13</v>
      </c>
      <c r="F581" s="0" t="n">
        <v>0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3" t="n">
        <v>1</v>
      </c>
      <c r="S581" s="0" t="n">
        <v>1.3</v>
      </c>
      <c r="T581" s="0" t="n">
        <f aca="false">(S581/32)*5</f>
        <v>0.203125</v>
      </c>
      <c r="V581" s="0" t="n">
        <v>5</v>
      </c>
      <c r="W581" s="0" t="n">
        <v>1</v>
      </c>
      <c r="X581" s="3" t="n">
        <f aca="false">LOOKUP(V581,$AB$3:$AC$123)</f>
        <v>1.0179</v>
      </c>
      <c r="Y581" s="2" t="n">
        <f aca="false">(V581*((W581+T581)/1000)*X581)/((((W581+T581)/1000)*X581)-((W581/1000)*0.9982))</f>
        <v>27.0391209852693</v>
      </c>
      <c r="Z581" s="3" t="n">
        <f aca="false">(X581*(V581/100)*((W581+T581)/1000))*1000</f>
        <v>0.061233046875</v>
      </c>
    </row>
    <row r="582" customFormat="false" ht="15" hidden="false" customHeight="false" outlineLevel="0" collapsed="false">
      <c r="A582" s="0" t="s">
        <v>38</v>
      </c>
      <c r="B582" s="0" t="s">
        <v>39</v>
      </c>
      <c r="C582" s="0" t="s">
        <v>28</v>
      </c>
      <c r="D582" s="0" t="s">
        <v>140</v>
      </c>
      <c r="E582" s="0" t="n">
        <v>13</v>
      </c>
      <c r="F582" s="0" t="n">
        <v>2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3" t="n">
        <v>5</v>
      </c>
      <c r="S582" s="0" t="n">
        <v>13.6</v>
      </c>
      <c r="T582" s="0" t="n">
        <f aca="false">(S582/32)*5</f>
        <v>2.125</v>
      </c>
      <c r="V582" s="0" t="n">
        <v>19.5</v>
      </c>
      <c r="W582" s="0" t="n">
        <v>4</v>
      </c>
      <c r="X582" s="3" t="n">
        <f aca="false">LOOKUP(V582,$AB$3:$AC$123)</f>
        <v>1.07875</v>
      </c>
      <c r="Y582" s="2" t="n">
        <f aca="false">(V582*((W582+T582)/1000)*X582)/((((W582+T582)/1000)*X582)-((W582/1000)*0.9982))</f>
        <v>49.2794213617577</v>
      </c>
      <c r="Z582" s="3" t="n">
        <f aca="false">(X582*(V582/100)*((W582+T582)/1000))*1000</f>
        <v>1.28843203125</v>
      </c>
    </row>
    <row r="583" customFormat="false" ht="15" hidden="false" customHeight="false" outlineLevel="0" collapsed="false">
      <c r="A583" s="0" t="s">
        <v>40</v>
      </c>
      <c r="B583" s="0" t="s">
        <v>41</v>
      </c>
      <c r="C583" s="0" t="s">
        <v>28</v>
      </c>
      <c r="D583" s="0" t="s">
        <v>140</v>
      </c>
      <c r="E583" s="0" t="n">
        <v>13</v>
      </c>
      <c r="F583" s="0" t="n">
        <v>1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3" t="n">
        <v>3</v>
      </c>
      <c r="S583" s="0" t="n">
        <v>10.8</v>
      </c>
      <c r="T583" s="0" t="n">
        <f aca="false">(S583/32)*5</f>
        <v>1.6875</v>
      </c>
      <c r="V583" s="0" t="n">
        <v>23.5</v>
      </c>
      <c r="W583" s="0" t="n">
        <v>4</v>
      </c>
      <c r="X583" s="3" t="n">
        <f aca="false">LOOKUP(V583,$AB$3:$AC$123)</f>
        <v>1.096725</v>
      </c>
      <c r="Y583" s="2" t="n">
        <f aca="false">(V583*((W583+T583)/1000)*X583)/((((W583+T583)/1000)*X583)-((W583/1000)*0.9982))</f>
        <v>65.2987439156894</v>
      </c>
      <c r="Z583" s="3" t="n">
        <f aca="false">(X583*(V583/100)*((W583+T583)/1000))*1000</f>
        <v>1.4658415078125</v>
      </c>
    </row>
    <row r="584" customFormat="false" ht="15" hidden="false" customHeight="false" outlineLevel="0" collapsed="false">
      <c r="A584" s="0" t="s">
        <v>42</v>
      </c>
      <c r="B584" s="0" t="s">
        <v>43</v>
      </c>
      <c r="C584" s="0" t="s">
        <v>28</v>
      </c>
      <c r="D584" s="0" t="s">
        <v>140</v>
      </c>
      <c r="E584" s="0" t="n">
        <v>13</v>
      </c>
      <c r="F584" s="0" t="n">
        <v>1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3" t="n">
        <v>4</v>
      </c>
      <c r="S584" s="0" t="n">
        <v>11.3</v>
      </c>
      <c r="T584" s="0" t="n">
        <f aca="false">(S584/32)*5</f>
        <v>1.765625</v>
      </c>
      <c r="V584" s="0" t="n">
        <v>25</v>
      </c>
      <c r="W584" s="0" t="n">
        <v>4</v>
      </c>
      <c r="X584" s="3" t="n">
        <f aca="false">LOOKUP(V584,$AB$3:$AC$123)</f>
        <v>1.10355</v>
      </c>
      <c r="Y584" s="2" t="n">
        <f aca="false">(V584*((W584+T584)/1000)*X584)/((((W584+T584)/1000)*X584)-((W584/1000)*0.9982))</f>
        <v>67.1207121346733</v>
      </c>
      <c r="Z584" s="3" t="n">
        <f aca="false">(X584*(V584/100)*((W584+T584)/1000))*1000</f>
        <v>1.5906638671875</v>
      </c>
    </row>
    <row r="585" customFormat="false" ht="15" hidden="false" customHeight="false" outlineLevel="0" collapsed="false">
      <c r="A585" s="0" t="s">
        <v>44</v>
      </c>
      <c r="B585" s="0" t="s">
        <v>45</v>
      </c>
      <c r="C585" s="0" t="s">
        <v>28</v>
      </c>
      <c r="D585" s="0" t="s">
        <v>140</v>
      </c>
      <c r="E585" s="0" t="n">
        <v>13</v>
      </c>
      <c r="F585" s="0" t="n">
        <v>2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3" t="n">
        <v>3</v>
      </c>
      <c r="S585" s="0" t="n">
        <v>4.7</v>
      </c>
      <c r="T585" s="0" t="n">
        <f aca="false">(S585/32)*5</f>
        <v>0.734375</v>
      </c>
      <c r="V585" s="0" t="n">
        <v>7</v>
      </c>
      <c r="W585" s="0" t="n">
        <v>4</v>
      </c>
      <c r="X585" s="3" t="n">
        <f aca="false">LOOKUP(V585,$AB$3:$AC$123)</f>
        <v>1.0259</v>
      </c>
      <c r="Y585" s="2" t="n">
        <f aca="false">(V585*((W585+T585)/1000)*X585)/((((W585+T585)/1000)*X585)-((W585/1000)*0.9982))</f>
        <v>39.3417630201506</v>
      </c>
      <c r="Z585" s="3" t="n">
        <f aca="false">(X585*(V585/100)*((W585+T585)/1000))*1000</f>
        <v>0.339989671875</v>
      </c>
    </row>
    <row r="586" customFormat="false" ht="15" hidden="false" customHeight="false" outlineLevel="0" collapsed="false">
      <c r="A586" s="0" t="s">
        <v>46</v>
      </c>
      <c r="B586" s="0" t="s">
        <v>47</v>
      </c>
      <c r="C586" s="0" t="s">
        <v>28</v>
      </c>
      <c r="D586" s="0" t="s">
        <v>140</v>
      </c>
      <c r="E586" s="0" t="n">
        <v>13</v>
      </c>
      <c r="F586" s="0" t="n">
        <v>0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3" t="n">
        <v>4</v>
      </c>
      <c r="S586" s="0" t="n">
        <v>11.1</v>
      </c>
      <c r="T586" s="0" t="n">
        <f aca="false">(S586/32)*5</f>
        <v>1.734375</v>
      </c>
      <c r="V586" s="0" t="n">
        <v>20.5</v>
      </c>
      <c r="W586" s="0" t="n">
        <v>4</v>
      </c>
      <c r="X586" s="3" t="n">
        <f aca="false">LOOKUP(V586,$AB$3:$AC$123)</f>
        <v>1.083225</v>
      </c>
      <c r="Y586" s="2" t="n">
        <f aca="false">(V586*((W586+T586)/1000)*X586)/((((W586+T586)/1000)*X586)-((W586/1000)*0.9982))</f>
        <v>57.3900859568587</v>
      </c>
      <c r="Z586" s="3" t="n">
        <f aca="false">(X586*(V586/100)*((W586+T586)/1000))*1000</f>
        <v>1.27338176367188</v>
      </c>
    </row>
    <row r="587" customFormat="false" ht="15" hidden="false" customHeight="false" outlineLevel="0" collapsed="false">
      <c r="A587" s="0" t="s">
        <v>48</v>
      </c>
      <c r="B587" s="0" t="s">
        <v>49</v>
      </c>
      <c r="C587" s="0" t="s">
        <v>28</v>
      </c>
      <c r="D587" s="0" t="s">
        <v>140</v>
      </c>
      <c r="E587" s="0" t="n">
        <v>13</v>
      </c>
      <c r="F587" s="0" t="n">
        <v>1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3" t="n">
        <v>2</v>
      </c>
      <c r="S587" s="0" t="n">
        <v>4.7</v>
      </c>
      <c r="T587" s="0" t="n">
        <f aca="false">(S587/32)*5</f>
        <v>0.734375</v>
      </c>
      <c r="V587" s="0" t="n">
        <v>9.5</v>
      </c>
      <c r="W587" s="0" t="n">
        <v>4</v>
      </c>
      <c r="X587" s="3" t="n">
        <f aca="false">LOOKUP(V587,$AB$3:$AC$123)</f>
        <v>1.0361</v>
      </c>
      <c r="Y587" s="2" t="n">
        <f aca="false">(V587*((W587+T587)/1000)*X587)/((((W587+T587)/1000)*X587)-((W587/1000)*0.9982))</f>
        <v>51.0695173384522</v>
      </c>
      <c r="Z587" s="3" t="n">
        <f aca="false">(X587*(V587/100)*((W587+T587)/1000))*1000</f>
        <v>0.4660021640625</v>
      </c>
    </row>
    <row r="588" customFormat="false" ht="15" hidden="false" customHeight="false" outlineLevel="0" collapsed="false">
      <c r="A588" s="0" t="s">
        <v>50</v>
      </c>
      <c r="B588" s="0" t="s">
        <v>51</v>
      </c>
      <c r="C588" s="0" t="s">
        <v>28</v>
      </c>
      <c r="D588" s="0" t="s">
        <v>140</v>
      </c>
      <c r="E588" s="0" t="n">
        <v>13</v>
      </c>
      <c r="F588" s="0" t="n">
        <v>2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3" t="n">
        <v>2</v>
      </c>
      <c r="S588" s="0" t="n">
        <v>6.4</v>
      </c>
      <c r="T588" s="0" t="n">
        <f aca="false">(S588/32)*5</f>
        <v>1</v>
      </c>
      <c r="V588" s="0" t="n">
        <v>9</v>
      </c>
      <c r="W588" s="0" t="n">
        <v>4</v>
      </c>
      <c r="X588" s="3" t="n">
        <f aca="false">LOOKUP(V588,$AB$3:$AC$123)</f>
        <v>1.0341</v>
      </c>
      <c r="Y588" s="2" t="n">
        <f aca="false">(V588*((W588+T588)/1000)*X588)/((((W588+T588)/1000)*X588)-((W588/1000)*0.9982))</f>
        <v>39.5130338795958</v>
      </c>
      <c r="Z588" s="3" t="n">
        <f aca="false">(X588*(V588/100)*((W588+T588)/1000))*1000</f>
        <v>0.465345</v>
      </c>
    </row>
    <row r="589" customFormat="false" ht="15" hidden="false" customHeight="false" outlineLevel="0" collapsed="false">
      <c r="A589" s="0" t="s">
        <v>52</v>
      </c>
      <c r="B589" s="0" t="s">
        <v>53</v>
      </c>
      <c r="C589" s="0" t="s">
        <v>28</v>
      </c>
      <c r="D589" s="0" t="s">
        <v>140</v>
      </c>
      <c r="E589" s="0" t="n">
        <v>13</v>
      </c>
      <c r="F589" s="0" t="n">
        <v>2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3" t="n">
        <v>3</v>
      </c>
      <c r="S589" s="0" t="n">
        <v>5.9</v>
      </c>
      <c r="T589" s="0" t="n">
        <f aca="false">(S589/32)*5</f>
        <v>0.921875</v>
      </c>
      <c r="V589" s="0" t="n">
        <v>10</v>
      </c>
      <c r="W589" s="0" t="n">
        <v>4</v>
      </c>
      <c r="X589" s="3" t="n">
        <f aca="false">LOOKUP(V589,$AB$3:$AC$123)</f>
        <v>1.0381</v>
      </c>
      <c r="Y589" s="2" t="n">
        <f aca="false">(V589*((W589+T589)/1000)*X589)/((((W589+T589)/1000)*X589)-((W589/1000)*0.9982))</f>
        <v>45.7586027877637</v>
      </c>
      <c r="Z589" s="3" t="n">
        <f aca="false">(X589*(V589/100)*((W589+T589)/1000))*1000</f>
        <v>0.51093984375</v>
      </c>
    </row>
    <row r="590" customFormat="false" ht="15" hidden="false" customHeight="false" outlineLevel="0" collapsed="false">
      <c r="A590" s="0" t="s">
        <v>54</v>
      </c>
      <c r="B590" s="0" t="s">
        <v>55</v>
      </c>
      <c r="C590" s="0" t="s">
        <v>56</v>
      </c>
      <c r="D590" s="0" t="s">
        <v>140</v>
      </c>
      <c r="E590" s="0" t="n">
        <v>13</v>
      </c>
      <c r="F590" s="0" t="n">
        <v>0</v>
      </c>
      <c r="G590" s="1"/>
      <c r="H590" s="1"/>
      <c r="I590" s="0" t="n">
        <v>0</v>
      </c>
      <c r="J590" s="0" t="n">
        <f aca="false">(I590/32)*5</f>
        <v>0</v>
      </c>
      <c r="L590" s="0" t="n">
        <v>0</v>
      </c>
      <c r="M590" s="0" t="n">
        <v>0</v>
      </c>
      <c r="N590" s="0" t="n">
        <f aca="false">L590</f>
        <v>0</v>
      </c>
      <c r="O590" s="3" t="n">
        <v>0</v>
      </c>
      <c r="P590" s="3" t="n">
        <f aca="false">(O590*(N590/100)*(J590/1000))*1000</f>
        <v>0</v>
      </c>
      <c r="Q590" s="3"/>
      <c r="R590" s="1"/>
      <c r="S590" s="1"/>
      <c r="T590" s="1"/>
      <c r="U590" s="1"/>
      <c r="V590" s="1"/>
      <c r="W590" s="1"/>
      <c r="X590" s="1"/>
      <c r="Y590" s="5"/>
      <c r="Z590" s="1"/>
    </row>
    <row r="591" customFormat="false" ht="15" hidden="false" customHeight="false" outlineLevel="0" collapsed="false">
      <c r="A591" s="0" t="s">
        <v>57</v>
      </c>
      <c r="B591" s="0" t="s">
        <v>58</v>
      </c>
      <c r="C591" s="0" t="s">
        <v>56</v>
      </c>
      <c r="D591" s="0" t="s">
        <v>140</v>
      </c>
      <c r="E591" s="0" t="n">
        <v>13</v>
      </c>
      <c r="F591" s="0" t="n">
        <v>0</v>
      </c>
      <c r="G591" s="1"/>
      <c r="H591" s="1"/>
      <c r="I591" s="0" t="n">
        <v>0</v>
      </c>
      <c r="J591" s="0" t="n">
        <f aca="false">(I591/32)*5</f>
        <v>0</v>
      </c>
      <c r="L591" s="0" t="n">
        <v>0</v>
      </c>
      <c r="M591" s="0" t="n">
        <v>0</v>
      </c>
      <c r="N591" s="0" t="n">
        <f aca="false">L591</f>
        <v>0</v>
      </c>
      <c r="O591" s="3" t="n">
        <v>0</v>
      </c>
      <c r="P591" s="3" t="n">
        <f aca="false">(O591*(N591/100)*(J591/1000))*1000</f>
        <v>0</v>
      </c>
      <c r="Q591" s="3"/>
      <c r="R591" s="1"/>
      <c r="S591" s="1"/>
      <c r="T591" s="1"/>
      <c r="U591" s="1"/>
      <c r="V591" s="1"/>
      <c r="W591" s="1"/>
      <c r="X591" s="1"/>
      <c r="Y591" s="5"/>
      <c r="Z591" s="1"/>
    </row>
    <row r="592" customFormat="false" ht="15" hidden="false" customHeight="false" outlineLevel="0" collapsed="false">
      <c r="A592" s="0" t="s">
        <v>59</v>
      </c>
      <c r="B592" s="0" t="s">
        <v>60</v>
      </c>
      <c r="C592" s="0" t="s">
        <v>56</v>
      </c>
      <c r="D592" s="0" t="s">
        <v>140</v>
      </c>
      <c r="E592" s="0" t="n">
        <v>13</v>
      </c>
      <c r="F592" s="0" t="n">
        <v>2</v>
      </c>
      <c r="G592" s="1"/>
      <c r="H592" s="1"/>
      <c r="I592" s="0" t="n">
        <f aca="false">32+8.6</f>
        <v>40.6</v>
      </c>
      <c r="J592" s="0" t="n">
        <f aca="false">(I592/32)*5</f>
        <v>6.34375</v>
      </c>
      <c r="L592" s="0" t="n">
        <v>24.5</v>
      </c>
      <c r="M592" s="0" t="n">
        <v>0</v>
      </c>
      <c r="N592" s="0" t="n">
        <f aca="false">L592</f>
        <v>24.5</v>
      </c>
      <c r="O592" s="3" t="n">
        <f aca="false">LOOKUP(L592,$AB$3:$AC$123)</f>
        <v>1.101275</v>
      </c>
      <c r="P592" s="3" t="n">
        <f aca="false">(O592*(N592/100)*(J592/1000))*1000</f>
        <v>1.71162225390625</v>
      </c>
      <c r="Q592" s="3"/>
      <c r="R592" s="1"/>
      <c r="S592" s="1"/>
      <c r="T592" s="1"/>
      <c r="U592" s="1"/>
      <c r="V592" s="1"/>
      <c r="W592" s="1"/>
      <c r="X592" s="1"/>
      <c r="Y592" s="5"/>
      <c r="Z592" s="1"/>
    </row>
    <row r="593" customFormat="false" ht="15" hidden="false" customHeight="false" outlineLevel="0" collapsed="false">
      <c r="A593" s="0" t="s">
        <v>61</v>
      </c>
      <c r="B593" s="0" t="s">
        <v>62</v>
      </c>
      <c r="C593" s="0" t="s">
        <v>56</v>
      </c>
      <c r="D593" s="0" t="s">
        <v>140</v>
      </c>
      <c r="E593" s="0" t="n">
        <v>13</v>
      </c>
      <c r="F593" s="0" t="n">
        <v>4</v>
      </c>
      <c r="G593" s="1"/>
      <c r="H593" s="1"/>
      <c r="I593" s="0" t="n">
        <f aca="false">32+11+31-4.3</f>
        <v>69.7</v>
      </c>
      <c r="J593" s="0" t="n">
        <f aca="false">(I593/32)*5</f>
        <v>10.890625</v>
      </c>
      <c r="L593" s="0" t="n">
        <v>13</v>
      </c>
      <c r="M593" s="0" t="n">
        <v>0</v>
      </c>
      <c r="N593" s="0" t="n">
        <f aca="false">L593</f>
        <v>13</v>
      </c>
      <c r="O593" s="3" t="n">
        <f aca="false">LOOKUP(L593,$AB$3:$AC$123)</f>
        <v>1.0507</v>
      </c>
      <c r="P593" s="3" t="n">
        <f aca="false">(O593*(N593/100)*(J593/1000))*1000</f>
        <v>1.487561359375</v>
      </c>
      <c r="Q593" s="3"/>
      <c r="R593" s="1"/>
      <c r="S593" s="1"/>
      <c r="T593" s="1"/>
      <c r="U593" s="1"/>
      <c r="V593" s="1"/>
      <c r="W593" s="1"/>
      <c r="X593" s="1"/>
      <c r="Y593" s="5"/>
      <c r="Z593" s="1"/>
    </row>
    <row r="594" customFormat="false" ht="15" hidden="false" customHeight="false" outlineLevel="0" collapsed="false">
      <c r="A594" s="0" t="s">
        <v>63</v>
      </c>
      <c r="B594" s="0" t="s">
        <v>64</v>
      </c>
      <c r="C594" s="0" t="s">
        <v>56</v>
      </c>
      <c r="D594" s="0" t="s">
        <v>140</v>
      </c>
      <c r="E594" s="0" t="n">
        <v>13</v>
      </c>
      <c r="F594" s="0" t="n">
        <v>0</v>
      </c>
      <c r="G594" s="1"/>
      <c r="H594" s="1"/>
      <c r="I594" s="0" t="n">
        <v>0</v>
      </c>
      <c r="J594" s="0" t="n">
        <f aca="false">(I594/32)*5</f>
        <v>0</v>
      </c>
      <c r="L594" s="0" t="n">
        <v>0</v>
      </c>
      <c r="M594" s="0" t="n">
        <v>0</v>
      </c>
      <c r="N594" s="0" t="n">
        <f aca="false">L594</f>
        <v>0</v>
      </c>
      <c r="O594" s="3" t="n">
        <v>0</v>
      </c>
      <c r="P594" s="3" t="n">
        <f aca="false">(O594*(N594/100)*(J594/1000))*1000</f>
        <v>0</v>
      </c>
      <c r="Q594" s="3"/>
      <c r="R594" s="1"/>
      <c r="S594" s="1"/>
      <c r="T594" s="1"/>
      <c r="U594" s="1"/>
      <c r="V594" s="1"/>
      <c r="W594" s="1"/>
      <c r="X594" s="1"/>
      <c r="Y594" s="5"/>
      <c r="Z594" s="1"/>
    </row>
    <row r="595" customFormat="false" ht="15" hidden="false" customHeight="false" outlineLevel="0" collapsed="false">
      <c r="A595" s="0" t="s">
        <v>65</v>
      </c>
      <c r="B595" s="0" t="s">
        <v>66</v>
      </c>
      <c r="C595" s="0" t="s">
        <v>56</v>
      </c>
      <c r="D595" s="0" t="s">
        <v>140</v>
      </c>
      <c r="E595" s="0" t="n">
        <v>13</v>
      </c>
      <c r="F595" s="0" t="n">
        <v>1</v>
      </c>
      <c r="G595" s="1"/>
      <c r="H595" s="1"/>
      <c r="I595" s="0" t="n">
        <f aca="false">32+22.5</f>
        <v>54.5</v>
      </c>
      <c r="J595" s="0" t="n">
        <f aca="false">(I595/32)*5</f>
        <v>8.515625</v>
      </c>
      <c r="L595" s="0" t="n">
        <v>23</v>
      </c>
      <c r="M595" s="0" t="n">
        <v>0</v>
      </c>
      <c r="N595" s="0" t="n">
        <f aca="false">L595</f>
        <v>23</v>
      </c>
      <c r="O595" s="3" t="n">
        <f aca="false">LOOKUP(L595,$AB$3:$AC$123)</f>
        <v>1.09445</v>
      </c>
      <c r="P595" s="3" t="n">
        <f aca="false">(O595*(N595/100)*(J595/1000))*1000</f>
        <v>2.1435829296875</v>
      </c>
      <c r="Q595" s="3"/>
      <c r="R595" s="1"/>
      <c r="S595" s="1"/>
      <c r="T595" s="1"/>
      <c r="U595" s="1"/>
      <c r="V595" s="1"/>
      <c r="W595" s="1"/>
      <c r="X595" s="1"/>
      <c r="Y595" s="5"/>
      <c r="Z595" s="1"/>
    </row>
    <row r="596" customFormat="false" ht="15" hidden="false" customHeight="false" outlineLevel="0" collapsed="false">
      <c r="A596" s="0" t="s">
        <v>67</v>
      </c>
      <c r="B596" s="0" t="s">
        <v>68</v>
      </c>
      <c r="C596" s="0" t="s">
        <v>56</v>
      </c>
      <c r="D596" s="0" t="s">
        <v>140</v>
      </c>
      <c r="E596" s="0" t="n">
        <v>13</v>
      </c>
      <c r="F596" s="0" t="n">
        <v>2</v>
      </c>
      <c r="G596" s="1"/>
      <c r="H596" s="1"/>
      <c r="I596" s="0" t="n">
        <v>64</v>
      </c>
      <c r="J596" s="0" t="n">
        <f aca="false">(I596/32)*5</f>
        <v>10</v>
      </c>
      <c r="L596" s="0" t="n">
        <v>25.5</v>
      </c>
      <c r="M596" s="0" t="n">
        <v>0</v>
      </c>
      <c r="N596" s="0" t="n">
        <f aca="false">L596</f>
        <v>25.5</v>
      </c>
      <c r="O596" s="3" t="n">
        <f aca="false">LOOKUP(L596,$AB$3:$AC$123)</f>
        <v>1.105825</v>
      </c>
      <c r="P596" s="3" t="n">
        <f aca="false">(O596*(N596/100)*(J596/1000))*1000</f>
        <v>2.81985375</v>
      </c>
      <c r="Q596" s="3"/>
      <c r="R596" s="1"/>
      <c r="S596" s="1"/>
      <c r="T596" s="1"/>
      <c r="U596" s="1"/>
      <c r="V596" s="1"/>
      <c r="W596" s="1"/>
      <c r="X596" s="1"/>
      <c r="Y596" s="5"/>
      <c r="Z596" s="1"/>
    </row>
    <row r="597" customFormat="false" ht="15" hidden="false" customHeight="false" outlineLevel="0" collapsed="false">
      <c r="A597" s="0" t="s">
        <v>69</v>
      </c>
      <c r="B597" s="0" t="s">
        <v>70</v>
      </c>
      <c r="C597" s="0" t="s">
        <v>56</v>
      </c>
      <c r="D597" s="0" t="s">
        <v>140</v>
      </c>
      <c r="E597" s="0" t="n">
        <v>13</v>
      </c>
      <c r="F597" s="0" t="n">
        <v>0</v>
      </c>
      <c r="G597" s="1"/>
      <c r="H597" s="1"/>
      <c r="I597" s="0" t="n">
        <v>0</v>
      </c>
      <c r="J597" s="0" t="n">
        <f aca="false">(I597/32)*5</f>
        <v>0</v>
      </c>
      <c r="L597" s="0" t="n">
        <v>0</v>
      </c>
      <c r="M597" s="0" t="n">
        <v>0</v>
      </c>
      <c r="N597" s="0" t="n">
        <f aca="false">L597</f>
        <v>0</v>
      </c>
      <c r="O597" s="3" t="n">
        <v>0</v>
      </c>
      <c r="P597" s="3" t="n">
        <f aca="false">(O597*(N597/100)*(J597/1000))*1000</f>
        <v>0</v>
      </c>
      <c r="Q597" s="3"/>
      <c r="R597" s="1"/>
      <c r="S597" s="1"/>
      <c r="T597" s="1"/>
      <c r="U597" s="1"/>
      <c r="V597" s="1"/>
      <c r="W597" s="1"/>
      <c r="X597" s="1"/>
      <c r="Y597" s="5"/>
      <c r="Z597" s="1"/>
    </row>
    <row r="598" customFormat="false" ht="15" hidden="false" customHeight="false" outlineLevel="0" collapsed="false">
      <c r="A598" s="0" t="s">
        <v>71</v>
      </c>
      <c r="B598" s="0" t="s">
        <v>72</v>
      </c>
      <c r="C598" s="0" t="s">
        <v>56</v>
      </c>
      <c r="D598" s="0" t="s">
        <v>140</v>
      </c>
      <c r="E598" s="0" t="n">
        <v>13</v>
      </c>
      <c r="F598" s="0" t="n">
        <v>0</v>
      </c>
      <c r="G598" s="1"/>
      <c r="H598" s="1"/>
      <c r="I598" s="0" t="n">
        <v>0</v>
      </c>
      <c r="J598" s="0" t="n">
        <f aca="false">(I598/32)*5</f>
        <v>0</v>
      </c>
      <c r="L598" s="0" t="n">
        <v>0</v>
      </c>
      <c r="M598" s="0" t="n">
        <v>0</v>
      </c>
      <c r="N598" s="0" t="n">
        <f aca="false">L598</f>
        <v>0</v>
      </c>
      <c r="O598" s="3" t="n">
        <v>0</v>
      </c>
      <c r="P598" s="3" t="n">
        <f aca="false">(O598*(N598/100)*(J598/1000))*1000</f>
        <v>0</v>
      </c>
      <c r="Q598" s="3"/>
      <c r="R598" s="1"/>
      <c r="S598" s="1"/>
      <c r="T598" s="1"/>
      <c r="U598" s="1"/>
      <c r="V598" s="1"/>
      <c r="W598" s="1"/>
      <c r="X598" s="1"/>
      <c r="Y598" s="5"/>
      <c r="Z598" s="1"/>
    </row>
    <row r="599" customFormat="false" ht="15" hidden="false" customHeight="false" outlineLevel="0" collapsed="false">
      <c r="A599" s="0" t="s">
        <v>73</v>
      </c>
      <c r="B599" s="0" t="s">
        <v>74</v>
      </c>
      <c r="C599" s="0" t="s">
        <v>56</v>
      </c>
      <c r="D599" s="0" t="s">
        <v>140</v>
      </c>
      <c r="E599" s="0" t="n">
        <v>13</v>
      </c>
      <c r="F599" s="0" t="n">
        <v>1</v>
      </c>
      <c r="G599" s="1"/>
      <c r="H599" s="1"/>
      <c r="I599" s="0" t="n">
        <v>33.5</v>
      </c>
      <c r="J599" s="0" t="n">
        <f aca="false">(I599/32)*5</f>
        <v>5.234375</v>
      </c>
      <c r="L599" s="0" t="n">
        <v>15</v>
      </c>
      <c r="M599" s="0" t="n">
        <v>0</v>
      </c>
      <c r="N599" s="0" t="n">
        <f aca="false">L599</f>
        <v>15</v>
      </c>
      <c r="O599" s="3" t="n">
        <f aca="false">LOOKUP(L599,$AB$3:$AC$123)</f>
        <v>1.0592</v>
      </c>
      <c r="P599" s="3" t="n">
        <f aca="false">(O599*(N599/100)*(J599/1000))*1000</f>
        <v>0.8316375</v>
      </c>
      <c r="Q599" s="3"/>
      <c r="R599" s="1"/>
      <c r="S599" s="1"/>
      <c r="T599" s="1"/>
      <c r="U599" s="1"/>
      <c r="V599" s="1"/>
      <c r="W599" s="1"/>
      <c r="X599" s="1"/>
      <c r="Y599" s="5"/>
      <c r="Z599" s="1"/>
    </row>
    <row r="600" customFormat="false" ht="15" hidden="false" customHeight="false" outlineLevel="0" collapsed="false">
      <c r="A600" s="0" t="s">
        <v>75</v>
      </c>
      <c r="B600" s="0" t="s">
        <v>76</v>
      </c>
      <c r="C600" s="0" t="s">
        <v>56</v>
      </c>
      <c r="D600" s="0" t="s">
        <v>140</v>
      </c>
      <c r="E600" s="0" t="n">
        <v>13</v>
      </c>
      <c r="F600" s="0" t="n">
        <v>3</v>
      </c>
      <c r="G600" s="1"/>
      <c r="H600" s="1"/>
      <c r="I600" s="0" t="n">
        <f aca="false">96+5.5</f>
        <v>101.5</v>
      </c>
      <c r="J600" s="0" t="n">
        <f aca="false">(I600/32)*5</f>
        <v>15.859375</v>
      </c>
      <c r="L600" s="0" t="n">
        <v>22.5</v>
      </c>
      <c r="M600" s="0" t="n">
        <v>0</v>
      </c>
      <c r="N600" s="0" t="n">
        <f aca="false">L600</f>
        <v>22.5</v>
      </c>
      <c r="O600" s="3" t="n">
        <f aca="false">LOOKUP(L600,$AB$3:$AC$123)</f>
        <v>1.092175</v>
      </c>
      <c r="P600" s="3" t="n">
        <f aca="false">(O600*(N600/100)*(J600/1000))*1000</f>
        <v>3.89727290039063</v>
      </c>
      <c r="Q600" s="3"/>
      <c r="R600" s="1"/>
      <c r="S600" s="1"/>
      <c r="T600" s="1"/>
      <c r="U600" s="1"/>
      <c r="V600" s="1"/>
      <c r="W600" s="1"/>
      <c r="X600" s="1"/>
      <c r="Y600" s="5"/>
      <c r="Z600" s="1"/>
    </row>
    <row r="601" customFormat="false" ht="15" hidden="false" customHeight="false" outlineLevel="0" collapsed="false">
      <c r="A601" s="0" t="s">
        <v>77</v>
      </c>
      <c r="B601" s="0" t="s">
        <v>78</v>
      </c>
      <c r="C601" s="0" t="s">
        <v>56</v>
      </c>
      <c r="D601" s="0" t="s">
        <v>140</v>
      </c>
      <c r="E601" s="0" t="n">
        <v>13</v>
      </c>
      <c r="F601" s="0" t="n">
        <v>1</v>
      </c>
      <c r="G601" s="1"/>
      <c r="H601" s="1"/>
      <c r="I601" s="0" t="n">
        <v>34.3</v>
      </c>
      <c r="J601" s="0" t="n">
        <f aca="false">(I601/32)*5</f>
        <v>5.359375</v>
      </c>
      <c r="L601" s="0" t="n">
        <v>23.5</v>
      </c>
      <c r="M601" s="0" t="n">
        <v>0</v>
      </c>
      <c r="N601" s="0" t="n">
        <f aca="false">L601</f>
        <v>23.5</v>
      </c>
      <c r="O601" s="3" t="n">
        <f aca="false">LOOKUP(L601,$AB$3:$AC$123)</f>
        <v>1.096725</v>
      </c>
      <c r="P601" s="3" t="n">
        <f aca="false">(O601*(N601/100)*(J601/1000))*1000</f>
        <v>1.38127372851563</v>
      </c>
      <c r="Q601" s="3"/>
      <c r="R601" s="1"/>
      <c r="S601" s="1"/>
      <c r="T601" s="1"/>
      <c r="U601" s="1"/>
      <c r="V601" s="1"/>
      <c r="W601" s="1"/>
      <c r="X601" s="1"/>
      <c r="Y601" s="5"/>
      <c r="Z601" s="1"/>
    </row>
    <row r="602" customFormat="false" ht="15" hidden="false" customHeight="false" outlineLevel="0" collapsed="false">
      <c r="A602" s="0" t="s">
        <v>79</v>
      </c>
      <c r="B602" s="0" t="s">
        <v>80</v>
      </c>
      <c r="C602" s="0" t="s">
        <v>81</v>
      </c>
      <c r="D602" s="0" t="s">
        <v>140</v>
      </c>
      <c r="E602" s="0" t="n">
        <v>13</v>
      </c>
      <c r="F602" s="0" t="n">
        <v>0</v>
      </c>
      <c r="G602" s="1"/>
      <c r="H602" s="1"/>
      <c r="I602" s="0" t="n">
        <v>0</v>
      </c>
      <c r="J602" s="0" t="n">
        <f aca="false">(I602/32)*5</f>
        <v>0</v>
      </c>
      <c r="L602" s="0" t="n">
        <v>0</v>
      </c>
      <c r="M602" s="0" t="n">
        <v>0</v>
      </c>
      <c r="N602" s="0" t="n">
        <f aca="false">L602</f>
        <v>0</v>
      </c>
      <c r="O602" s="3" t="n">
        <v>0</v>
      </c>
      <c r="P602" s="3" t="n">
        <f aca="false">(O602*(N602/100)*(J602/1000))*1000</f>
        <v>0</v>
      </c>
      <c r="Q602" s="3"/>
      <c r="R602" s="3" t="n">
        <v>2</v>
      </c>
      <c r="S602" s="3" t="n">
        <v>3.4</v>
      </c>
      <c r="T602" s="0" t="n">
        <f aca="false">(S602/32)*5</f>
        <v>0.53125</v>
      </c>
      <c r="V602" s="0" t="n">
        <v>12</v>
      </c>
      <c r="W602" s="0" t="n">
        <v>4</v>
      </c>
      <c r="X602" s="3" t="n">
        <f aca="false">LOOKUP(V602,$AB$3:$AC$123)</f>
        <v>1.0465</v>
      </c>
      <c r="Y602" s="2" t="n">
        <f aca="false">(V602*((W602+T602)/1000)*X602)/((((W602+T602)/1000)*X602)-((W602/1000)*0.9982))</f>
        <v>75.9570181329753</v>
      </c>
      <c r="Z602" s="3" t="n">
        <f aca="false">(X602*(V602/100)*((W602+T602)/1000))*1000</f>
        <v>0.569034375</v>
      </c>
    </row>
    <row r="603" customFormat="false" ht="15" hidden="false" customHeight="false" outlineLevel="0" collapsed="false">
      <c r="A603" s="0" t="s">
        <v>82</v>
      </c>
      <c r="B603" s="0" t="s">
        <v>83</v>
      </c>
      <c r="C603" s="0" t="s">
        <v>81</v>
      </c>
      <c r="D603" s="0" t="s">
        <v>140</v>
      </c>
      <c r="E603" s="0" t="n">
        <v>13</v>
      </c>
      <c r="F603" s="0" t="n">
        <v>1</v>
      </c>
      <c r="G603" s="1"/>
      <c r="H603" s="1"/>
      <c r="I603" s="0" t="n">
        <v>15.2</v>
      </c>
      <c r="J603" s="0" t="n">
        <f aca="false">(I603/32)*5</f>
        <v>2.375</v>
      </c>
      <c r="L603" s="0" t="n">
        <v>25</v>
      </c>
      <c r="M603" s="0" t="n">
        <v>0</v>
      </c>
      <c r="N603" s="0" t="n">
        <f aca="false">L603</f>
        <v>25</v>
      </c>
      <c r="O603" s="3" t="n">
        <f aca="false">LOOKUP(L603,$AB$3:$AC$123)</f>
        <v>1.10355</v>
      </c>
      <c r="P603" s="3" t="n">
        <f aca="false">(O603*(N603/100)*(J603/1000))*1000</f>
        <v>0.6552328125</v>
      </c>
      <c r="Q603" s="3"/>
      <c r="R603" s="0" t="n">
        <v>1</v>
      </c>
      <c r="S603" s="0" t="n">
        <v>1.2</v>
      </c>
      <c r="T603" s="0" t="n">
        <f aca="false">(S603/32)*5</f>
        <v>0.1875</v>
      </c>
      <c r="V603" s="0" t="n">
        <v>10</v>
      </c>
      <c r="W603" s="0" t="n">
        <v>1</v>
      </c>
      <c r="X603" s="3" t="n">
        <f aca="false">LOOKUP(V603,$AB$3:$AC$123)</f>
        <v>1.0381</v>
      </c>
      <c r="Y603" s="2" t="n">
        <f aca="false">(V603*((W603+T603)/1000)*X603)/((((W603+T603)/1000)*X603)-((W603/1000)*0.9982))</f>
        <v>52.5592240253685</v>
      </c>
      <c r="Z603" s="3" t="n">
        <f aca="false">(X603*(V603/100)*((W603+T603)/1000))*1000</f>
        <v>0.123274375</v>
      </c>
    </row>
    <row r="604" customFormat="false" ht="15" hidden="false" customHeight="false" outlineLevel="0" collapsed="false">
      <c r="A604" s="0" t="s">
        <v>84</v>
      </c>
      <c r="B604" s="0" t="s">
        <v>85</v>
      </c>
      <c r="C604" s="0" t="s">
        <v>81</v>
      </c>
      <c r="D604" s="0" t="s">
        <v>140</v>
      </c>
      <c r="E604" s="0" t="n">
        <v>13</v>
      </c>
      <c r="F604" s="0" t="n">
        <v>2</v>
      </c>
      <c r="G604" s="1"/>
      <c r="H604" s="1"/>
      <c r="I604" s="0" t="n">
        <f aca="false">29.4+19.1</f>
        <v>48.5</v>
      </c>
      <c r="J604" s="0" t="n">
        <f aca="false">(I604/32)*5</f>
        <v>7.578125</v>
      </c>
      <c r="L604" s="0" t="n">
        <v>17</v>
      </c>
      <c r="M604" s="0" t="n">
        <v>0</v>
      </c>
      <c r="N604" s="0" t="n">
        <f aca="false">L604</f>
        <v>17</v>
      </c>
      <c r="O604" s="3" t="n">
        <f aca="false">LOOKUP(L604,$AB$3:$AC$123)</f>
        <v>1.0678</v>
      </c>
      <c r="P604" s="3" t="n">
        <f aca="false">(O604*(N604/100)*(J604/1000))*1000</f>
        <v>1.37562671875</v>
      </c>
      <c r="Q604" s="3"/>
      <c r="R604" s="0" t="n">
        <v>3</v>
      </c>
      <c r="S604" s="0" t="n">
        <v>14.6</v>
      </c>
      <c r="T604" s="0" t="n">
        <f aca="false">(S604/32)*5</f>
        <v>2.28125</v>
      </c>
      <c r="V604" s="0" t="n">
        <v>30</v>
      </c>
      <c r="W604" s="0" t="n">
        <v>4</v>
      </c>
      <c r="X604" s="3" t="n">
        <f aca="false">LOOKUP(V604,$AB$3:$AC$123)</f>
        <v>1.127</v>
      </c>
      <c r="Y604" s="2" t="n">
        <f aca="false">(V604*((W604+T604)/1000)*X604)/((((W604+T604)/1000)*X604)-((W604/1000)*0.9982))</f>
        <v>68.813172481252</v>
      </c>
      <c r="Z604" s="3" t="n">
        <f aca="false">(X604*(V604/100)*((W604+T604)/1000))*1000</f>
        <v>2.123690625</v>
      </c>
    </row>
    <row r="605" customFormat="false" ht="15" hidden="false" customHeight="false" outlineLevel="0" collapsed="false">
      <c r="A605" s="0" t="s">
        <v>86</v>
      </c>
      <c r="B605" s="0" t="s">
        <v>87</v>
      </c>
      <c r="C605" s="0" t="s">
        <v>81</v>
      </c>
      <c r="D605" s="0" t="s">
        <v>140</v>
      </c>
      <c r="E605" s="0" t="n">
        <v>13</v>
      </c>
      <c r="F605" s="0" t="n">
        <v>0</v>
      </c>
      <c r="G605" s="1"/>
      <c r="H605" s="1"/>
      <c r="I605" s="0" t="n">
        <v>0</v>
      </c>
      <c r="J605" s="0" t="n">
        <f aca="false">(I605/32)*5</f>
        <v>0</v>
      </c>
      <c r="L605" s="0" t="n">
        <v>0</v>
      </c>
      <c r="M605" s="0" t="n">
        <v>0</v>
      </c>
      <c r="N605" s="0" t="n">
        <f aca="false">L605</f>
        <v>0</v>
      </c>
      <c r="O605" s="3" t="n">
        <v>0</v>
      </c>
      <c r="P605" s="3" t="n">
        <f aca="false">(O605*(N605/100)*(J605/1000))*1000</f>
        <v>0</v>
      </c>
      <c r="Q605" s="3"/>
      <c r="R605" s="3" t="n">
        <v>1</v>
      </c>
      <c r="S605" s="3" t="n">
        <v>2.5</v>
      </c>
      <c r="T605" s="0" t="n">
        <f aca="false">(S605/32)*5</f>
        <v>0.390625</v>
      </c>
      <c r="V605" s="0" t="n">
        <v>5</v>
      </c>
      <c r="W605" s="0" t="n">
        <v>4</v>
      </c>
      <c r="X605" s="3" t="n">
        <f aca="false">LOOKUP(V605,$AB$3:$AC$123)</f>
        <v>1.0179</v>
      </c>
      <c r="Y605" s="2" t="n">
        <f aca="false">(V605*((W605+T605)/1000)*X605)/((((W605+T605)/1000)*X605)-((W605/1000)*0.9982))</f>
        <v>46.9044495534703</v>
      </c>
      <c r="Z605" s="3" t="n">
        <f aca="false">(X605*(V605/100)*((W605+T605)/1000))*1000</f>
        <v>0.223460859375</v>
      </c>
    </row>
    <row r="606" customFormat="false" ht="15" hidden="false" customHeight="false" outlineLevel="0" collapsed="false">
      <c r="A606" s="0" t="s">
        <v>88</v>
      </c>
      <c r="B606" s="0" t="s">
        <v>89</v>
      </c>
      <c r="C606" s="0" t="s">
        <v>81</v>
      </c>
      <c r="D606" s="0" t="s">
        <v>140</v>
      </c>
      <c r="E606" s="0" t="n">
        <v>13</v>
      </c>
      <c r="F606" s="0" t="n">
        <v>2</v>
      </c>
      <c r="G606" s="1"/>
      <c r="H606" s="1"/>
      <c r="I606" s="0" t="n">
        <f aca="false">25.3+19.3</f>
        <v>44.6</v>
      </c>
      <c r="J606" s="0" t="n">
        <f aca="false">(I606/32)*5</f>
        <v>6.96875</v>
      </c>
      <c r="L606" s="0" t="n">
        <v>16</v>
      </c>
      <c r="M606" s="0" t="n">
        <v>0</v>
      </c>
      <c r="N606" s="0" t="n">
        <f aca="false">L606</f>
        <v>16</v>
      </c>
      <c r="O606" s="3" t="n">
        <f aca="false">LOOKUP(L606,$AB$3:$AC$123)</f>
        <v>1.0635</v>
      </c>
      <c r="P606" s="3" t="n">
        <f aca="false">(O606*(N606/100)*(J606/1000))*1000</f>
        <v>1.1858025</v>
      </c>
      <c r="Q606" s="3"/>
      <c r="R606" s="3" t="n">
        <v>3</v>
      </c>
      <c r="S606" s="3" t="n">
        <v>12.6</v>
      </c>
      <c r="T606" s="0" t="n">
        <f aca="false">(S606/32)*5</f>
        <v>1.96875</v>
      </c>
      <c r="V606" s="0" t="n">
        <v>24</v>
      </c>
      <c r="W606" s="0" t="n">
        <v>4</v>
      </c>
      <c r="X606" s="3" t="n">
        <f aca="false">LOOKUP(V606,$AB$3:$AC$123)</f>
        <v>1.099</v>
      </c>
      <c r="Y606" s="2" t="n">
        <f aca="false">(V606*((W606+T606)/1000)*X606)/((((W606+T606)/1000)*X606)-((W606/1000)*0.9982))</f>
        <v>61.3325152119446</v>
      </c>
      <c r="Z606" s="3" t="n">
        <f aca="false">(X606*(V606/100)*((W606+T606)/1000))*1000</f>
        <v>1.5743175</v>
      </c>
    </row>
    <row r="607" customFormat="false" ht="15" hidden="false" customHeight="false" outlineLevel="0" collapsed="false">
      <c r="A607" s="0" t="s">
        <v>90</v>
      </c>
      <c r="B607" s="0" t="s">
        <v>91</v>
      </c>
      <c r="C607" s="0" t="s">
        <v>81</v>
      </c>
      <c r="D607" s="0" t="s">
        <v>140</v>
      </c>
      <c r="E607" s="0" t="n">
        <v>13</v>
      </c>
      <c r="F607" s="0" t="n">
        <v>0</v>
      </c>
      <c r="G607" s="1"/>
      <c r="H607" s="1"/>
      <c r="I607" s="0" t="n">
        <v>0</v>
      </c>
      <c r="J607" s="0" t="n">
        <f aca="false">(I607/32)*5</f>
        <v>0</v>
      </c>
      <c r="L607" s="0" t="n">
        <v>0</v>
      </c>
      <c r="M607" s="0" t="n">
        <v>0</v>
      </c>
      <c r="N607" s="0" t="n">
        <f aca="false">L607</f>
        <v>0</v>
      </c>
      <c r="O607" s="3" t="n">
        <v>0</v>
      </c>
      <c r="P607" s="3" t="n">
        <f aca="false">(O607*(N607/100)*(J607/1000))*1000</f>
        <v>0</v>
      </c>
      <c r="Q607" s="3"/>
      <c r="R607" s="3" t="n">
        <v>5</v>
      </c>
      <c r="S607" s="3" t="n">
        <v>5.3</v>
      </c>
      <c r="T607" s="0" t="n">
        <f aca="false">(S607/32)*5</f>
        <v>0.828125</v>
      </c>
      <c r="V607" s="0" t="n">
        <v>9</v>
      </c>
      <c r="W607" s="0" t="n">
        <v>4</v>
      </c>
      <c r="X607" s="3" t="n">
        <f aca="false">LOOKUP(V607,$AB$3:$AC$123)</f>
        <v>1.0341</v>
      </c>
      <c r="Y607" s="2" t="n">
        <f aca="false">(V607*((W607+T607)/1000)*X607)/((((W607+T607)/1000)*X607)-((W607/1000)*0.9982))</f>
        <v>44.9364914676621</v>
      </c>
      <c r="Z607" s="3" t="n">
        <f aca="false">(X607*(V607/100)*((W607+T607)/1000))*1000</f>
        <v>0.449348765625</v>
      </c>
    </row>
    <row r="608" customFormat="false" ht="15" hidden="false" customHeight="false" outlineLevel="0" collapsed="false">
      <c r="A608" s="0" t="s">
        <v>92</v>
      </c>
      <c r="B608" s="0" t="s">
        <v>93</v>
      </c>
      <c r="C608" s="0" t="s">
        <v>81</v>
      </c>
      <c r="D608" s="0" t="s">
        <v>140</v>
      </c>
      <c r="E608" s="0" t="n">
        <v>13</v>
      </c>
      <c r="F608" s="0" t="n">
        <v>0</v>
      </c>
      <c r="G608" s="1"/>
      <c r="H608" s="1"/>
      <c r="I608" s="0" t="n">
        <v>0</v>
      </c>
      <c r="J608" s="0" t="n">
        <f aca="false">(I608/32)*5</f>
        <v>0</v>
      </c>
      <c r="L608" s="0" t="n">
        <v>0</v>
      </c>
      <c r="M608" s="0" t="n">
        <v>0</v>
      </c>
      <c r="N608" s="0" t="n">
        <f aca="false">L608</f>
        <v>0</v>
      </c>
      <c r="O608" s="3" t="n">
        <v>0</v>
      </c>
      <c r="P608" s="3" t="n">
        <f aca="false">(O608*(N608/100)*(J608/1000))*1000</f>
        <v>0</v>
      </c>
      <c r="Q608" s="3"/>
      <c r="R608" s="3" t="n">
        <v>2</v>
      </c>
      <c r="S608" s="3" t="n">
        <v>4.5</v>
      </c>
      <c r="T608" s="0" t="n">
        <f aca="false">(S608/32)*5</f>
        <v>0.703125</v>
      </c>
      <c r="V608" s="0" t="n">
        <v>18</v>
      </c>
      <c r="W608" s="0" t="n">
        <v>4</v>
      </c>
      <c r="X608" s="3" t="n">
        <f aca="false">LOOKUP(V608,$AB$3:$AC$123)</f>
        <v>1.0722</v>
      </c>
      <c r="Y608" s="2" t="n">
        <f aca="false">(V608*((W608+T608)/1000)*X608)/((((W608+T608)/1000)*X608)-((W608/1000)*0.9982))</f>
        <v>86.4551307427857</v>
      </c>
      <c r="Z608" s="3" t="n">
        <f aca="false">(X608*(V608/100)*((W608+T608)/1000))*1000</f>
        <v>0.9076843125</v>
      </c>
    </row>
    <row r="609" customFormat="false" ht="15" hidden="false" customHeight="false" outlineLevel="0" collapsed="false">
      <c r="A609" s="0" t="s">
        <v>94</v>
      </c>
      <c r="B609" s="0" t="s">
        <v>95</v>
      </c>
      <c r="C609" s="0" t="s">
        <v>81</v>
      </c>
      <c r="D609" s="0" t="s">
        <v>140</v>
      </c>
      <c r="E609" s="0" t="n">
        <v>13</v>
      </c>
      <c r="F609" s="0" t="n">
        <v>1</v>
      </c>
      <c r="G609" s="1"/>
      <c r="H609" s="1"/>
      <c r="I609" s="0" t="n">
        <v>20.9</v>
      </c>
      <c r="J609" s="0" t="n">
        <f aca="false">(I609/32)*5</f>
        <v>3.265625</v>
      </c>
      <c r="L609" s="0" t="n">
        <v>24</v>
      </c>
      <c r="M609" s="0" t="n">
        <v>0</v>
      </c>
      <c r="N609" s="0" t="n">
        <f aca="false">L609</f>
        <v>24</v>
      </c>
      <c r="O609" s="3" t="n">
        <f aca="false">LOOKUP(L609,$AB$3:$AC$123)</f>
        <v>1.099</v>
      </c>
      <c r="P609" s="3" t="n">
        <f aca="false">(O609*(N609/100)*(J609/1000))*1000</f>
        <v>0.86134125</v>
      </c>
      <c r="Q609" s="3"/>
      <c r="R609" s="3" t="n">
        <v>8</v>
      </c>
      <c r="S609" s="3" t="n">
        <v>16.1</v>
      </c>
      <c r="T609" s="0" t="n">
        <f aca="false">(S609/32)*5</f>
        <v>2.515625</v>
      </c>
      <c r="V609" s="0" t="n">
        <v>34</v>
      </c>
      <c r="W609" s="0" t="n">
        <v>4</v>
      </c>
      <c r="X609" s="3" t="n">
        <f aca="false">LOOKUP(V609,$AB$3:$AC$123)</f>
        <v>1.1464</v>
      </c>
      <c r="Y609" s="2" t="n">
        <f aca="false">(V609*((W609+T609)/1000)*X609)/((((W609+T609)/1000)*X609)-((W609/1000)*0.9982))</f>
        <v>73.0470020169916</v>
      </c>
      <c r="Z609" s="3" t="n">
        <f aca="false">(X609*(V609/100)*((W609+T609)/1000))*1000</f>
        <v>2.53963425</v>
      </c>
    </row>
    <row r="610" customFormat="false" ht="15" hidden="false" customHeight="false" outlineLevel="0" collapsed="false">
      <c r="A610" s="0" t="s">
        <v>96</v>
      </c>
      <c r="B610" s="0" t="s">
        <v>97</v>
      </c>
      <c r="C610" s="0" t="s">
        <v>81</v>
      </c>
      <c r="D610" s="0" t="s">
        <v>140</v>
      </c>
      <c r="E610" s="0" t="n">
        <v>13</v>
      </c>
      <c r="F610" s="0" t="n">
        <v>0</v>
      </c>
      <c r="G610" s="1"/>
      <c r="H610" s="1"/>
      <c r="I610" s="0" t="n">
        <v>0</v>
      </c>
      <c r="J610" s="0" t="n">
        <f aca="false">(I610/32)*5</f>
        <v>0</v>
      </c>
      <c r="L610" s="0" t="n">
        <v>0</v>
      </c>
      <c r="M610" s="0" t="n">
        <v>0</v>
      </c>
      <c r="N610" s="0" t="n">
        <f aca="false">L610</f>
        <v>0</v>
      </c>
      <c r="O610" s="3" t="n">
        <v>0</v>
      </c>
      <c r="P610" s="3" t="n">
        <f aca="false">(O610*(N610/100)*(J610/1000))*1000</f>
        <v>0</v>
      </c>
      <c r="Q610" s="3"/>
      <c r="R610" s="3" t="n">
        <v>2</v>
      </c>
      <c r="S610" s="3" t="n">
        <v>3.2</v>
      </c>
      <c r="T610" s="0" t="n">
        <f aca="false">(S610/32)*5</f>
        <v>0.5</v>
      </c>
      <c r="V610" s="0" t="n">
        <v>4</v>
      </c>
      <c r="W610" s="0" t="n">
        <v>4</v>
      </c>
      <c r="X610" s="3" t="n">
        <f aca="false">LOOKUP(V610,$AB$3:$AC$123)</f>
        <v>1.0139</v>
      </c>
      <c r="Y610" s="2" t="n">
        <f aca="false">(V610*((W610+T610)/1000)*X610)/((((W610+T610)/1000)*X610)-((W610/1000)*0.9982))</f>
        <v>32.0319438350154</v>
      </c>
      <c r="Z610" s="3" t="n">
        <f aca="false">(X610*(V610/100)*((W610+T610)/1000))*1000</f>
        <v>0.182502</v>
      </c>
    </row>
    <row r="611" customFormat="false" ht="15" hidden="false" customHeight="false" outlineLevel="0" collapsed="false">
      <c r="A611" s="0" t="s">
        <v>98</v>
      </c>
      <c r="B611" s="0" t="s">
        <v>99</v>
      </c>
      <c r="C611" s="0" t="s">
        <v>81</v>
      </c>
      <c r="D611" s="0" t="s">
        <v>140</v>
      </c>
      <c r="E611" s="0" t="n">
        <v>13</v>
      </c>
      <c r="F611" s="0" t="n">
        <v>0</v>
      </c>
      <c r="G611" s="1"/>
      <c r="H611" s="1"/>
      <c r="I611" s="0" t="n">
        <v>0</v>
      </c>
      <c r="J611" s="0" t="n">
        <f aca="false">(I611/32)*5</f>
        <v>0</v>
      </c>
      <c r="L611" s="0" t="n">
        <v>0</v>
      </c>
      <c r="M611" s="0" t="n">
        <v>0</v>
      </c>
      <c r="N611" s="0" t="n">
        <f aca="false">L611</f>
        <v>0</v>
      </c>
      <c r="O611" s="3" t="n">
        <v>0</v>
      </c>
      <c r="P611" s="3" t="n">
        <f aca="false">(O611*(N611/100)*(J611/1000))*1000</f>
        <v>0</v>
      </c>
      <c r="Q611" s="3"/>
      <c r="R611" s="3" t="n">
        <v>3</v>
      </c>
      <c r="S611" s="3" t="n">
        <v>9.1</v>
      </c>
      <c r="T611" s="0" t="n">
        <f aca="false">(S611/32)*5</f>
        <v>1.421875</v>
      </c>
      <c r="V611" s="0" t="n">
        <v>17</v>
      </c>
      <c r="W611" s="0" t="n">
        <v>4</v>
      </c>
      <c r="X611" s="3" t="n">
        <f aca="false">LOOKUP(V611,$AB$3:$AC$123)</f>
        <v>1.0678</v>
      </c>
      <c r="Y611" s="2" t="n">
        <f aca="false">(V611*((W611+T611)/1000)*X611)/((((W611+T611)/1000)*X611)-((W611/1000)*0.9982))</f>
        <v>54.7794993190559</v>
      </c>
      <c r="Z611" s="3" t="n">
        <f aca="false">(X611*(V611/100)*((W611+T611)/1000))*1000</f>
        <v>0.98421128125</v>
      </c>
    </row>
    <row r="612" customFormat="false" ht="15" hidden="false" customHeight="false" outlineLevel="0" collapsed="false">
      <c r="A612" s="0" t="s">
        <v>100</v>
      </c>
      <c r="B612" s="0" t="s">
        <v>101</v>
      </c>
      <c r="C612" s="0" t="s">
        <v>81</v>
      </c>
      <c r="D612" s="0" t="s">
        <v>140</v>
      </c>
      <c r="E612" s="0" t="n">
        <v>13</v>
      </c>
      <c r="F612" s="0" t="n">
        <v>0</v>
      </c>
      <c r="G612" s="1"/>
      <c r="H612" s="1"/>
      <c r="I612" s="0" t="n">
        <v>0</v>
      </c>
      <c r="J612" s="0" t="n">
        <f aca="false">(I612/32)*5</f>
        <v>0</v>
      </c>
      <c r="L612" s="0" t="n">
        <v>0</v>
      </c>
      <c r="M612" s="0" t="n">
        <v>0</v>
      </c>
      <c r="N612" s="0" t="n">
        <f aca="false">L612</f>
        <v>0</v>
      </c>
      <c r="O612" s="3" t="n">
        <v>0</v>
      </c>
      <c r="P612" s="3" t="n">
        <f aca="false">(O612*(N612/100)*(J612/1000))*1000</f>
        <v>0</v>
      </c>
      <c r="Q612" s="3"/>
      <c r="R612" s="3" t="n">
        <v>2</v>
      </c>
      <c r="S612" s="3" t="n">
        <v>4.9</v>
      </c>
      <c r="T612" s="0" t="n">
        <f aca="false">(S612/32)*5</f>
        <v>0.765625</v>
      </c>
      <c r="V612" s="0" t="n">
        <v>11</v>
      </c>
      <c r="W612" s="0" t="n">
        <v>4</v>
      </c>
      <c r="X612" s="3" t="n">
        <f aca="false">LOOKUP(V612,$AB$3:$AC$123)</f>
        <v>1.0423</v>
      </c>
      <c r="Y612" s="2" t="n">
        <f aca="false">(V612*((W612+T612)/1000)*X612)/((((W612+T612)/1000)*X612)-((W612/1000)*0.9982))</f>
        <v>56.0742066921842</v>
      </c>
      <c r="Z612" s="3" t="n">
        <f aca="false">(X612*(V612/100)*((W612+T612)/1000))*1000</f>
        <v>0.546393203125</v>
      </c>
    </row>
    <row r="613" customFormat="false" ht="15" hidden="false" customHeight="false" outlineLevel="0" collapsed="false">
      <c r="A613" s="0" t="s">
        <v>102</v>
      </c>
      <c r="B613" s="0" t="s">
        <v>103</v>
      </c>
      <c r="C613" s="0" t="s">
        <v>81</v>
      </c>
      <c r="D613" s="0" t="s">
        <v>140</v>
      </c>
      <c r="E613" s="0" t="n">
        <v>13</v>
      </c>
      <c r="F613" s="0" t="n">
        <v>1</v>
      </c>
      <c r="G613" s="1"/>
      <c r="H613" s="1"/>
      <c r="I613" s="0" t="n">
        <v>15.1</v>
      </c>
      <c r="J613" s="0" t="n">
        <f aca="false">(I613/32)*5</f>
        <v>2.359375</v>
      </c>
      <c r="L613" s="0" t="n">
        <v>22</v>
      </c>
      <c r="M613" s="0" t="n">
        <v>0</v>
      </c>
      <c r="N613" s="0" t="n">
        <f aca="false">L613</f>
        <v>22</v>
      </c>
      <c r="O613" s="3" t="n">
        <f aca="false">LOOKUP(L613,$AB$3:$AC$123)</f>
        <v>1.0899</v>
      </c>
      <c r="P613" s="3" t="n">
        <f aca="false">(O613*(N613/100)*(J613/1000))*1000</f>
        <v>0.56572621875</v>
      </c>
      <c r="Q613" s="3"/>
      <c r="R613" s="3" t="n">
        <v>5</v>
      </c>
      <c r="S613" s="3" t="n">
        <v>8.9</v>
      </c>
      <c r="T613" s="0" t="n">
        <f aca="false">(S613/32)*5</f>
        <v>1.390625</v>
      </c>
      <c r="V613" s="0" t="n">
        <v>19</v>
      </c>
      <c r="W613" s="0" t="n">
        <v>4</v>
      </c>
      <c r="X613" s="3" t="n">
        <f aca="false">LOOKUP(V613,$AB$3:$AC$123)</f>
        <v>1.0765</v>
      </c>
      <c r="Y613" s="2" t="n">
        <f aca="false">(V613*((W613+T613)/1000)*X613)/((((W613+T613)/1000)*X613)-((W613/1000)*0.9982))</f>
        <v>60.90855849596</v>
      </c>
      <c r="Z613" s="3" t="n">
        <f aca="false">(X613*(V613/100)*((W613+T613)/1000))*1000</f>
        <v>1.102571484375</v>
      </c>
    </row>
    <row r="614" customFormat="false" ht="15" hidden="false" customHeight="false" outlineLevel="0" collapsed="false">
      <c r="A614" s="0" t="s">
        <v>104</v>
      </c>
      <c r="B614" s="0" t="s">
        <v>105</v>
      </c>
      <c r="C614" s="0" t="s">
        <v>106</v>
      </c>
      <c r="D614" s="0" t="s">
        <v>140</v>
      </c>
      <c r="E614" s="0" t="n">
        <v>13</v>
      </c>
      <c r="F614" s="0" t="n">
        <v>1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3" t="n">
        <v>10</v>
      </c>
      <c r="S614" s="1"/>
      <c r="T614" s="1"/>
      <c r="U614" s="1"/>
      <c r="V614" s="1"/>
      <c r="W614" s="1"/>
      <c r="X614" s="1"/>
      <c r="Y614" s="5"/>
      <c r="Z614" s="1"/>
    </row>
    <row r="615" customFormat="false" ht="15" hidden="false" customHeight="false" outlineLevel="0" collapsed="false">
      <c r="A615" s="0" t="s">
        <v>107</v>
      </c>
      <c r="B615" s="0" t="s">
        <v>37</v>
      </c>
      <c r="C615" s="0" t="s">
        <v>106</v>
      </c>
      <c r="D615" s="0" t="s">
        <v>140</v>
      </c>
      <c r="E615" s="0" t="n">
        <v>13</v>
      </c>
      <c r="F615" s="0" t="n">
        <v>1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3" t="n">
        <v>3</v>
      </c>
      <c r="S615" s="1"/>
      <c r="T615" s="1"/>
      <c r="U615" s="1"/>
      <c r="V615" s="1"/>
      <c r="W615" s="1"/>
      <c r="X615" s="1"/>
      <c r="Y615" s="5"/>
      <c r="Z615" s="1"/>
    </row>
    <row r="616" customFormat="false" ht="15" hidden="false" customHeight="false" outlineLevel="0" collapsed="false">
      <c r="A616" s="0" t="s">
        <v>108</v>
      </c>
      <c r="B616" s="0" t="s">
        <v>109</v>
      </c>
      <c r="C616" s="0" t="s">
        <v>106</v>
      </c>
      <c r="D616" s="0" t="s">
        <v>140</v>
      </c>
      <c r="E616" s="0" t="n">
        <v>13</v>
      </c>
      <c r="F616" s="0" t="n">
        <v>0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3" t="n">
        <v>8</v>
      </c>
      <c r="S616" s="1"/>
      <c r="T616" s="1"/>
      <c r="U616" s="1"/>
      <c r="V616" s="1"/>
      <c r="W616" s="1"/>
      <c r="X616" s="1"/>
      <c r="Y616" s="5"/>
      <c r="Z616" s="1"/>
    </row>
    <row r="617" customFormat="false" ht="15" hidden="false" customHeight="false" outlineLevel="0" collapsed="false">
      <c r="A617" s="0" t="s">
        <v>110</v>
      </c>
      <c r="B617" s="0" t="s">
        <v>111</v>
      </c>
      <c r="C617" s="0" t="s">
        <v>106</v>
      </c>
      <c r="D617" s="0" t="s">
        <v>140</v>
      </c>
      <c r="E617" s="0" t="n">
        <v>13</v>
      </c>
      <c r="F617" s="0" t="n">
        <v>0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3" t="n">
        <v>4</v>
      </c>
      <c r="S617" s="1"/>
      <c r="T617" s="1"/>
      <c r="U617" s="1"/>
      <c r="V617" s="1"/>
      <c r="W617" s="1"/>
      <c r="X617" s="1"/>
      <c r="Y617" s="5"/>
      <c r="Z617" s="1"/>
    </row>
    <row r="618" customFormat="false" ht="15" hidden="false" customHeight="false" outlineLevel="0" collapsed="false">
      <c r="A618" s="0" t="s">
        <v>112</v>
      </c>
      <c r="B618" s="0" t="s">
        <v>113</v>
      </c>
      <c r="C618" s="0" t="s">
        <v>106</v>
      </c>
      <c r="D618" s="0" t="s">
        <v>140</v>
      </c>
      <c r="E618" s="0" t="n">
        <v>13</v>
      </c>
      <c r="F618" s="0" t="n">
        <v>1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3" t="n">
        <v>6</v>
      </c>
      <c r="S618" s="1"/>
      <c r="T618" s="1"/>
      <c r="U618" s="1"/>
      <c r="V618" s="1"/>
      <c r="W618" s="1"/>
      <c r="X618" s="1"/>
      <c r="Y618" s="5"/>
      <c r="Z618" s="1"/>
    </row>
    <row r="619" customFormat="false" ht="15" hidden="false" customHeight="false" outlineLevel="0" collapsed="false">
      <c r="A619" s="0" t="s">
        <v>114</v>
      </c>
      <c r="B619" s="0" t="s">
        <v>115</v>
      </c>
      <c r="C619" s="0" t="s">
        <v>106</v>
      </c>
      <c r="D619" s="0" t="s">
        <v>140</v>
      </c>
      <c r="E619" s="0" t="n">
        <v>13</v>
      </c>
      <c r="F619" s="0" t="n">
        <v>0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3" t="n">
        <v>5</v>
      </c>
      <c r="S619" s="1"/>
      <c r="T619" s="1"/>
      <c r="U619" s="1"/>
      <c r="V619" s="1"/>
      <c r="W619" s="1"/>
      <c r="X619" s="1"/>
      <c r="Y619" s="5"/>
      <c r="Z619" s="1"/>
    </row>
    <row r="620" customFormat="false" ht="15" hidden="false" customHeight="false" outlineLevel="0" collapsed="false">
      <c r="A620" s="0" t="s">
        <v>116</v>
      </c>
      <c r="B620" s="0" t="s">
        <v>117</v>
      </c>
      <c r="C620" s="0" t="s">
        <v>106</v>
      </c>
      <c r="D620" s="0" t="s">
        <v>140</v>
      </c>
      <c r="E620" s="0" t="n">
        <v>13</v>
      </c>
      <c r="F620" s="0" t="n">
        <v>0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3" t="n">
        <v>5</v>
      </c>
      <c r="S620" s="1"/>
      <c r="T620" s="1"/>
      <c r="U620" s="1"/>
      <c r="V620" s="1"/>
      <c r="W620" s="1"/>
      <c r="X620" s="1"/>
      <c r="Y620" s="5"/>
      <c r="Z620" s="1"/>
    </row>
    <row r="621" customFormat="false" ht="15" hidden="false" customHeight="false" outlineLevel="0" collapsed="false">
      <c r="A621" s="0" t="s">
        <v>118</v>
      </c>
      <c r="B621" s="0" t="s">
        <v>119</v>
      </c>
      <c r="C621" s="0" t="s">
        <v>106</v>
      </c>
      <c r="D621" s="0" t="s">
        <v>140</v>
      </c>
      <c r="E621" s="0" t="n">
        <v>13</v>
      </c>
      <c r="F621" s="0" t="n">
        <v>1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3" t="n">
        <v>11</v>
      </c>
      <c r="S621" s="1"/>
      <c r="T621" s="1"/>
      <c r="U621" s="1"/>
      <c r="V621" s="1"/>
      <c r="W621" s="1"/>
      <c r="X621" s="1"/>
      <c r="Y621" s="5"/>
      <c r="Z621" s="1"/>
    </row>
    <row r="622" customFormat="false" ht="15" hidden="false" customHeight="false" outlineLevel="0" collapsed="false">
      <c r="A622" s="0" t="s">
        <v>120</v>
      </c>
      <c r="B622" s="0" t="s">
        <v>121</v>
      </c>
      <c r="C622" s="0" t="s">
        <v>106</v>
      </c>
      <c r="D622" s="0" t="s">
        <v>140</v>
      </c>
      <c r="E622" s="0" t="n">
        <v>13</v>
      </c>
      <c r="F622" s="0" t="n">
        <v>0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3" t="n">
        <v>4</v>
      </c>
      <c r="S622" s="1"/>
      <c r="T622" s="1"/>
      <c r="U622" s="1"/>
      <c r="V622" s="1"/>
      <c r="W622" s="1"/>
      <c r="X622" s="1"/>
      <c r="Y622" s="5"/>
      <c r="Z622" s="1"/>
    </row>
    <row r="623" customFormat="false" ht="15" hidden="false" customHeight="false" outlineLevel="0" collapsed="false">
      <c r="A623" s="0" t="s">
        <v>122</v>
      </c>
      <c r="B623" s="0" t="s">
        <v>123</v>
      </c>
      <c r="C623" s="0" t="s">
        <v>106</v>
      </c>
      <c r="D623" s="0" t="s">
        <v>140</v>
      </c>
      <c r="E623" s="0" t="n">
        <v>13</v>
      </c>
      <c r="F623" s="0" t="n">
        <v>1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3" t="n">
        <v>6</v>
      </c>
      <c r="S623" s="1"/>
      <c r="T623" s="1"/>
      <c r="U623" s="1"/>
      <c r="V623" s="1"/>
      <c r="W623" s="1"/>
      <c r="X623" s="1"/>
      <c r="Y623" s="5"/>
      <c r="Z623" s="1"/>
    </row>
    <row r="624" customFormat="false" ht="15" hidden="false" customHeight="false" outlineLevel="0" collapsed="false">
      <c r="A624" s="0" t="s">
        <v>124</v>
      </c>
      <c r="B624" s="0" t="s">
        <v>125</v>
      </c>
      <c r="C624" s="0" t="s">
        <v>106</v>
      </c>
      <c r="D624" s="0" t="s">
        <v>140</v>
      </c>
      <c r="E624" s="0" t="n">
        <v>13</v>
      </c>
      <c r="F624" s="0" t="n">
        <v>0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3" t="n">
        <v>7</v>
      </c>
      <c r="S624" s="1"/>
      <c r="T624" s="1"/>
      <c r="U624" s="1"/>
      <c r="V624" s="1"/>
      <c r="W624" s="1"/>
      <c r="X624" s="1"/>
      <c r="Y624" s="5"/>
      <c r="Z624" s="1"/>
    </row>
    <row r="625" customFormat="false" ht="15" hidden="false" customHeight="false" outlineLevel="0" collapsed="false">
      <c r="A625" s="0" t="s">
        <v>126</v>
      </c>
      <c r="B625" s="0" t="s">
        <v>127</v>
      </c>
      <c r="C625" s="0" t="s">
        <v>106</v>
      </c>
      <c r="D625" s="0" t="s">
        <v>140</v>
      </c>
      <c r="E625" s="0" t="n">
        <v>13</v>
      </c>
      <c r="F625" s="0" t="n">
        <v>1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3" t="n">
        <v>9</v>
      </c>
      <c r="S625" s="1"/>
      <c r="T625" s="1"/>
      <c r="U625" s="1"/>
      <c r="V625" s="1"/>
      <c r="W625" s="1"/>
      <c r="X625" s="1"/>
      <c r="Y625" s="5"/>
      <c r="Z625" s="1"/>
    </row>
    <row r="626" customFormat="false" ht="15" hidden="false" customHeight="false" outlineLevel="0" collapsed="false">
      <c r="A626" s="0" t="s">
        <v>26</v>
      </c>
      <c r="B626" s="0" t="s">
        <v>27</v>
      </c>
      <c r="C626" s="0" t="s">
        <v>28</v>
      </c>
      <c r="D626" s="0" t="s">
        <v>141</v>
      </c>
      <c r="E626" s="0" t="n">
        <v>14</v>
      </c>
      <c r="F626" s="0" t="n">
        <v>0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3" t="n">
        <v>2</v>
      </c>
      <c r="S626" s="0" t="n">
        <v>4.8</v>
      </c>
      <c r="T626" s="0" t="n">
        <f aca="false">(S626/32)*5</f>
        <v>0.75</v>
      </c>
      <c r="V626" s="0" t="n">
        <v>10.5</v>
      </c>
      <c r="W626" s="0" t="n">
        <v>4</v>
      </c>
      <c r="X626" s="3" t="n">
        <f aca="false">LOOKUP(V626,$AB$3:$AC$123)</f>
        <v>1.0402</v>
      </c>
      <c r="Y626" s="2" t="n">
        <f aca="false">(V626*((W626+T626)/1000)*X626)/((((W626+T626)/1000)*X626)-((W626/1000)*0.9982))</f>
        <v>54.7170542635659</v>
      </c>
      <c r="Z626" s="3" t="n">
        <f aca="false">(X626*(V626/100)*((W626+T626)/1000))*1000</f>
        <v>0.51879975</v>
      </c>
    </row>
    <row r="627" customFormat="false" ht="15" hidden="false" customHeight="false" outlineLevel="0" collapsed="false">
      <c r="A627" s="0" t="s">
        <v>32</v>
      </c>
      <c r="B627" s="0" t="s">
        <v>33</v>
      </c>
      <c r="C627" s="0" t="s">
        <v>28</v>
      </c>
      <c r="D627" s="0" t="s">
        <v>141</v>
      </c>
      <c r="E627" s="0" t="n">
        <v>14</v>
      </c>
      <c r="F627" s="0" t="n">
        <v>1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3" t="n">
        <v>6</v>
      </c>
      <c r="S627" s="0" t="n">
        <v>16.5</v>
      </c>
      <c r="T627" s="0" t="n">
        <f aca="false">(S627/32)*5</f>
        <v>2.578125</v>
      </c>
      <c r="V627" s="0" t="n">
        <v>28</v>
      </c>
      <c r="W627" s="0" t="n">
        <v>4</v>
      </c>
      <c r="X627" s="3" t="n">
        <f aca="false">LOOKUP(V627,$AB$3:$AC$123)</f>
        <v>1.1175</v>
      </c>
      <c r="Y627" s="2" t="n">
        <f aca="false">(V627*((W627+T627)/1000)*X627)/((((W627+T627)/1000)*X627)-((W627/1000)*0.9982))</f>
        <v>61.2906257575201</v>
      </c>
      <c r="Z627" s="3" t="n">
        <f aca="false">(X627*(V627/100)*((W627+T627)/1000))*1000</f>
        <v>2.0582953125</v>
      </c>
    </row>
    <row r="628" customFormat="false" ht="15" hidden="false" customHeight="false" outlineLevel="0" collapsed="false">
      <c r="A628" s="0" t="s">
        <v>34</v>
      </c>
      <c r="B628" s="0" t="s">
        <v>35</v>
      </c>
      <c r="C628" s="0" t="s">
        <v>28</v>
      </c>
      <c r="D628" s="0" t="s">
        <v>141</v>
      </c>
      <c r="E628" s="0" t="n">
        <v>14</v>
      </c>
      <c r="F628" s="0" t="n">
        <v>1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3" t="n">
        <v>4</v>
      </c>
      <c r="S628" s="0" t="n">
        <v>16.3</v>
      </c>
      <c r="T628" s="0" t="n">
        <f aca="false">(S628/32)*5</f>
        <v>2.546875</v>
      </c>
      <c r="V628" s="0" t="n">
        <v>31</v>
      </c>
      <c r="W628" s="0" t="n">
        <v>4</v>
      </c>
      <c r="X628" s="3" t="n">
        <f aca="false">LOOKUP(V628,$AB$3:$AC$123)</f>
        <v>1.1318</v>
      </c>
      <c r="Y628" s="2" t="n">
        <f aca="false">(V628*((W628+T628)/1000)*X628)/((((W628+T628)/1000)*X628)-((W628/1000)*0.9982))</f>
        <v>67.224318997645</v>
      </c>
      <c r="Z628" s="3" t="n">
        <f aca="false">(X628*(V628/100)*((W628+T628)/1000))*1000</f>
        <v>2.29702346875</v>
      </c>
    </row>
    <row r="629" customFormat="false" ht="15" hidden="false" customHeight="false" outlineLevel="0" collapsed="false">
      <c r="A629" s="0" t="s">
        <v>36</v>
      </c>
      <c r="B629" s="0" t="s">
        <v>37</v>
      </c>
      <c r="C629" s="0" t="s">
        <v>28</v>
      </c>
      <c r="D629" s="0" t="s">
        <v>141</v>
      </c>
      <c r="E629" s="0" t="n">
        <v>14</v>
      </c>
      <c r="F629" s="0" t="n">
        <v>1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3" t="n">
        <v>4</v>
      </c>
      <c r="S629" s="0" t="n">
        <v>9.1</v>
      </c>
      <c r="T629" s="0" t="n">
        <f aca="false">(S629/32)*5</f>
        <v>1.421875</v>
      </c>
      <c r="V629" s="0" t="n">
        <v>16</v>
      </c>
      <c r="W629" s="0" t="n">
        <v>4</v>
      </c>
      <c r="X629" s="3" t="n">
        <f aca="false">LOOKUP(V629,$AB$3:$AC$123)</f>
        <v>1.0635</v>
      </c>
      <c r="Y629" s="2" t="n">
        <f aca="false">(V629*((W629+T629)/1000)*X629)/((((W629+T629)/1000)*X629)-((W629/1000)*0.9982))</f>
        <v>52.0246389057521</v>
      </c>
      <c r="Z629" s="3" t="n">
        <f aca="false">(X629*(V629/100)*((W629+T629)/1000))*1000</f>
        <v>0.92258625</v>
      </c>
    </row>
    <row r="630" customFormat="false" ht="15" hidden="false" customHeight="false" outlineLevel="0" collapsed="false">
      <c r="A630" s="0" t="s">
        <v>38</v>
      </c>
      <c r="B630" s="0" t="s">
        <v>39</v>
      </c>
      <c r="C630" s="0" t="s">
        <v>28</v>
      </c>
      <c r="D630" s="0" t="s">
        <v>141</v>
      </c>
      <c r="E630" s="0" t="n">
        <v>14</v>
      </c>
      <c r="F630" s="0" t="n">
        <v>1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3" t="n">
        <v>5</v>
      </c>
      <c r="S630" s="0" t="n">
        <v>11.8</v>
      </c>
      <c r="T630" s="0" t="n">
        <f aca="false">(S630/32)*5</f>
        <v>1.84375</v>
      </c>
      <c r="V630" s="0" t="n">
        <v>24</v>
      </c>
      <c r="W630" s="0" t="n">
        <v>4</v>
      </c>
      <c r="X630" s="3" t="n">
        <f aca="false">LOOKUP(V630,$AB$3:$AC$123)</f>
        <v>1.099</v>
      </c>
      <c r="Y630" s="2" t="n">
        <f aca="false">(V630*((W630+T630)/1000)*X630)/((((W630+T630)/1000)*X630)-((W630/1000)*0.9982))</f>
        <v>63.4434820190524</v>
      </c>
      <c r="Z630" s="3" t="n">
        <f aca="false">(X630*(V630/100)*((W630+T630)/1000))*1000</f>
        <v>1.5413475</v>
      </c>
    </row>
    <row r="631" customFormat="false" ht="15" hidden="false" customHeight="false" outlineLevel="0" collapsed="false">
      <c r="A631" s="0" t="s">
        <v>40</v>
      </c>
      <c r="B631" s="0" t="s">
        <v>41</v>
      </c>
      <c r="C631" s="0" t="s">
        <v>28</v>
      </c>
      <c r="D631" s="0" t="s">
        <v>141</v>
      </c>
      <c r="E631" s="0" t="n">
        <v>14</v>
      </c>
      <c r="F631" s="0" t="n">
        <v>0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3" t="n">
        <v>4</v>
      </c>
      <c r="S631" s="0" t="n">
        <v>6.3</v>
      </c>
      <c r="T631" s="0" t="n">
        <f aca="false">(S631/32)*5</f>
        <v>0.984375</v>
      </c>
      <c r="V631" s="0" t="n">
        <v>16</v>
      </c>
      <c r="W631" s="0" t="n">
        <v>4</v>
      </c>
      <c r="X631" s="3" t="n">
        <f aca="false">LOOKUP(V631,$AB$3:$AC$123)</f>
        <v>1.0635</v>
      </c>
      <c r="Y631" s="2" t="n">
        <f aca="false">(V631*((W631+T631)/1000)*X631)/((((W631+T631)/1000)*X631)-((W631/1000)*0.9982))</f>
        <v>64.8384981359887</v>
      </c>
      <c r="Z631" s="3" t="n">
        <f aca="false">(X631*(V631/100)*((W631+T631)/1000))*1000</f>
        <v>0.84814125</v>
      </c>
    </row>
    <row r="632" customFormat="false" ht="15" hidden="false" customHeight="false" outlineLevel="0" collapsed="false">
      <c r="A632" s="0" t="s">
        <v>42</v>
      </c>
      <c r="B632" s="0" t="s">
        <v>43</v>
      </c>
      <c r="C632" s="0" t="s">
        <v>28</v>
      </c>
      <c r="D632" s="0" t="s">
        <v>141</v>
      </c>
      <c r="E632" s="0" t="n">
        <v>14</v>
      </c>
      <c r="F632" s="0" t="n">
        <v>1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3" t="n">
        <v>4</v>
      </c>
      <c r="S632" s="0" t="n">
        <v>16.1</v>
      </c>
      <c r="T632" s="0" t="n">
        <f aca="false">(S632/32)*5</f>
        <v>2.515625</v>
      </c>
      <c r="V632" s="0" t="n">
        <v>35</v>
      </c>
      <c r="W632" s="0" t="n">
        <v>4</v>
      </c>
      <c r="X632" s="3" t="n">
        <f aca="false">LOOKUP(V632,$AB$3:$AC$123)</f>
        <v>1.1513</v>
      </c>
      <c r="Y632" s="2" t="n">
        <f aca="false">(V632*((W632+T632)/1000)*X632)/((((W632+T632)/1000)*X632)-((W632/1000)*0.9982))</f>
        <v>74.8296882382726</v>
      </c>
      <c r="Z632" s="3" t="n">
        <f aca="false">(X632*(V632/100)*((W632+T632)/1000))*1000</f>
        <v>2.625503671875</v>
      </c>
    </row>
    <row r="633" customFormat="false" ht="15" hidden="false" customHeight="false" outlineLevel="0" collapsed="false">
      <c r="A633" s="0" t="s">
        <v>44</v>
      </c>
      <c r="B633" s="0" t="s">
        <v>45</v>
      </c>
      <c r="C633" s="0" t="s">
        <v>28</v>
      </c>
      <c r="D633" s="0" t="s">
        <v>141</v>
      </c>
      <c r="E633" s="0" t="n">
        <v>14</v>
      </c>
      <c r="F633" s="0" t="n">
        <v>1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3" t="n">
        <v>2</v>
      </c>
      <c r="S633" s="0" t="n">
        <v>2.9</v>
      </c>
      <c r="T633" s="0" t="n">
        <f aca="false">(S633/32)*5</f>
        <v>0.453125</v>
      </c>
      <c r="V633" s="0" t="n">
        <v>5</v>
      </c>
      <c r="W633" s="0" t="n">
        <v>4</v>
      </c>
      <c r="X633" s="3" t="n">
        <f aca="false">LOOKUP(V633,$AB$3:$AC$123)</f>
        <v>1.0179</v>
      </c>
      <c r="Y633" s="2" t="n">
        <f aca="false">(V633*((W633+T633)/1000)*X633)/((((W633+T633)/1000)*X633)-((W633/1000)*0.9982))</f>
        <v>41.9679101217223</v>
      </c>
      <c r="Z633" s="3" t="n">
        <f aca="false">(X633*(V633/100)*((W633+T633)/1000))*1000</f>
        <v>0.226641796875</v>
      </c>
    </row>
    <row r="634" customFormat="false" ht="15" hidden="false" customHeight="false" outlineLevel="0" collapsed="false">
      <c r="A634" s="0" t="s">
        <v>46</v>
      </c>
      <c r="B634" s="0" t="s">
        <v>47</v>
      </c>
      <c r="C634" s="0" t="s">
        <v>28</v>
      </c>
      <c r="D634" s="0" t="s">
        <v>141</v>
      </c>
      <c r="E634" s="0" t="n">
        <v>14</v>
      </c>
      <c r="F634" s="0" t="n">
        <v>2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3" t="n">
        <v>3</v>
      </c>
      <c r="S634" s="0" t="n">
        <v>10.3</v>
      </c>
      <c r="T634" s="0" t="n">
        <f aca="false">(S634/32)*5</f>
        <v>1.609375</v>
      </c>
      <c r="V634" s="0" t="n">
        <v>19.5</v>
      </c>
      <c r="W634" s="0" t="n">
        <v>4</v>
      </c>
      <c r="X634" s="3" t="n">
        <f aca="false">LOOKUP(V634,$AB$3:$AC$123)</f>
        <v>1.07875</v>
      </c>
      <c r="Y634" s="2" t="n">
        <f aca="false">(V634*((W634+T634)/1000)*X634)/((((W634+T634)/1000)*X634)-((W634/1000)*0.9982))</f>
        <v>57.3268948217234</v>
      </c>
      <c r="Z634" s="3" t="n">
        <f aca="false">(X634*(V634/100)*((W634+T634)/1000))*1000</f>
        <v>1.17996708984375</v>
      </c>
    </row>
    <row r="635" customFormat="false" ht="15" hidden="false" customHeight="false" outlineLevel="0" collapsed="false">
      <c r="A635" s="0" t="s">
        <v>48</v>
      </c>
      <c r="B635" s="0" t="s">
        <v>49</v>
      </c>
      <c r="C635" s="0" t="s">
        <v>28</v>
      </c>
      <c r="D635" s="0" t="s">
        <v>141</v>
      </c>
      <c r="E635" s="0" t="n">
        <v>14</v>
      </c>
      <c r="F635" s="0" t="n">
        <v>1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3" t="n">
        <v>3</v>
      </c>
      <c r="S635" s="0" t="n">
        <v>6.5</v>
      </c>
      <c r="T635" s="0" t="n">
        <f aca="false">(S635/32)*5</f>
        <v>1.015625</v>
      </c>
      <c r="V635" s="0" t="n">
        <v>17.5</v>
      </c>
      <c r="W635" s="0" t="n">
        <v>4</v>
      </c>
      <c r="X635" s="3" t="n">
        <f aca="false">LOOKUP(V635,$AB$3:$AC$123)</f>
        <v>1.07</v>
      </c>
      <c r="Y635" s="2" t="n">
        <f aca="false">(V635*((W635+T635)/1000)*X635)/((((W635+T635)/1000)*X635)-((W635/1000)*0.9982))</f>
        <v>68.3574469924077</v>
      </c>
      <c r="Z635" s="3" t="n">
        <f aca="false">(X635*(V635/100)*((W635+T635)/1000))*1000</f>
        <v>0.93917578125</v>
      </c>
    </row>
    <row r="636" customFormat="false" ht="15" hidden="false" customHeight="false" outlineLevel="0" collapsed="false">
      <c r="A636" s="0" t="s">
        <v>50</v>
      </c>
      <c r="B636" s="0" t="s">
        <v>51</v>
      </c>
      <c r="C636" s="0" t="s">
        <v>28</v>
      </c>
      <c r="D636" s="0" t="s">
        <v>141</v>
      </c>
      <c r="E636" s="0" t="n">
        <v>14</v>
      </c>
      <c r="F636" s="0" t="n">
        <v>0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3" t="n">
        <v>5</v>
      </c>
      <c r="S636" s="0" t="n">
        <v>12</v>
      </c>
      <c r="T636" s="0" t="n">
        <f aca="false">(S636/32)*5</f>
        <v>1.875</v>
      </c>
      <c r="V636" s="0" t="n">
        <v>21</v>
      </c>
      <c r="W636" s="0" t="n">
        <v>4</v>
      </c>
      <c r="X636" s="3" t="n">
        <f aca="false">LOOKUP(V636,$AB$3:$AC$123)</f>
        <v>1.08545</v>
      </c>
      <c r="Y636" s="2" t="n">
        <f aca="false">(V636*((W636+T636)/1000)*X636)/((((W636+T636)/1000)*X636)-((W636/1000)*0.9982))</f>
        <v>56.1682495576381</v>
      </c>
      <c r="Z636" s="3" t="n">
        <f aca="false">(X636*(V636/100)*((W636+T636)/1000))*1000</f>
        <v>1.3391739375</v>
      </c>
    </row>
    <row r="637" customFormat="false" ht="15" hidden="false" customHeight="false" outlineLevel="0" collapsed="false">
      <c r="A637" s="0" t="s">
        <v>52</v>
      </c>
      <c r="B637" s="0" t="s">
        <v>53</v>
      </c>
      <c r="C637" s="0" t="s">
        <v>28</v>
      </c>
      <c r="D637" s="0" t="s">
        <v>141</v>
      </c>
      <c r="E637" s="0" t="n">
        <v>14</v>
      </c>
      <c r="F637" s="0" t="n">
        <v>0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3" t="n">
        <v>5</v>
      </c>
      <c r="S637" s="0" t="n">
        <v>5.8</v>
      </c>
      <c r="T637" s="0" t="n">
        <f aca="false">(S637/32)*5</f>
        <v>0.90625</v>
      </c>
      <c r="V637" s="0" t="n">
        <v>12.5</v>
      </c>
      <c r="W637" s="0" t="n">
        <v>4</v>
      </c>
      <c r="X637" s="3" t="n">
        <f aca="false">LOOKUP(V637,$AB$3:$AC$123)</f>
        <v>1.0486</v>
      </c>
      <c r="Y637" s="2" t="n">
        <f aca="false">(V637*((W637+T637)/1000)*X637)/((((W637+T637)/1000)*X637)-((W637/1000)*0.9982))</f>
        <v>55.8286490181929</v>
      </c>
      <c r="Z637" s="3" t="n">
        <f aca="false">(X637*(V637/100)*((W637+T637)/1000))*1000</f>
        <v>0.64308671875</v>
      </c>
    </row>
    <row r="638" customFormat="false" ht="15" hidden="false" customHeight="false" outlineLevel="0" collapsed="false">
      <c r="A638" s="0" t="s">
        <v>54</v>
      </c>
      <c r="B638" s="0" t="s">
        <v>55</v>
      </c>
      <c r="C638" s="0" t="s">
        <v>56</v>
      </c>
      <c r="D638" s="0" t="s">
        <v>141</v>
      </c>
      <c r="E638" s="0" t="n">
        <v>14</v>
      </c>
      <c r="F638" s="0" t="n">
        <v>0</v>
      </c>
      <c r="G638" s="1"/>
      <c r="H638" s="1"/>
      <c r="I638" s="0" t="n">
        <v>0</v>
      </c>
      <c r="J638" s="0" t="n">
        <f aca="false">(I638/32)*5</f>
        <v>0</v>
      </c>
      <c r="L638" s="0" t="n">
        <v>0</v>
      </c>
      <c r="M638" s="0" t="n">
        <v>0</v>
      </c>
      <c r="N638" s="0" t="n">
        <f aca="false">L638</f>
        <v>0</v>
      </c>
      <c r="O638" s="0" t="n">
        <v>0</v>
      </c>
      <c r="P638" s="3" t="n">
        <f aca="false">(O638*(N638/100)*(J638/1000))*1000</f>
        <v>0</v>
      </c>
      <c r="Q638" s="3"/>
      <c r="R638" s="1"/>
      <c r="S638" s="1"/>
      <c r="T638" s="1"/>
      <c r="U638" s="1"/>
      <c r="V638" s="1"/>
      <c r="W638" s="1"/>
      <c r="X638" s="1"/>
      <c r="Y638" s="5"/>
      <c r="Z638" s="1"/>
    </row>
    <row r="639" customFormat="false" ht="15" hidden="false" customHeight="false" outlineLevel="0" collapsed="false">
      <c r="A639" s="0" t="s">
        <v>57</v>
      </c>
      <c r="B639" s="0" t="s">
        <v>58</v>
      </c>
      <c r="C639" s="0" t="s">
        <v>56</v>
      </c>
      <c r="D639" s="0" t="s">
        <v>141</v>
      </c>
      <c r="E639" s="0" t="n">
        <v>14</v>
      </c>
      <c r="F639" s="0" t="n">
        <v>1</v>
      </c>
      <c r="G639" s="1"/>
      <c r="H639" s="1"/>
      <c r="I639" s="0" t="n">
        <v>76</v>
      </c>
      <c r="J639" s="0" t="n">
        <f aca="false">(I639/32)*5</f>
        <v>11.875</v>
      </c>
      <c r="L639" s="0" t="n">
        <v>21</v>
      </c>
      <c r="M639" s="0" t="n">
        <v>0</v>
      </c>
      <c r="N639" s="0" t="n">
        <f aca="false">L639</f>
        <v>21</v>
      </c>
      <c r="O639" s="3" t="n">
        <f aca="false">LOOKUP(L639,$AB$3:$AC$123)</f>
        <v>1.08545</v>
      </c>
      <c r="P639" s="3" t="n">
        <f aca="false">(O639*(N639/100)*(J639/1000))*1000</f>
        <v>2.7068409375</v>
      </c>
      <c r="Q639" s="3"/>
      <c r="R639" s="1"/>
      <c r="S639" s="1"/>
      <c r="T639" s="1"/>
      <c r="U639" s="1"/>
      <c r="V639" s="1"/>
      <c r="W639" s="1"/>
      <c r="X639" s="1"/>
      <c r="Y639" s="5"/>
      <c r="Z639" s="1"/>
    </row>
    <row r="640" customFormat="false" ht="15" hidden="false" customHeight="false" outlineLevel="0" collapsed="false">
      <c r="A640" s="0" t="s">
        <v>59</v>
      </c>
      <c r="B640" s="0" t="s">
        <v>60</v>
      </c>
      <c r="C640" s="0" t="s">
        <v>56</v>
      </c>
      <c r="D640" s="0" t="s">
        <v>141</v>
      </c>
      <c r="E640" s="0" t="n">
        <v>14</v>
      </c>
      <c r="F640" s="0" t="n">
        <v>0</v>
      </c>
      <c r="G640" s="1"/>
      <c r="H640" s="1"/>
      <c r="I640" s="0" t="n">
        <v>0</v>
      </c>
      <c r="J640" s="0" t="n">
        <f aca="false">(I640/32)*5</f>
        <v>0</v>
      </c>
      <c r="L640" s="0" t="n">
        <v>0</v>
      </c>
      <c r="M640" s="0" t="n">
        <v>0</v>
      </c>
      <c r="N640" s="0" t="n">
        <f aca="false">L640</f>
        <v>0</v>
      </c>
      <c r="O640" s="3" t="n">
        <f aca="false">LOOKUP(L640,$AB$3:$AC$123)</f>
        <v>0.9982</v>
      </c>
      <c r="P640" s="3" t="n">
        <f aca="false">(O640*(N640/100)*(J640/1000))*1000</f>
        <v>0</v>
      </c>
      <c r="Q640" s="3"/>
      <c r="R640" s="1"/>
      <c r="S640" s="1"/>
      <c r="T640" s="1"/>
      <c r="U640" s="1"/>
      <c r="V640" s="1"/>
      <c r="W640" s="1"/>
      <c r="X640" s="1"/>
      <c r="Y640" s="5"/>
      <c r="Z640" s="1"/>
    </row>
    <row r="641" customFormat="false" ht="15" hidden="false" customHeight="false" outlineLevel="0" collapsed="false">
      <c r="A641" s="0" t="s">
        <v>61</v>
      </c>
      <c r="B641" s="0" t="s">
        <v>62</v>
      </c>
      <c r="C641" s="0" t="s">
        <v>56</v>
      </c>
      <c r="D641" s="0" t="s">
        <v>141</v>
      </c>
      <c r="E641" s="0" t="n">
        <v>14</v>
      </c>
      <c r="F641" s="0" t="n">
        <v>0</v>
      </c>
      <c r="G641" s="1"/>
      <c r="H641" s="1"/>
      <c r="I641" s="0" t="n">
        <v>0</v>
      </c>
      <c r="J641" s="0" t="n">
        <f aca="false">(I641/32)*5</f>
        <v>0</v>
      </c>
      <c r="L641" s="0" t="n">
        <v>0</v>
      </c>
      <c r="M641" s="0" t="n">
        <v>0</v>
      </c>
      <c r="N641" s="0" t="n">
        <f aca="false">L641</f>
        <v>0</v>
      </c>
      <c r="O641" s="3" t="n">
        <f aca="false">LOOKUP(L641,$AB$3:$AC$123)</f>
        <v>0.9982</v>
      </c>
      <c r="P641" s="3" t="n">
        <f aca="false">(O641*(N641/100)*(J641/1000))*1000</f>
        <v>0</v>
      </c>
      <c r="Q641" s="3"/>
      <c r="R641" s="1"/>
      <c r="S641" s="1"/>
      <c r="T641" s="1"/>
      <c r="U641" s="1"/>
      <c r="V641" s="1"/>
      <c r="W641" s="1"/>
      <c r="X641" s="1"/>
      <c r="Y641" s="5"/>
      <c r="Z641" s="1"/>
    </row>
    <row r="642" customFormat="false" ht="15" hidden="false" customHeight="false" outlineLevel="0" collapsed="false">
      <c r="A642" s="0" t="s">
        <v>63</v>
      </c>
      <c r="B642" s="0" t="s">
        <v>64</v>
      </c>
      <c r="C642" s="0" t="s">
        <v>56</v>
      </c>
      <c r="D642" s="0" t="s">
        <v>141</v>
      </c>
      <c r="E642" s="0" t="n">
        <v>14</v>
      </c>
      <c r="F642" s="0" t="n">
        <v>0</v>
      </c>
      <c r="G642" s="1"/>
      <c r="H642" s="1"/>
      <c r="I642" s="0" t="n">
        <v>0</v>
      </c>
      <c r="J642" s="0" t="n">
        <f aca="false">(I642/32)*5</f>
        <v>0</v>
      </c>
      <c r="L642" s="0" t="n">
        <v>0</v>
      </c>
      <c r="M642" s="0" t="n">
        <v>0</v>
      </c>
      <c r="N642" s="0" t="n">
        <f aca="false">L642</f>
        <v>0</v>
      </c>
      <c r="O642" s="3" t="n">
        <f aca="false">LOOKUP(L642,$AB$3:$AC$123)</f>
        <v>0.9982</v>
      </c>
      <c r="P642" s="3" t="n">
        <f aca="false">(O642*(N642/100)*(J642/1000))*1000</f>
        <v>0</v>
      </c>
      <c r="Q642" s="3"/>
      <c r="R642" s="1"/>
      <c r="S642" s="1"/>
      <c r="T642" s="1"/>
      <c r="U642" s="1"/>
      <c r="V642" s="1"/>
      <c r="W642" s="1"/>
      <c r="X642" s="1"/>
      <c r="Y642" s="5"/>
      <c r="Z642" s="1"/>
    </row>
    <row r="643" customFormat="false" ht="15" hidden="false" customHeight="false" outlineLevel="0" collapsed="false">
      <c r="A643" s="0" t="s">
        <v>65</v>
      </c>
      <c r="B643" s="0" t="s">
        <v>66</v>
      </c>
      <c r="C643" s="0" t="s">
        <v>56</v>
      </c>
      <c r="D643" s="0" t="s">
        <v>141</v>
      </c>
      <c r="E643" s="0" t="n">
        <v>14</v>
      </c>
      <c r="F643" s="0" t="n">
        <v>1</v>
      </c>
      <c r="G643" s="1"/>
      <c r="H643" s="1"/>
      <c r="I643" s="0" t="n">
        <f aca="false">32+18</f>
        <v>50</v>
      </c>
      <c r="J643" s="0" t="n">
        <f aca="false">(I643/32)*5</f>
        <v>7.8125</v>
      </c>
      <c r="L643" s="0" t="n">
        <v>18.5</v>
      </c>
      <c r="M643" s="0" t="n">
        <v>0</v>
      </c>
      <c r="N643" s="0" t="n">
        <f aca="false">L643</f>
        <v>18.5</v>
      </c>
      <c r="O643" s="3" t="n">
        <f aca="false">LOOKUP(L643,$AB$3:$AC$123)</f>
        <v>1.07435</v>
      </c>
      <c r="P643" s="3" t="n">
        <f aca="false">(O643*(N643/100)*(J643/1000))*1000</f>
        <v>1.552771484375</v>
      </c>
      <c r="Q643" s="3"/>
      <c r="R643" s="1"/>
      <c r="S643" s="1"/>
      <c r="T643" s="1"/>
      <c r="U643" s="1"/>
      <c r="V643" s="1"/>
      <c r="W643" s="1"/>
      <c r="X643" s="1"/>
      <c r="Y643" s="5"/>
      <c r="Z643" s="1"/>
    </row>
    <row r="644" customFormat="false" ht="15" hidden="false" customHeight="false" outlineLevel="0" collapsed="false">
      <c r="A644" s="0" t="s">
        <v>67</v>
      </c>
      <c r="B644" s="0" t="s">
        <v>68</v>
      </c>
      <c r="C644" s="0" t="s">
        <v>56</v>
      </c>
      <c r="D644" s="0" t="s">
        <v>141</v>
      </c>
      <c r="E644" s="0" t="n">
        <v>14</v>
      </c>
      <c r="F644" s="0" t="n">
        <v>1</v>
      </c>
      <c r="G644" s="1"/>
      <c r="H644" s="1"/>
      <c r="I644" s="0" t="n">
        <f aca="false">32+29.6</f>
        <v>61.6</v>
      </c>
      <c r="J644" s="0" t="n">
        <f aca="false">(I644/32)*5</f>
        <v>9.625</v>
      </c>
      <c r="L644" s="0" t="n">
        <v>16</v>
      </c>
      <c r="M644" s="0" t="n">
        <v>0</v>
      </c>
      <c r="N644" s="0" t="n">
        <f aca="false">L644</f>
        <v>16</v>
      </c>
      <c r="O644" s="3" t="n">
        <f aca="false">LOOKUP(L644,$AB$3:$AC$123)</f>
        <v>1.0635</v>
      </c>
      <c r="P644" s="3" t="n">
        <f aca="false">(O644*(N644/100)*(J644/1000))*1000</f>
        <v>1.63779</v>
      </c>
      <c r="Q644" s="3"/>
      <c r="R644" s="1"/>
      <c r="S644" s="1"/>
      <c r="T644" s="1"/>
      <c r="U644" s="1"/>
      <c r="V644" s="1"/>
      <c r="W644" s="1"/>
      <c r="X644" s="1"/>
      <c r="Y644" s="5"/>
      <c r="Z644" s="1"/>
    </row>
    <row r="645" customFormat="false" ht="15" hidden="false" customHeight="false" outlineLevel="0" collapsed="false">
      <c r="A645" s="0" t="s">
        <v>69</v>
      </c>
      <c r="B645" s="0" t="s">
        <v>70</v>
      </c>
      <c r="C645" s="0" t="s">
        <v>56</v>
      </c>
      <c r="D645" s="0" t="s">
        <v>141</v>
      </c>
      <c r="E645" s="0" t="n">
        <v>14</v>
      </c>
      <c r="F645" s="0" t="n">
        <v>1</v>
      </c>
      <c r="G645" s="1"/>
      <c r="H645" s="1"/>
      <c r="I645" s="0" t="n">
        <v>23.4</v>
      </c>
      <c r="J645" s="0" t="n">
        <f aca="false">(I645/32)*5</f>
        <v>3.65625</v>
      </c>
      <c r="L645" s="0" t="n">
        <v>24</v>
      </c>
      <c r="M645" s="0" t="n">
        <v>0</v>
      </c>
      <c r="N645" s="0" t="n">
        <f aca="false">L645</f>
        <v>24</v>
      </c>
      <c r="O645" s="3" t="n">
        <f aca="false">LOOKUP(L645,$AB$3:$AC$123)</f>
        <v>1.099</v>
      </c>
      <c r="P645" s="3" t="n">
        <f aca="false">(O645*(N645/100)*(J645/1000))*1000</f>
        <v>0.9643725</v>
      </c>
      <c r="Q645" s="3"/>
      <c r="R645" s="1"/>
      <c r="S645" s="1"/>
      <c r="T645" s="1"/>
      <c r="U645" s="1"/>
      <c r="V645" s="1"/>
      <c r="W645" s="1"/>
      <c r="X645" s="1"/>
      <c r="Y645" s="5"/>
      <c r="Z645" s="1"/>
    </row>
    <row r="646" customFormat="false" ht="15" hidden="false" customHeight="false" outlineLevel="0" collapsed="false">
      <c r="A646" s="0" t="s">
        <v>71</v>
      </c>
      <c r="B646" s="0" t="s">
        <v>72</v>
      </c>
      <c r="C646" s="0" t="s">
        <v>56</v>
      </c>
      <c r="D646" s="0" t="s">
        <v>141</v>
      </c>
      <c r="E646" s="0" t="n">
        <v>14</v>
      </c>
      <c r="F646" s="0" t="n">
        <v>0</v>
      </c>
      <c r="G646" s="1"/>
      <c r="H646" s="1"/>
      <c r="I646" s="0" t="n">
        <v>0</v>
      </c>
      <c r="J646" s="0" t="n">
        <f aca="false">(I646/32)*5</f>
        <v>0</v>
      </c>
      <c r="L646" s="0" t="n">
        <v>0</v>
      </c>
      <c r="M646" s="0" t="n">
        <v>0</v>
      </c>
      <c r="N646" s="0" t="n">
        <f aca="false">L646</f>
        <v>0</v>
      </c>
      <c r="O646" s="3" t="n">
        <f aca="false">LOOKUP(L646,$AB$3:$AC$123)</f>
        <v>0.9982</v>
      </c>
      <c r="P646" s="3" t="n">
        <f aca="false">(O646*(N646/100)*(J646/1000))*1000</f>
        <v>0</v>
      </c>
      <c r="Q646" s="3"/>
      <c r="R646" s="1"/>
      <c r="S646" s="1"/>
      <c r="T646" s="1"/>
      <c r="U646" s="1"/>
      <c r="V646" s="1"/>
      <c r="W646" s="1"/>
      <c r="X646" s="1"/>
      <c r="Y646" s="5"/>
      <c r="Z646" s="1"/>
    </row>
    <row r="647" customFormat="false" ht="15" hidden="false" customHeight="false" outlineLevel="0" collapsed="false">
      <c r="A647" s="0" t="s">
        <v>73</v>
      </c>
      <c r="B647" s="0" t="s">
        <v>74</v>
      </c>
      <c r="C647" s="0" t="s">
        <v>56</v>
      </c>
      <c r="D647" s="0" t="s">
        <v>141</v>
      </c>
      <c r="E647" s="0" t="n">
        <v>14</v>
      </c>
      <c r="F647" s="0" t="n">
        <v>1</v>
      </c>
      <c r="G647" s="1"/>
      <c r="H647" s="1"/>
      <c r="I647" s="0" t="n">
        <f aca="false">32+29.6</f>
        <v>61.6</v>
      </c>
      <c r="J647" s="0" t="n">
        <f aca="false">(I647/32)*5</f>
        <v>9.625</v>
      </c>
      <c r="L647" s="0" t="n">
        <v>24</v>
      </c>
      <c r="M647" s="0" t="n">
        <v>0</v>
      </c>
      <c r="N647" s="0" t="n">
        <f aca="false">L647</f>
        <v>24</v>
      </c>
      <c r="O647" s="3" t="n">
        <f aca="false">LOOKUP(L647,$AB$3:$AC$123)</f>
        <v>1.099</v>
      </c>
      <c r="P647" s="3" t="n">
        <f aca="false">(O647*(N647/100)*(J647/1000))*1000</f>
        <v>2.53869</v>
      </c>
      <c r="Q647" s="3"/>
      <c r="R647" s="1"/>
      <c r="S647" s="1"/>
      <c r="T647" s="1"/>
      <c r="U647" s="1"/>
      <c r="V647" s="1"/>
      <c r="W647" s="1"/>
      <c r="X647" s="1"/>
      <c r="Y647" s="5"/>
      <c r="Z647" s="1"/>
    </row>
    <row r="648" customFormat="false" ht="15" hidden="false" customHeight="false" outlineLevel="0" collapsed="false">
      <c r="A648" s="0" t="s">
        <v>75</v>
      </c>
      <c r="B648" s="0" t="s">
        <v>76</v>
      </c>
      <c r="C648" s="0" t="s">
        <v>56</v>
      </c>
      <c r="D648" s="0" t="s">
        <v>141</v>
      </c>
      <c r="E648" s="0" t="n">
        <v>14</v>
      </c>
      <c r="F648" s="0" t="n">
        <v>0</v>
      </c>
      <c r="G648" s="1"/>
      <c r="H648" s="1"/>
      <c r="I648" s="0" t="n">
        <v>0</v>
      </c>
      <c r="J648" s="0" t="n">
        <f aca="false">(I648/32)*5</f>
        <v>0</v>
      </c>
      <c r="L648" s="0" t="n">
        <v>0</v>
      </c>
      <c r="M648" s="0" t="n">
        <v>0</v>
      </c>
      <c r="N648" s="0" t="n">
        <f aca="false">L648</f>
        <v>0</v>
      </c>
      <c r="O648" s="3" t="n">
        <f aca="false">LOOKUP(L648,$AB$3:$AC$123)</f>
        <v>0.9982</v>
      </c>
      <c r="P648" s="3" t="n">
        <f aca="false">(O648*(N648/100)*(J648/1000))*1000</f>
        <v>0</v>
      </c>
      <c r="Q648" s="3"/>
      <c r="R648" s="1"/>
      <c r="S648" s="1"/>
      <c r="T648" s="1"/>
      <c r="U648" s="1"/>
      <c r="V648" s="1"/>
      <c r="W648" s="1"/>
      <c r="X648" s="1"/>
      <c r="Y648" s="5"/>
      <c r="Z648" s="1"/>
    </row>
    <row r="649" customFormat="false" ht="15" hidden="false" customHeight="false" outlineLevel="0" collapsed="false">
      <c r="A649" s="0" t="s">
        <v>77</v>
      </c>
      <c r="B649" s="0" t="s">
        <v>78</v>
      </c>
      <c r="C649" s="0" t="s">
        <v>56</v>
      </c>
      <c r="D649" s="0" t="s">
        <v>141</v>
      </c>
      <c r="E649" s="0" t="n">
        <v>14</v>
      </c>
      <c r="F649" s="0" t="n">
        <v>2</v>
      </c>
      <c r="G649" s="1"/>
      <c r="H649" s="1"/>
      <c r="I649" s="0" t="n">
        <v>42</v>
      </c>
      <c r="J649" s="0" t="n">
        <f aca="false">(I649/32)*5</f>
        <v>6.5625</v>
      </c>
      <c r="L649" s="0" t="n">
        <v>23</v>
      </c>
      <c r="M649" s="0" t="n">
        <v>0</v>
      </c>
      <c r="N649" s="0" t="n">
        <f aca="false">L649</f>
        <v>23</v>
      </c>
      <c r="O649" s="3" t="n">
        <f aca="false">LOOKUP(L649,$AB$3:$AC$123)</f>
        <v>1.09445</v>
      </c>
      <c r="P649" s="3" t="n">
        <f aca="false">(O649*(N649/100)*(J649/1000))*1000</f>
        <v>1.65193546875</v>
      </c>
      <c r="Q649" s="3"/>
      <c r="R649" s="1"/>
      <c r="S649" s="1"/>
      <c r="T649" s="1"/>
      <c r="U649" s="1"/>
      <c r="V649" s="1"/>
      <c r="W649" s="1"/>
      <c r="X649" s="1"/>
      <c r="Y649" s="5"/>
      <c r="Z649" s="1"/>
    </row>
    <row r="650" customFormat="false" ht="15" hidden="false" customHeight="false" outlineLevel="0" collapsed="false">
      <c r="A650" s="0" t="s">
        <v>79</v>
      </c>
      <c r="B650" s="0" t="s">
        <v>80</v>
      </c>
      <c r="C650" s="0" t="s">
        <v>81</v>
      </c>
      <c r="D650" s="0" t="s">
        <v>141</v>
      </c>
      <c r="E650" s="0" t="n">
        <v>14</v>
      </c>
      <c r="F650" s="0" t="n">
        <v>0</v>
      </c>
      <c r="G650" s="1"/>
      <c r="H650" s="1"/>
      <c r="I650" s="0" t="n">
        <v>0</v>
      </c>
      <c r="J650" s="0" t="n">
        <f aca="false">(I650/32)*5</f>
        <v>0</v>
      </c>
      <c r="L650" s="0" t="n">
        <v>0</v>
      </c>
      <c r="M650" s="0" t="n">
        <v>0</v>
      </c>
      <c r="N650" s="0" t="n">
        <f aca="false">L650</f>
        <v>0</v>
      </c>
      <c r="O650" s="3" t="n">
        <f aca="false">LOOKUP(L650,$AB$3:$AC$123)</f>
        <v>0.9982</v>
      </c>
      <c r="P650" s="3" t="n">
        <f aca="false">(O650*(N650/100)*(J650/1000))*1000</f>
        <v>0</v>
      </c>
      <c r="Q650" s="3"/>
      <c r="R650" s="0" t="n">
        <v>1</v>
      </c>
      <c r="S650" s="0" t="n">
        <v>6.5</v>
      </c>
      <c r="T650" s="0" t="n">
        <f aca="false">(S650/32)*5</f>
        <v>1.015625</v>
      </c>
      <c r="V650" s="0" t="n">
        <v>12.5</v>
      </c>
      <c r="W650" s="0" t="n">
        <v>4</v>
      </c>
      <c r="X650" s="3" t="n">
        <f aca="false">LOOKUP(V650,$AB$3:$AC$123)</f>
        <v>1.0486</v>
      </c>
      <c r="Y650" s="2" t="n">
        <f aca="false">(V650*((W650+T650)/1000)*X650)/((((W650+T650)/1000)*X650)-((W650/1000)*0.9982))</f>
        <v>51.9051916201793</v>
      </c>
      <c r="Z650" s="3" t="n">
        <f aca="false">(X650*(V650/100)*((W650+T650)/1000))*1000</f>
        <v>0.657423046875</v>
      </c>
    </row>
    <row r="651" customFormat="false" ht="15" hidden="false" customHeight="false" outlineLevel="0" collapsed="false">
      <c r="A651" s="0" t="s">
        <v>82</v>
      </c>
      <c r="B651" s="0" t="s">
        <v>83</v>
      </c>
      <c r="C651" s="0" t="s">
        <v>81</v>
      </c>
      <c r="D651" s="0" t="s">
        <v>141</v>
      </c>
      <c r="E651" s="0" t="n">
        <v>14</v>
      </c>
      <c r="F651" s="0" t="n">
        <v>1</v>
      </c>
      <c r="G651" s="1"/>
      <c r="H651" s="1"/>
      <c r="I651" s="0" t="n">
        <v>19.4</v>
      </c>
      <c r="J651" s="0" t="n">
        <f aca="false">(I651/32)*5</f>
        <v>3.03125</v>
      </c>
      <c r="L651" s="0" t="n">
        <v>14.5</v>
      </c>
      <c r="M651" s="0" t="n">
        <v>0</v>
      </c>
      <c r="N651" s="0" t="n">
        <f aca="false">L651</f>
        <v>14.5</v>
      </c>
      <c r="O651" s="3" t="n">
        <f aca="false">LOOKUP(L651,$AB$3:$AC$123)</f>
        <v>1.05705</v>
      </c>
      <c r="P651" s="3" t="n">
        <f aca="false">(O651*(N651/100)*(J651/1000))*1000</f>
        <v>0.4646065078125</v>
      </c>
      <c r="Q651" s="3"/>
      <c r="R651" s="0" t="n">
        <v>3</v>
      </c>
      <c r="S651" s="0" t="n">
        <v>5.4</v>
      </c>
      <c r="T651" s="0" t="n">
        <f aca="false">(S651/32)*5</f>
        <v>0.84375</v>
      </c>
      <c r="V651" s="0" t="n">
        <v>11</v>
      </c>
      <c r="W651" s="0" t="n">
        <v>4</v>
      </c>
      <c r="X651" s="3" t="n">
        <f aca="false">LOOKUP(V651,$AB$3:$AC$123)</f>
        <v>1.0423</v>
      </c>
      <c r="Y651" s="2" t="n">
        <f aca="false">(V651*((W651+T651)/1000)*X651)/((((W651+T651)/1000)*X651)-((W651/1000)*0.9982))</f>
        <v>52.5979447655749</v>
      </c>
      <c r="Z651" s="3" t="n">
        <f aca="false">(X651*(V651/100)*((W651+T651)/1000))*1000</f>
        <v>0.55535046875</v>
      </c>
    </row>
    <row r="652" customFormat="false" ht="15" hidden="false" customHeight="false" outlineLevel="0" collapsed="false">
      <c r="A652" s="0" t="s">
        <v>84</v>
      </c>
      <c r="B652" s="0" t="s">
        <v>85</v>
      </c>
      <c r="C652" s="0" t="s">
        <v>81</v>
      </c>
      <c r="D652" s="0" t="s">
        <v>141</v>
      </c>
      <c r="E652" s="0" t="n">
        <v>14</v>
      </c>
      <c r="F652" s="0" t="n">
        <v>0</v>
      </c>
      <c r="G652" s="1"/>
      <c r="H652" s="1"/>
      <c r="I652" s="0" t="n">
        <v>0</v>
      </c>
      <c r="J652" s="0" t="n">
        <f aca="false">(I652/32)*5</f>
        <v>0</v>
      </c>
      <c r="L652" s="0" t="n">
        <v>0</v>
      </c>
      <c r="M652" s="0" t="n">
        <v>0</v>
      </c>
      <c r="N652" s="0" t="n">
        <f aca="false">L652</f>
        <v>0</v>
      </c>
      <c r="O652" s="3" t="n">
        <v>0</v>
      </c>
      <c r="P652" s="3" t="n">
        <f aca="false">(O652*(N652/100)*(J652/1000))*1000</f>
        <v>0</v>
      </c>
      <c r="Q652" s="3"/>
      <c r="R652" s="3" t="n">
        <v>3</v>
      </c>
      <c r="S652" s="3" t="n">
        <v>2.9</v>
      </c>
      <c r="T652" s="0" t="n">
        <f aca="false">(S652/32)*5</f>
        <v>0.453125</v>
      </c>
      <c r="V652" s="0" t="n">
        <v>8</v>
      </c>
      <c r="W652" s="0" t="n">
        <v>4</v>
      </c>
      <c r="X652" s="3" t="n">
        <f aca="false">LOOKUP(V652,$AB$3:$AC$123)</f>
        <v>1.0299</v>
      </c>
      <c r="Y652" s="2" t="n">
        <f aca="false">(V652*((W652+T652)/1000)*X652)/((((W652+T652)/1000)*X652)-((W652/1000)*0.9982))</f>
        <v>61.8227964078005</v>
      </c>
      <c r="Z652" s="3" t="n">
        <f aca="false">(X652*(V652/100)*((W652+T652)/1000))*1000</f>
        <v>0.366901875</v>
      </c>
    </row>
    <row r="653" customFormat="false" ht="15" hidden="false" customHeight="false" outlineLevel="0" collapsed="false">
      <c r="A653" s="0" t="s">
        <v>86</v>
      </c>
      <c r="B653" s="0" t="s">
        <v>87</v>
      </c>
      <c r="C653" s="0" t="s">
        <v>81</v>
      </c>
      <c r="D653" s="0" t="s">
        <v>141</v>
      </c>
      <c r="E653" s="0" t="n">
        <v>14</v>
      </c>
      <c r="F653" s="0" t="n">
        <v>2</v>
      </c>
      <c r="G653" s="1"/>
      <c r="H653" s="1"/>
      <c r="I653" s="0" t="n">
        <v>65.7</v>
      </c>
      <c r="J653" s="0" t="n">
        <f aca="false">(I653/32)*5</f>
        <v>10.265625</v>
      </c>
      <c r="L653" s="0" t="n">
        <v>20</v>
      </c>
      <c r="M653" s="0" t="n">
        <v>0</v>
      </c>
      <c r="N653" s="0" t="n">
        <f aca="false">L653</f>
        <v>20</v>
      </c>
      <c r="O653" s="3" t="n">
        <f aca="false">LOOKUP(L653,$AB$3:$AC$123)</f>
        <v>1.081</v>
      </c>
      <c r="P653" s="3" t="n">
        <f aca="false">(O653*(N653/100)*(J653/1000))*1000</f>
        <v>2.219428125</v>
      </c>
      <c r="Q653" s="3"/>
      <c r="R653" s="3" t="n">
        <v>2</v>
      </c>
      <c r="S653" s="3" t="n">
        <v>10</v>
      </c>
      <c r="T653" s="0" t="n">
        <f aca="false">(S653/32)*5</f>
        <v>1.5625</v>
      </c>
      <c r="V653" s="0" t="n">
        <v>15</v>
      </c>
      <c r="W653" s="0" t="n">
        <v>4</v>
      </c>
      <c r="X653" s="3" t="n">
        <f aca="false">LOOKUP(V653,$AB$3:$AC$123)</f>
        <v>1.0592</v>
      </c>
      <c r="Y653" s="2" t="n">
        <f aca="false">(V653*((W653+T653)/1000)*X653)/((((W653+T653)/1000)*X653)-((W653/1000)*0.9982))</f>
        <v>46.5387045813586</v>
      </c>
      <c r="Z653" s="3" t="n">
        <f aca="false">(X653*(V653/100)*((W653+T653)/1000))*1000</f>
        <v>0.88377</v>
      </c>
    </row>
    <row r="654" customFormat="false" ht="15" hidden="false" customHeight="false" outlineLevel="0" collapsed="false">
      <c r="A654" s="0" t="s">
        <v>88</v>
      </c>
      <c r="B654" s="0" t="s">
        <v>89</v>
      </c>
      <c r="C654" s="0" t="s">
        <v>81</v>
      </c>
      <c r="D654" s="0" t="s">
        <v>141</v>
      </c>
      <c r="E654" s="0" t="n">
        <v>14</v>
      </c>
      <c r="F654" s="0" t="n">
        <v>0</v>
      </c>
      <c r="G654" s="1"/>
      <c r="H654" s="1"/>
      <c r="I654" s="0" t="n">
        <v>0</v>
      </c>
      <c r="J654" s="0" t="n">
        <f aca="false">(I654/32)*5</f>
        <v>0</v>
      </c>
      <c r="L654" s="0" t="n">
        <v>0</v>
      </c>
      <c r="M654" s="0" t="n">
        <v>0</v>
      </c>
      <c r="N654" s="0" t="n">
        <f aca="false">L654</f>
        <v>0</v>
      </c>
      <c r="O654" s="3" t="n">
        <v>0</v>
      </c>
      <c r="P654" s="3" t="n">
        <f aca="false">(O654*(N654/100)*(J654/1000))*1000</f>
        <v>0</v>
      </c>
      <c r="Q654" s="3"/>
      <c r="R654" s="3" t="n">
        <v>3</v>
      </c>
      <c r="S654" s="3" t="n">
        <v>12</v>
      </c>
      <c r="T654" s="0" t="n">
        <f aca="false">(S654/32)*5</f>
        <v>1.875</v>
      </c>
      <c r="V654" s="0" t="n">
        <v>17</v>
      </c>
      <c r="W654" s="0" t="n">
        <v>4</v>
      </c>
      <c r="X654" s="3" t="n">
        <f aca="false">LOOKUP(V654,$AB$3:$AC$123)</f>
        <v>1.0678</v>
      </c>
      <c r="Y654" s="2" t="n">
        <f aca="false">(V654*((W654+T654)/1000)*X654)/((((W654+T654)/1000)*X654)-((W654/1000)*0.9982))</f>
        <v>46.7640236349087</v>
      </c>
      <c r="Z654" s="3" t="n">
        <f aca="false">(X654*(V654/100)*((W654+T654)/1000))*1000</f>
        <v>1.06646525</v>
      </c>
    </row>
    <row r="655" customFormat="false" ht="15" hidden="false" customHeight="false" outlineLevel="0" collapsed="false">
      <c r="A655" s="0" t="s">
        <v>90</v>
      </c>
      <c r="B655" s="0" t="s">
        <v>91</v>
      </c>
      <c r="C655" s="0" t="s">
        <v>81</v>
      </c>
      <c r="D655" s="0" t="s">
        <v>141</v>
      </c>
      <c r="E655" s="0" t="n">
        <v>14</v>
      </c>
      <c r="F655" s="0" t="n">
        <v>1</v>
      </c>
      <c r="G655" s="1"/>
      <c r="H655" s="1"/>
      <c r="I655" s="0" t="n">
        <v>25.6</v>
      </c>
      <c r="J655" s="0" t="n">
        <f aca="false">(I655/32)*5</f>
        <v>4</v>
      </c>
      <c r="L655" s="0" t="n">
        <v>24</v>
      </c>
      <c r="M655" s="0" t="n">
        <v>0</v>
      </c>
      <c r="N655" s="0" t="n">
        <f aca="false">L655</f>
        <v>24</v>
      </c>
      <c r="O655" s="3" t="n">
        <f aca="false">LOOKUP(L655,$AB$3:$AC$123)</f>
        <v>1.099</v>
      </c>
      <c r="P655" s="3" t="n">
        <f aca="false">(O655*(N655/100)*(J655/1000))*1000</f>
        <v>1.05504</v>
      </c>
      <c r="Q655" s="3"/>
      <c r="R655" s="3" t="n">
        <v>2</v>
      </c>
      <c r="S655" s="3" t="n">
        <v>3.2</v>
      </c>
      <c r="T655" s="0" t="n">
        <f aca="false">(S655/32)*5</f>
        <v>0.5</v>
      </c>
      <c r="V655" s="0" t="n">
        <v>8</v>
      </c>
      <c r="W655" s="0" t="n">
        <v>4</v>
      </c>
      <c r="X655" s="3" t="n">
        <f aca="false">LOOKUP(V655,$AB$3:$AC$123)</f>
        <v>1.0299</v>
      </c>
      <c r="Y655" s="2" t="n">
        <f aca="false">(V655*((W655+T655)/1000)*X655)/((((W655+T655)/1000)*X655)-((W655/1000)*0.9982))</f>
        <v>57.7738994935723</v>
      </c>
      <c r="Z655" s="3" t="n">
        <f aca="false">(X655*(V655/100)*((W655+T655)/1000))*1000</f>
        <v>0.370764</v>
      </c>
    </row>
    <row r="656" customFormat="false" ht="15" hidden="false" customHeight="false" outlineLevel="0" collapsed="false">
      <c r="A656" s="0" t="s">
        <v>92</v>
      </c>
      <c r="B656" s="0" t="s">
        <v>93</v>
      </c>
      <c r="C656" s="0" t="s">
        <v>81</v>
      </c>
      <c r="D656" s="0" t="s">
        <v>141</v>
      </c>
      <c r="E656" s="0" t="n">
        <v>14</v>
      </c>
      <c r="F656" s="0" t="n">
        <v>0</v>
      </c>
      <c r="G656" s="1"/>
      <c r="H656" s="1"/>
      <c r="I656" s="0" t="n">
        <v>0</v>
      </c>
      <c r="J656" s="0" t="n">
        <f aca="false">(I656/32)*5</f>
        <v>0</v>
      </c>
      <c r="L656" s="0" t="n">
        <v>0</v>
      </c>
      <c r="M656" s="0" t="n">
        <v>0</v>
      </c>
      <c r="N656" s="0" t="n">
        <f aca="false">L656</f>
        <v>0</v>
      </c>
      <c r="O656" s="3" t="n">
        <v>0</v>
      </c>
      <c r="P656" s="3" t="n">
        <f aca="false">(O656*(N656/100)*(J656/1000))*1000</f>
        <v>0</v>
      </c>
      <c r="Q656" s="3"/>
      <c r="R656" s="3" t="n">
        <v>7</v>
      </c>
      <c r="S656" s="3" t="n">
        <v>22.5</v>
      </c>
      <c r="T656" s="0" t="n">
        <f aca="false">(S656/32)*5</f>
        <v>3.515625</v>
      </c>
      <c r="V656" s="0" t="n">
        <v>32</v>
      </c>
      <c r="W656" s="0" t="n">
        <v>4</v>
      </c>
      <c r="X656" s="3" t="n">
        <f aca="false">LOOKUP(V656,$AB$3:$AC$123)</f>
        <v>1.1366</v>
      </c>
      <c r="Y656" s="2" t="n">
        <f aca="false">(V656*((W656+T656)/1000)*X656)/((((W656+T656)/1000)*X656)-((W656/1000)*0.9982))</f>
        <v>60.0845677405351</v>
      </c>
      <c r="Z656" s="3" t="n">
        <f aca="false">(X656*(V656/100)*((W656+T656)/1000))*1000</f>
        <v>2.733523</v>
      </c>
    </row>
    <row r="657" customFormat="false" ht="15" hidden="false" customHeight="false" outlineLevel="0" collapsed="false">
      <c r="A657" s="0" t="s">
        <v>94</v>
      </c>
      <c r="B657" s="0" t="s">
        <v>95</v>
      </c>
      <c r="C657" s="0" t="s">
        <v>81</v>
      </c>
      <c r="D657" s="0" t="s">
        <v>141</v>
      </c>
      <c r="E657" s="0" t="n">
        <v>14</v>
      </c>
      <c r="F657" s="0" t="n">
        <v>2</v>
      </c>
      <c r="G657" s="1"/>
      <c r="H657" s="1"/>
      <c r="I657" s="0" t="n">
        <v>64</v>
      </c>
      <c r="J657" s="0" t="n">
        <f aca="false">(I657/32)*5</f>
        <v>10</v>
      </c>
      <c r="L657" s="0" t="n">
        <v>22</v>
      </c>
      <c r="M657" s="0" t="n">
        <v>0</v>
      </c>
      <c r="N657" s="0" t="n">
        <f aca="false">L657</f>
        <v>22</v>
      </c>
      <c r="O657" s="3" t="n">
        <f aca="false">LOOKUP(L657,$AB$3:$AC$123)</f>
        <v>1.0899</v>
      </c>
      <c r="P657" s="3" t="n">
        <f aca="false">(O657*(N657/100)*(J657/1000))*1000</f>
        <v>2.39778</v>
      </c>
      <c r="Q657" s="3"/>
      <c r="R657" s="3" t="n">
        <v>6</v>
      </c>
      <c r="S657" s="3" t="n">
        <v>21.4</v>
      </c>
      <c r="T657" s="0" t="n">
        <f aca="false">(S657/32)*5</f>
        <v>3.34375</v>
      </c>
      <c r="V657" s="0" t="n">
        <v>26</v>
      </c>
      <c r="W657" s="0" t="n">
        <v>4</v>
      </c>
      <c r="X657" s="3" t="n">
        <f aca="false">LOOKUP(V657,$AB$3:$AC$123)</f>
        <v>1.1081</v>
      </c>
      <c r="Y657" s="2" t="n">
        <f aca="false">(V657*((W657+T657)/1000)*X657)/((((W657+T657)/1000)*X657)-((W657/1000)*0.9982))</f>
        <v>51.0464594647372</v>
      </c>
      <c r="Z657" s="3" t="n">
        <f aca="false">(X657*(V657/100)*((W657+T657)/1000))*1000</f>
        <v>2.1157784375</v>
      </c>
    </row>
    <row r="658" customFormat="false" ht="15" hidden="false" customHeight="false" outlineLevel="0" collapsed="false">
      <c r="A658" s="0" t="s">
        <v>96</v>
      </c>
      <c r="B658" s="0" t="s">
        <v>97</v>
      </c>
      <c r="C658" s="0" t="s">
        <v>81</v>
      </c>
      <c r="D658" s="0" t="s">
        <v>141</v>
      </c>
      <c r="E658" s="0" t="n">
        <v>14</v>
      </c>
      <c r="F658" s="0" t="n">
        <v>0</v>
      </c>
      <c r="G658" s="1"/>
      <c r="H658" s="1"/>
      <c r="I658" s="0" t="n">
        <v>0</v>
      </c>
      <c r="J658" s="0" t="n">
        <f aca="false">(I658/32)*5</f>
        <v>0</v>
      </c>
      <c r="L658" s="0" t="n">
        <v>0</v>
      </c>
      <c r="M658" s="0" t="n">
        <v>0</v>
      </c>
      <c r="N658" s="0" t="n">
        <f aca="false">L658</f>
        <v>0</v>
      </c>
      <c r="O658" s="3" t="n">
        <v>0</v>
      </c>
      <c r="P658" s="3" t="n">
        <f aca="false">(O658*(N658/100)*(J658/1000))*1000</f>
        <v>0</v>
      </c>
      <c r="Q658" s="3"/>
      <c r="R658" s="3" t="n">
        <v>3</v>
      </c>
      <c r="S658" s="3" t="n">
        <v>9.8</v>
      </c>
      <c r="T658" s="0" t="n">
        <f aca="false">(S658/32)*5</f>
        <v>1.53125</v>
      </c>
      <c r="V658" s="0" t="n">
        <v>10.5</v>
      </c>
      <c r="W658" s="0" t="n">
        <v>4</v>
      </c>
      <c r="X658" s="3" t="n">
        <f aca="false">LOOKUP(V658,$AB$3:$AC$123)</f>
        <v>1.0402</v>
      </c>
      <c r="Y658" s="2" t="n">
        <f aca="false">(V658*((W658+T658)/1000)*X658)/((((W658+T658)/1000)*X658)-((W658/1000)*0.9982))</f>
        <v>34.3097746415882</v>
      </c>
      <c r="Z658" s="3" t="n">
        <f aca="false">(X658*(V658/100)*((W658+T658)/1000))*1000</f>
        <v>0.60412865625</v>
      </c>
    </row>
    <row r="659" customFormat="false" ht="15" hidden="false" customHeight="false" outlineLevel="0" collapsed="false">
      <c r="A659" s="0" t="s">
        <v>98</v>
      </c>
      <c r="B659" s="0" t="s">
        <v>99</v>
      </c>
      <c r="C659" s="0" t="s">
        <v>81</v>
      </c>
      <c r="D659" s="0" t="s">
        <v>141</v>
      </c>
      <c r="E659" s="0" t="n">
        <v>14</v>
      </c>
      <c r="F659" s="0" t="n">
        <v>1</v>
      </c>
      <c r="G659" s="1"/>
      <c r="H659" s="1"/>
      <c r="I659" s="0" t="n">
        <v>30.8</v>
      </c>
      <c r="J659" s="0" t="n">
        <f aca="false">(I659/32)*5</f>
        <v>4.8125</v>
      </c>
      <c r="L659" s="0" t="n">
        <v>15</v>
      </c>
      <c r="M659" s="0" t="n">
        <v>0</v>
      </c>
      <c r="N659" s="0" t="n">
        <f aca="false">L659</f>
        <v>15</v>
      </c>
      <c r="O659" s="3" t="n">
        <f aca="false">LOOKUP(L659,$AB$3:$AC$123)</f>
        <v>1.0592</v>
      </c>
      <c r="P659" s="3" t="n">
        <f aca="false">(O659*(N659/100)*(J659/1000))*1000</f>
        <v>0.76461</v>
      </c>
      <c r="Q659" s="3"/>
      <c r="R659" s="3" t="n">
        <v>5</v>
      </c>
      <c r="S659" s="3" t="n">
        <v>15.3</v>
      </c>
      <c r="T659" s="0" t="n">
        <f aca="false">(S659/32)*5</f>
        <v>2.390625</v>
      </c>
      <c r="V659" s="0" t="n">
        <v>17.5</v>
      </c>
      <c r="W659" s="0" t="n">
        <v>4</v>
      </c>
      <c r="X659" s="3" t="n">
        <f aca="false">LOOKUP(V659,$AB$3:$AC$123)</f>
        <v>1.07</v>
      </c>
      <c r="Y659" s="2" t="n">
        <f aca="false">(V659*((W659+T659)/1000)*X659)/((((W659+T659)/1000)*X659)-((W659/1000)*0.9982))</f>
        <v>42.0588244985469</v>
      </c>
      <c r="Z659" s="3" t="n">
        <f aca="false">(X659*(V659/100)*((W659+T659)/1000))*1000</f>
        <v>1.19664453125</v>
      </c>
    </row>
    <row r="660" customFormat="false" ht="15" hidden="false" customHeight="false" outlineLevel="0" collapsed="false">
      <c r="A660" s="0" t="s">
        <v>100</v>
      </c>
      <c r="B660" s="0" t="s">
        <v>101</v>
      </c>
      <c r="C660" s="0" t="s">
        <v>81</v>
      </c>
      <c r="D660" s="0" t="s">
        <v>141</v>
      </c>
      <c r="E660" s="0" t="n">
        <v>14</v>
      </c>
      <c r="F660" s="0" t="n">
        <v>0</v>
      </c>
      <c r="G660" s="1"/>
      <c r="H660" s="1"/>
      <c r="I660" s="0" t="n">
        <v>0</v>
      </c>
      <c r="J660" s="0" t="n">
        <f aca="false">(I660/32)*5</f>
        <v>0</v>
      </c>
      <c r="L660" s="0" t="n">
        <v>0</v>
      </c>
      <c r="M660" s="0" t="n">
        <v>0</v>
      </c>
      <c r="N660" s="0" t="n">
        <f aca="false">L660</f>
        <v>0</v>
      </c>
      <c r="O660" s="3" t="n">
        <v>0</v>
      </c>
      <c r="P660" s="3" t="n">
        <f aca="false">(O660*(N660/100)*(J660/1000))*1000</f>
        <v>0</v>
      </c>
      <c r="Q660" s="3"/>
      <c r="R660" s="3" t="n">
        <v>1</v>
      </c>
      <c r="S660" s="3" t="n">
        <v>1.7</v>
      </c>
      <c r="T660" s="0" t="n">
        <f aca="false">(S660/32)*5</f>
        <v>0.265625</v>
      </c>
      <c r="V660" s="0" t="n">
        <v>1</v>
      </c>
      <c r="W660" s="0" t="n">
        <v>4</v>
      </c>
      <c r="X660" s="3" t="n">
        <f aca="false">LOOKUP(V660,$AB$3:$AC$123)</f>
        <v>1.0021</v>
      </c>
      <c r="Y660" s="2" t="n">
        <f aca="false">(V660*((W660+T660)/1000)*X660)/((((W660+T660)/1000)*X660)-((W660/1000)*0.9982))</f>
        <v>15.1697783643209</v>
      </c>
      <c r="Z660" s="3" t="n">
        <f aca="false">(X660*(V660/100)*((W660+T660)/1000))*1000</f>
        <v>0.042745828125</v>
      </c>
    </row>
    <row r="661" customFormat="false" ht="15" hidden="false" customHeight="false" outlineLevel="0" collapsed="false">
      <c r="A661" s="0" t="s">
        <v>102</v>
      </c>
      <c r="B661" s="0" t="s">
        <v>103</v>
      </c>
      <c r="C661" s="0" t="s">
        <v>81</v>
      </c>
      <c r="D661" s="0" t="s">
        <v>141</v>
      </c>
      <c r="E661" s="0" t="n">
        <v>14</v>
      </c>
      <c r="F661" s="0" t="n">
        <v>1</v>
      </c>
      <c r="G661" s="1"/>
      <c r="H661" s="1"/>
      <c r="I661" s="0" t="n">
        <v>32</v>
      </c>
      <c r="J661" s="0" t="n">
        <f aca="false">(I661/32)*5</f>
        <v>5</v>
      </c>
      <c r="L661" s="0" t="n">
        <v>13</v>
      </c>
      <c r="M661" s="0" t="n">
        <v>0</v>
      </c>
      <c r="N661" s="0" t="n">
        <f aca="false">L661</f>
        <v>13</v>
      </c>
      <c r="O661" s="3" t="n">
        <f aca="false">LOOKUP(L661,$AB$3:$AC$123)</f>
        <v>1.0507</v>
      </c>
      <c r="P661" s="3" t="n">
        <f aca="false">(O661*(N661/100)*(J661/1000))*1000</f>
        <v>0.682955</v>
      </c>
      <c r="Q661" s="3"/>
      <c r="R661" s="3" t="n">
        <v>2</v>
      </c>
      <c r="S661" s="3" t="n">
        <v>6.5</v>
      </c>
      <c r="T661" s="0" t="n">
        <f aca="false">(S661/32)*5</f>
        <v>1.015625</v>
      </c>
      <c r="V661" s="0" t="n">
        <v>10</v>
      </c>
      <c r="W661" s="0" t="n">
        <v>4</v>
      </c>
      <c r="X661" s="3" t="n">
        <f aca="false">LOOKUP(V661,$AB$3:$AC$123)</f>
        <v>1.0381</v>
      </c>
      <c r="Y661" s="2" t="n">
        <f aca="false">(V661*((W661+T661)/1000)*X661)/((((W661+T661)/1000)*X661)-((W661/1000)*0.9982))</f>
        <v>42.8917801183923</v>
      </c>
      <c r="Z661" s="3" t="n">
        <f aca="false">(X661*(V661/100)*((W661+T661)/1000))*1000</f>
        <v>0.52067203125</v>
      </c>
    </row>
    <row r="662" customFormat="false" ht="15" hidden="false" customHeight="false" outlineLevel="0" collapsed="false">
      <c r="A662" s="0" t="s">
        <v>104</v>
      </c>
      <c r="B662" s="0" t="s">
        <v>105</v>
      </c>
      <c r="C662" s="0" t="s">
        <v>106</v>
      </c>
      <c r="D662" s="0" t="s">
        <v>141</v>
      </c>
      <c r="E662" s="0" t="n">
        <v>14</v>
      </c>
      <c r="F662" s="0" t="n">
        <v>0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3" t="n">
        <v>1</v>
      </c>
      <c r="S662" s="1"/>
      <c r="T662" s="1"/>
      <c r="U662" s="1"/>
      <c r="V662" s="1"/>
      <c r="W662" s="1"/>
      <c r="X662" s="1"/>
      <c r="Y662" s="5"/>
      <c r="Z662" s="1"/>
    </row>
    <row r="663" customFormat="false" ht="15" hidden="false" customHeight="false" outlineLevel="0" collapsed="false">
      <c r="A663" s="0" t="s">
        <v>107</v>
      </c>
      <c r="B663" s="0" t="s">
        <v>37</v>
      </c>
      <c r="C663" s="0" t="s">
        <v>106</v>
      </c>
      <c r="D663" s="0" t="s">
        <v>141</v>
      </c>
      <c r="E663" s="0" t="n">
        <v>14</v>
      </c>
      <c r="F663" s="0" t="n">
        <v>1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3" t="n">
        <v>3</v>
      </c>
      <c r="S663" s="1"/>
      <c r="T663" s="1"/>
      <c r="U663" s="1"/>
      <c r="V663" s="1"/>
      <c r="W663" s="1"/>
      <c r="X663" s="1"/>
      <c r="Y663" s="5"/>
      <c r="Z663" s="1"/>
    </row>
    <row r="664" customFormat="false" ht="15" hidden="false" customHeight="false" outlineLevel="0" collapsed="false">
      <c r="A664" s="0" t="s">
        <v>108</v>
      </c>
      <c r="B664" s="0" t="s">
        <v>109</v>
      </c>
      <c r="C664" s="0" t="s">
        <v>106</v>
      </c>
      <c r="D664" s="0" t="s">
        <v>141</v>
      </c>
      <c r="E664" s="0" t="n">
        <v>14</v>
      </c>
      <c r="F664" s="0" t="n">
        <v>2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3" t="n">
        <v>3</v>
      </c>
      <c r="S664" s="1"/>
      <c r="T664" s="1"/>
      <c r="U664" s="1"/>
      <c r="V664" s="1"/>
      <c r="W664" s="1"/>
      <c r="X664" s="1"/>
      <c r="Y664" s="5"/>
      <c r="Z664" s="1"/>
    </row>
    <row r="665" customFormat="false" ht="15" hidden="false" customHeight="false" outlineLevel="0" collapsed="false">
      <c r="A665" s="0" t="s">
        <v>110</v>
      </c>
      <c r="B665" s="0" t="s">
        <v>111</v>
      </c>
      <c r="C665" s="0" t="s">
        <v>106</v>
      </c>
      <c r="D665" s="0" t="s">
        <v>141</v>
      </c>
      <c r="E665" s="0" t="n">
        <v>14</v>
      </c>
      <c r="F665" s="0" t="n">
        <v>2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3" t="n">
        <v>2</v>
      </c>
      <c r="S665" s="1"/>
      <c r="T665" s="1"/>
      <c r="U665" s="1"/>
      <c r="V665" s="1"/>
      <c r="W665" s="1"/>
      <c r="X665" s="1"/>
      <c r="Y665" s="5"/>
      <c r="Z665" s="1"/>
    </row>
    <row r="666" customFormat="false" ht="15" hidden="false" customHeight="false" outlineLevel="0" collapsed="false">
      <c r="A666" s="0" t="s">
        <v>112</v>
      </c>
      <c r="B666" s="0" t="s">
        <v>113</v>
      </c>
      <c r="C666" s="0" t="s">
        <v>106</v>
      </c>
      <c r="D666" s="0" t="s">
        <v>141</v>
      </c>
      <c r="E666" s="0" t="n">
        <v>14</v>
      </c>
      <c r="F666" s="0" t="n">
        <v>1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3" t="n">
        <v>3</v>
      </c>
      <c r="S666" s="1"/>
      <c r="T666" s="1"/>
      <c r="U666" s="1"/>
      <c r="V666" s="1"/>
      <c r="W666" s="1"/>
      <c r="X666" s="1"/>
      <c r="Y666" s="5"/>
      <c r="Z666" s="1"/>
    </row>
    <row r="667" customFormat="false" ht="15" hidden="false" customHeight="false" outlineLevel="0" collapsed="false">
      <c r="A667" s="0" t="s">
        <v>114</v>
      </c>
      <c r="B667" s="0" t="s">
        <v>115</v>
      </c>
      <c r="C667" s="0" t="s">
        <v>106</v>
      </c>
      <c r="D667" s="0" t="s">
        <v>141</v>
      </c>
      <c r="E667" s="0" t="n">
        <v>14</v>
      </c>
      <c r="F667" s="0" t="n">
        <v>1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3" t="n">
        <v>2</v>
      </c>
      <c r="S667" s="1"/>
      <c r="T667" s="1"/>
      <c r="U667" s="1"/>
      <c r="V667" s="1"/>
      <c r="W667" s="1"/>
      <c r="X667" s="1"/>
      <c r="Y667" s="5"/>
      <c r="Z667" s="1"/>
    </row>
    <row r="668" customFormat="false" ht="15" hidden="false" customHeight="false" outlineLevel="0" collapsed="false">
      <c r="A668" s="0" t="s">
        <v>116</v>
      </c>
      <c r="B668" s="0" t="s">
        <v>117</v>
      </c>
      <c r="C668" s="0" t="s">
        <v>106</v>
      </c>
      <c r="D668" s="0" t="s">
        <v>141</v>
      </c>
      <c r="E668" s="0" t="n">
        <v>14</v>
      </c>
      <c r="F668" s="0" t="n">
        <v>1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3" t="n">
        <v>7</v>
      </c>
      <c r="S668" s="1"/>
      <c r="T668" s="1"/>
      <c r="U668" s="1"/>
      <c r="V668" s="1"/>
      <c r="W668" s="1"/>
      <c r="X668" s="1"/>
      <c r="Y668" s="5"/>
      <c r="Z668" s="1"/>
    </row>
    <row r="669" customFormat="false" ht="15" hidden="false" customHeight="false" outlineLevel="0" collapsed="false">
      <c r="A669" s="0" t="s">
        <v>118</v>
      </c>
      <c r="B669" s="0" t="s">
        <v>119</v>
      </c>
      <c r="C669" s="0" t="s">
        <v>106</v>
      </c>
      <c r="D669" s="0" t="s">
        <v>141</v>
      </c>
      <c r="E669" s="0" t="n">
        <v>14</v>
      </c>
      <c r="F669" s="0" t="n">
        <v>0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3" t="n">
        <v>6</v>
      </c>
      <c r="S669" s="1"/>
      <c r="T669" s="1"/>
      <c r="U669" s="1"/>
      <c r="V669" s="1"/>
      <c r="W669" s="1"/>
      <c r="X669" s="1"/>
      <c r="Y669" s="5"/>
      <c r="Z669" s="1"/>
    </row>
    <row r="670" customFormat="false" ht="15" hidden="false" customHeight="false" outlineLevel="0" collapsed="false">
      <c r="A670" s="0" t="s">
        <v>120</v>
      </c>
      <c r="B670" s="0" t="s">
        <v>121</v>
      </c>
      <c r="C670" s="0" t="s">
        <v>106</v>
      </c>
      <c r="D670" s="0" t="s">
        <v>141</v>
      </c>
      <c r="E670" s="0" t="n">
        <v>14</v>
      </c>
      <c r="F670" s="0" t="n">
        <v>1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3" t="n">
        <v>3</v>
      </c>
      <c r="S670" s="1"/>
      <c r="T670" s="1"/>
      <c r="U670" s="1"/>
      <c r="V670" s="1"/>
      <c r="W670" s="1"/>
      <c r="X670" s="1"/>
      <c r="Y670" s="5"/>
      <c r="Z670" s="1"/>
    </row>
    <row r="671" customFormat="false" ht="15" hidden="false" customHeight="false" outlineLevel="0" collapsed="false">
      <c r="A671" s="0" t="s">
        <v>122</v>
      </c>
      <c r="B671" s="0" t="s">
        <v>123</v>
      </c>
      <c r="C671" s="0" t="s">
        <v>106</v>
      </c>
      <c r="D671" s="0" t="s">
        <v>141</v>
      </c>
      <c r="E671" s="0" t="n">
        <v>14</v>
      </c>
      <c r="F671" s="0" t="n">
        <v>0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3" t="n">
        <v>5</v>
      </c>
      <c r="S671" s="1"/>
      <c r="T671" s="1"/>
      <c r="U671" s="1"/>
      <c r="V671" s="1"/>
      <c r="W671" s="1"/>
      <c r="X671" s="1"/>
      <c r="Y671" s="5"/>
      <c r="Z671" s="1"/>
    </row>
    <row r="672" customFormat="false" ht="15" hidden="false" customHeight="false" outlineLevel="0" collapsed="false">
      <c r="A672" s="0" t="s">
        <v>124</v>
      </c>
      <c r="B672" s="0" t="s">
        <v>125</v>
      </c>
      <c r="C672" s="0" t="s">
        <v>106</v>
      </c>
      <c r="D672" s="0" t="s">
        <v>141</v>
      </c>
      <c r="E672" s="0" t="n">
        <v>14</v>
      </c>
      <c r="F672" s="0" t="n">
        <v>1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3" t="n">
        <v>1</v>
      </c>
      <c r="S672" s="1"/>
      <c r="T672" s="1"/>
      <c r="U672" s="1"/>
      <c r="V672" s="1"/>
      <c r="W672" s="1"/>
      <c r="X672" s="1"/>
      <c r="Y672" s="5"/>
      <c r="Z672" s="1"/>
    </row>
    <row r="673" customFormat="false" ht="15" hidden="false" customHeight="false" outlineLevel="0" collapsed="false">
      <c r="A673" s="0" t="s">
        <v>126</v>
      </c>
      <c r="B673" s="0" t="s">
        <v>127</v>
      </c>
      <c r="C673" s="0" t="s">
        <v>106</v>
      </c>
      <c r="D673" s="0" t="s">
        <v>141</v>
      </c>
      <c r="E673" s="0" t="n">
        <v>14</v>
      </c>
      <c r="F673" s="0" t="n">
        <v>2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3" t="n">
        <v>2</v>
      </c>
      <c r="S673" s="1"/>
      <c r="T673" s="1"/>
      <c r="U673" s="1"/>
      <c r="V673" s="1"/>
      <c r="W673" s="1"/>
      <c r="X673" s="1"/>
      <c r="Y673" s="5"/>
      <c r="Z673" s="1"/>
    </row>
    <row r="674" customFormat="false" ht="15" hidden="false" customHeight="false" outlineLevel="0" collapsed="false">
      <c r="A674" s="0" t="s">
        <v>26</v>
      </c>
      <c r="B674" s="0" t="s">
        <v>27</v>
      </c>
      <c r="C674" s="0" t="s">
        <v>28</v>
      </c>
      <c r="D674" s="0" t="s">
        <v>142</v>
      </c>
      <c r="E674" s="0" t="n">
        <v>15</v>
      </c>
      <c r="F674" s="0" t="n">
        <v>1</v>
      </c>
      <c r="G674" s="0" t="n">
        <v>7</v>
      </c>
      <c r="H674" s="0" t="n">
        <v>54</v>
      </c>
      <c r="I674" s="1"/>
      <c r="J674" s="1"/>
      <c r="K674" s="1"/>
      <c r="L674" s="1"/>
      <c r="M674" s="1"/>
      <c r="N674" s="1"/>
      <c r="O674" s="1"/>
      <c r="P674" s="1"/>
      <c r="Q674" s="1"/>
      <c r="R674" s="3" t="n">
        <v>2</v>
      </c>
      <c r="S674" s="0" t="n">
        <v>9.2</v>
      </c>
      <c r="T674" s="0" t="n">
        <f aca="false">(S674/32)*5</f>
        <v>1.4375</v>
      </c>
      <c r="V674" s="0" t="n">
        <v>32.5</v>
      </c>
      <c r="W674" s="0" t="n">
        <v>4</v>
      </c>
      <c r="X674" s="3" t="n">
        <f aca="false">LOOKUP(V674,$AB$3:$AC$123)</f>
        <v>1.13905</v>
      </c>
      <c r="Y674" s="2" t="n">
        <f aca="false">(V674*((W674+T674)/1000)*X674)/((((W674+T674)/1000)*X674)-((W674/1000)*0.9982))</f>
        <v>91.4635229484943</v>
      </c>
      <c r="Z674" s="3" t="n">
        <f aca="false">(X674*(V674/100)*((W674+T674)/1000))*1000</f>
        <v>2.012914921875</v>
      </c>
    </row>
    <row r="675" customFormat="false" ht="15" hidden="false" customHeight="false" outlineLevel="0" collapsed="false">
      <c r="A675" s="0" t="s">
        <v>32</v>
      </c>
      <c r="B675" s="0" t="s">
        <v>33</v>
      </c>
      <c r="C675" s="0" t="s">
        <v>28</v>
      </c>
      <c r="D675" s="0" t="s">
        <v>142</v>
      </c>
      <c r="E675" s="0" t="n">
        <v>15</v>
      </c>
      <c r="F675" s="0" t="n">
        <v>0</v>
      </c>
      <c r="G675" s="0" t="n">
        <v>21</v>
      </c>
      <c r="H675" s="0" t="n">
        <v>91</v>
      </c>
      <c r="I675" s="1"/>
      <c r="J675" s="1"/>
      <c r="K675" s="1"/>
      <c r="L675" s="1"/>
      <c r="M675" s="1"/>
      <c r="N675" s="1"/>
      <c r="O675" s="1"/>
      <c r="P675" s="1"/>
      <c r="Q675" s="1"/>
      <c r="R675" s="3" t="n">
        <v>9</v>
      </c>
      <c r="S675" s="0" t="n">
        <v>22.9</v>
      </c>
      <c r="T675" s="0" t="n">
        <f aca="false">(S675/32)*5</f>
        <v>3.578125</v>
      </c>
      <c r="V675" s="0" t="n">
        <v>34.5</v>
      </c>
      <c r="W675" s="0" t="n">
        <v>4</v>
      </c>
      <c r="X675" s="3" t="n">
        <f aca="false">LOOKUP(V675,$AB$3:$AC$123)</f>
        <v>1.14885</v>
      </c>
      <c r="Y675" s="2" t="n">
        <f aca="false">(V675*((W675+T675)/1000)*X675)/((((W675+T675)/1000)*X675)-((W675/1000)*0.9982))</f>
        <v>63.725968045077</v>
      </c>
      <c r="Z675" s="3" t="n">
        <f aca="false">(X675*(V675/100)*((W675+T675)/1000))*1000</f>
        <v>3.00361447265625</v>
      </c>
    </row>
    <row r="676" customFormat="false" ht="15" hidden="false" customHeight="false" outlineLevel="0" collapsed="false">
      <c r="A676" s="0" t="s">
        <v>34</v>
      </c>
      <c r="B676" s="0" t="s">
        <v>35</v>
      </c>
      <c r="C676" s="0" t="s">
        <v>28</v>
      </c>
      <c r="D676" s="0" t="s">
        <v>142</v>
      </c>
      <c r="E676" s="0" t="n">
        <v>15</v>
      </c>
      <c r="F676" s="0" t="n">
        <v>1</v>
      </c>
      <c r="G676" s="0" t="n">
        <v>9</v>
      </c>
      <c r="H676" s="0" t="n">
        <v>69</v>
      </c>
      <c r="I676" s="1"/>
      <c r="J676" s="1"/>
      <c r="K676" s="1"/>
      <c r="L676" s="1"/>
      <c r="M676" s="1"/>
      <c r="N676" s="1"/>
      <c r="O676" s="1"/>
      <c r="P676" s="1"/>
      <c r="Q676" s="1"/>
      <c r="R676" s="3" t="n">
        <v>5</v>
      </c>
      <c r="S676" s="0" t="n">
        <v>10.5</v>
      </c>
      <c r="T676" s="0" t="n">
        <f aca="false">(S676/32)*5</f>
        <v>1.640625</v>
      </c>
      <c r="V676" s="0" t="n">
        <v>38.5</v>
      </c>
      <c r="W676" s="0" t="n">
        <v>4</v>
      </c>
      <c r="X676" s="3" t="n">
        <f aca="false">LOOKUP(V676,$AB$3:$AC$123)</f>
        <v>1.16885</v>
      </c>
      <c r="Y676" s="2" t="n">
        <f aca="false">(V676*((W676+T676)/1000)*X676)/((((W676+T676)/1000)*X676)-((W676/1000)*0.9982))</f>
        <v>97.6185937139926</v>
      </c>
      <c r="Z676" s="3" t="n">
        <f aca="false">(X676*(V676/100)*((W676+T676)/1000))*1000</f>
        <v>2.53832214453125</v>
      </c>
    </row>
    <row r="677" customFormat="false" ht="15" hidden="false" customHeight="false" outlineLevel="0" collapsed="false">
      <c r="A677" s="0" t="s">
        <v>36</v>
      </c>
      <c r="B677" s="0" t="s">
        <v>37</v>
      </c>
      <c r="C677" s="0" t="s">
        <v>28</v>
      </c>
      <c r="D677" s="0" t="s">
        <v>142</v>
      </c>
      <c r="E677" s="0" t="n">
        <v>15</v>
      </c>
      <c r="F677" s="0" t="n">
        <v>1</v>
      </c>
      <c r="G677" s="0" t="n">
        <v>7</v>
      </c>
      <c r="H677" s="0" t="n">
        <v>43</v>
      </c>
      <c r="I677" s="1"/>
      <c r="J677" s="1"/>
      <c r="K677" s="1"/>
      <c r="L677" s="1"/>
      <c r="M677" s="1"/>
      <c r="N677" s="1"/>
      <c r="O677" s="1"/>
      <c r="P677" s="1"/>
      <c r="Q677" s="1"/>
      <c r="R677" s="3" t="n">
        <v>3</v>
      </c>
      <c r="S677" s="0" t="n">
        <v>7.2</v>
      </c>
      <c r="T677" s="0" t="n">
        <f aca="false">(S677/32)*5</f>
        <v>1.125</v>
      </c>
      <c r="V677" s="0" t="n">
        <v>9</v>
      </c>
      <c r="W677" s="0" t="n">
        <v>4</v>
      </c>
      <c r="X677" s="3" t="n">
        <f aca="false">LOOKUP(V677,$AB$3:$AC$123)</f>
        <v>1.0341</v>
      </c>
      <c r="Y677" s="2" t="n">
        <f aca="false">(V677*((W677+T677)/1000)*X677)/((((W677+T677)/1000)*X677)-((W677/1000)*0.9982))</f>
        <v>36.4952035731706</v>
      </c>
      <c r="Z677" s="3" t="n">
        <f aca="false">(X677*(V677/100)*((W677+T677)/1000))*1000</f>
        <v>0.476978625</v>
      </c>
    </row>
    <row r="678" customFormat="false" ht="15" hidden="false" customHeight="false" outlineLevel="0" collapsed="false">
      <c r="A678" s="0" t="s">
        <v>38</v>
      </c>
      <c r="B678" s="0" t="s">
        <v>39</v>
      </c>
      <c r="C678" s="0" t="s">
        <v>28</v>
      </c>
      <c r="D678" s="0" t="s">
        <v>142</v>
      </c>
      <c r="E678" s="0" t="n">
        <v>15</v>
      </c>
      <c r="F678" s="0" t="n">
        <v>1</v>
      </c>
      <c r="G678" s="0" t="n">
        <v>19</v>
      </c>
      <c r="H678" s="0" t="n">
        <v>92</v>
      </c>
      <c r="I678" s="1"/>
      <c r="J678" s="1"/>
      <c r="K678" s="1"/>
      <c r="L678" s="1"/>
      <c r="M678" s="1"/>
      <c r="N678" s="1"/>
      <c r="O678" s="1"/>
      <c r="P678" s="1"/>
      <c r="Q678" s="1"/>
      <c r="R678" s="3" t="n">
        <v>2</v>
      </c>
      <c r="S678" s="0" t="n">
        <v>2.5</v>
      </c>
      <c r="T678" s="0" t="n">
        <f aca="false">(S678/32)*5</f>
        <v>0.390625</v>
      </c>
      <c r="V678" s="0" t="n">
        <v>15</v>
      </c>
      <c r="W678" s="0" t="n">
        <v>4</v>
      </c>
      <c r="X678" s="3" t="n">
        <f aca="false">LOOKUP(V678,$AB$3:$AC$123)</f>
        <v>1.0592</v>
      </c>
      <c r="Y678" s="2" t="n">
        <f aca="false">(V678*((W678+T678)/1000)*X678)/((((W678+T678)/1000)*X678)-((W678/1000)*0.9982))</f>
        <v>106.055872291904</v>
      </c>
      <c r="Z678" s="3" t="n">
        <f aca="false">(X678*(V678/100)*((W678+T678)/1000))*1000</f>
        <v>0.6975825</v>
      </c>
    </row>
    <row r="679" customFormat="false" ht="15" hidden="false" customHeight="false" outlineLevel="0" collapsed="false">
      <c r="A679" s="0" t="s">
        <v>40</v>
      </c>
      <c r="B679" s="0" t="s">
        <v>41</v>
      </c>
      <c r="C679" s="0" t="s">
        <v>28</v>
      </c>
      <c r="D679" s="0" t="s">
        <v>142</v>
      </c>
      <c r="E679" s="0" t="n">
        <v>15</v>
      </c>
      <c r="F679" s="0" t="n">
        <v>0</v>
      </c>
      <c r="G679" s="0" t="n">
        <v>8</v>
      </c>
      <c r="H679" s="0" t="n">
        <v>55</v>
      </c>
      <c r="I679" s="1"/>
      <c r="J679" s="1"/>
      <c r="K679" s="1"/>
      <c r="L679" s="1"/>
      <c r="M679" s="1"/>
      <c r="N679" s="1"/>
      <c r="O679" s="1"/>
      <c r="P679" s="1"/>
      <c r="Q679" s="1"/>
      <c r="R679" s="3" t="n">
        <v>3</v>
      </c>
      <c r="S679" s="0" t="n">
        <v>2.5</v>
      </c>
      <c r="T679" s="0" t="n">
        <f aca="false">(S679/32)*5</f>
        <v>0.390625</v>
      </c>
      <c r="V679" s="0" t="n">
        <v>4.5</v>
      </c>
      <c r="W679" s="0" t="n">
        <v>4</v>
      </c>
      <c r="X679" s="3" t="n">
        <f aca="false">LOOKUP(V679,$AB$3:$AC$123)</f>
        <v>1.0159</v>
      </c>
      <c r="Y679" s="2" t="n">
        <f aca="false">(V679*((W679+T679)/1000)*X679)/((((W679+T679)/1000)*X679)-((W679/1000)*0.9982))</f>
        <v>42.922196754286</v>
      </c>
      <c r="Z679" s="3" t="n">
        <f aca="false">(X679*(V679/100)*((W679+T679)/1000))*1000</f>
        <v>0.2007196171875</v>
      </c>
    </row>
    <row r="680" customFormat="false" ht="15" hidden="false" customHeight="false" outlineLevel="0" collapsed="false">
      <c r="A680" s="0" t="s">
        <v>42</v>
      </c>
      <c r="B680" s="0" t="s">
        <v>43</v>
      </c>
      <c r="C680" s="0" t="s">
        <v>28</v>
      </c>
      <c r="D680" s="0" t="s">
        <v>142</v>
      </c>
      <c r="E680" s="0" t="n">
        <v>15</v>
      </c>
      <c r="F680" s="0" t="n">
        <v>0</v>
      </c>
      <c r="G680" s="0" t="n">
        <v>7</v>
      </c>
      <c r="H680" s="0" t="n">
        <v>82</v>
      </c>
      <c r="I680" s="1"/>
      <c r="J680" s="1"/>
      <c r="K680" s="1"/>
      <c r="L680" s="1"/>
      <c r="M680" s="1"/>
      <c r="N680" s="1"/>
      <c r="O680" s="1"/>
      <c r="P680" s="1"/>
      <c r="Q680" s="1"/>
      <c r="R680" s="3" t="n">
        <v>0</v>
      </c>
      <c r="S680" s="0" t="n">
        <v>0</v>
      </c>
      <c r="T680" s="0" t="n">
        <f aca="false">(S680/32)*5</f>
        <v>0</v>
      </c>
      <c r="V680" s="0" t="n">
        <v>0</v>
      </c>
      <c r="W680" s="0" t="n">
        <v>0</v>
      </c>
      <c r="X680" s="3" t="n">
        <f aca="false">LOOKUP(V680,$AB$3:$AC$123)</f>
        <v>0.9982</v>
      </c>
      <c r="Y680" s="2" t="n">
        <v>0</v>
      </c>
      <c r="Z680" s="3" t="n">
        <f aca="false">(X680*(V680/100)*((W680+T680)/1000))*1000</f>
        <v>0</v>
      </c>
    </row>
    <row r="681" customFormat="false" ht="15" hidden="false" customHeight="false" outlineLevel="0" collapsed="false">
      <c r="A681" s="0" t="s">
        <v>44</v>
      </c>
      <c r="B681" s="0" t="s">
        <v>45</v>
      </c>
      <c r="C681" s="0" t="s">
        <v>28</v>
      </c>
      <c r="D681" s="0" t="s">
        <v>142</v>
      </c>
      <c r="E681" s="0" t="n">
        <v>15</v>
      </c>
      <c r="F681" s="0" t="n">
        <v>0</v>
      </c>
      <c r="G681" s="0" t="n">
        <v>12</v>
      </c>
      <c r="H681" s="0" t="n">
        <v>58</v>
      </c>
      <c r="I681" s="1"/>
      <c r="J681" s="1"/>
      <c r="K681" s="1"/>
      <c r="L681" s="1"/>
      <c r="M681" s="1"/>
      <c r="N681" s="1"/>
      <c r="O681" s="1"/>
      <c r="P681" s="1"/>
      <c r="Q681" s="1"/>
      <c r="R681" s="3" t="n">
        <v>2</v>
      </c>
      <c r="S681" s="0" t="n">
        <v>0.6</v>
      </c>
      <c r="T681" s="0" t="n">
        <f aca="false">(S681/32)*5</f>
        <v>0.09375</v>
      </c>
      <c r="V681" s="0" t="n">
        <v>9</v>
      </c>
      <c r="W681" s="0" t="n">
        <v>1</v>
      </c>
      <c r="X681" s="3" t="n">
        <f aca="false">LOOKUP(V681,$AB$3:$AC$123)</f>
        <v>1.0341</v>
      </c>
      <c r="Y681" s="2" t="n">
        <f aca="false">(V681*((W681+T681)/1000)*X681)/((((W681+T681)/1000)*X681)-((W681/1000)*0.9982))</f>
        <v>76.6252264119875</v>
      </c>
      <c r="Z681" s="3" t="n">
        <f aca="false">(X681*(V681/100)*((W681+T681)/1000))*1000</f>
        <v>0.10179421875</v>
      </c>
    </row>
    <row r="682" customFormat="false" ht="15" hidden="false" customHeight="false" outlineLevel="0" collapsed="false">
      <c r="A682" s="0" t="s">
        <v>46</v>
      </c>
      <c r="B682" s="0" t="s">
        <v>47</v>
      </c>
      <c r="C682" s="0" t="s">
        <v>28</v>
      </c>
      <c r="D682" s="0" t="s">
        <v>142</v>
      </c>
      <c r="E682" s="0" t="n">
        <v>15</v>
      </c>
      <c r="F682" s="0" t="n">
        <v>1</v>
      </c>
      <c r="G682" s="0" t="n">
        <v>10</v>
      </c>
      <c r="H682" s="0" t="n">
        <v>76</v>
      </c>
      <c r="I682" s="1"/>
      <c r="J682" s="1"/>
      <c r="K682" s="1"/>
      <c r="L682" s="1"/>
      <c r="M682" s="1"/>
      <c r="N682" s="1"/>
      <c r="O682" s="1"/>
      <c r="P682" s="1"/>
      <c r="Q682" s="1"/>
      <c r="R682" s="3" t="n">
        <v>4</v>
      </c>
      <c r="S682" s="0" t="n">
        <v>8.7</v>
      </c>
      <c r="T682" s="0" t="n">
        <f aca="false">(S682/32)*5</f>
        <v>1.359375</v>
      </c>
      <c r="V682" s="0" t="n">
        <v>19.5</v>
      </c>
      <c r="W682" s="0" t="n">
        <v>4</v>
      </c>
      <c r="X682" s="3" t="n">
        <f aca="false">LOOKUP(V682,$AB$3:$AC$123)</f>
        <v>1.07875</v>
      </c>
      <c r="Y682" s="2" t="n">
        <f aca="false">(V682*((W682+T682)/1000)*X682)/((((W682+T682)/1000)*X682)-((W682/1000)*0.9982))</f>
        <v>63.0304023995377</v>
      </c>
      <c r="Z682" s="3" t="n">
        <f aca="false">(X682*(V682/100)*((W682+T682)/1000))*1000</f>
        <v>1.12737802734375</v>
      </c>
    </row>
    <row r="683" customFormat="false" ht="15" hidden="false" customHeight="false" outlineLevel="0" collapsed="false">
      <c r="A683" s="0" t="s">
        <v>48</v>
      </c>
      <c r="B683" s="0" t="s">
        <v>49</v>
      </c>
      <c r="C683" s="0" t="s">
        <v>28</v>
      </c>
      <c r="D683" s="0" t="s">
        <v>142</v>
      </c>
      <c r="E683" s="0" t="n">
        <v>15</v>
      </c>
      <c r="F683" s="0" t="n">
        <v>0</v>
      </c>
      <c r="G683" s="0" t="n">
        <v>8</v>
      </c>
      <c r="H683" s="0" t="n">
        <v>41</v>
      </c>
      <c r="I683" s="1"/>
      <c r="J683" s="1"/>
      <c r="K683" s="1"/>
      <c r="L683" s="1"/>
      <c r="M683" s="1"/>
      <c r="N683" s="1"/>
      <c r="O683" s="1"/>
      <c r="P683" s="1"/>
      <c r="Q683" s="1"/>
      <c r="R683" s="3" t="n">
        <v>1</v>
      </c>
      <c r="S683" s="0" t="n">
        <v>2</v>
      </c>
      <c r="T683" s="0" t="n">
        <f aca="false">(S683/32)*5</f>
        <v>0.3125</v>
      </c>
      <c r="V683" s="0" t="n">
        <v>2</v>
      </c>
      <c r="W683" s="0" t="n">
        <v>4</v>
      </c>
      <c r="X683" s="3" t="n">
        <f aca="false">LOOKUP(V683,$AB$3:$AC$123)</f>
        <v>1.006</v>
      </c>
      <c r="Y683" s="2" t="n">
        <f aca="false">(V683*((W683+T683)/1000)*X683)/((((W683+T683)/1000)*X683)-((W683/1000)*0.9982))</f>
        <v>25.108153078203</v>
      </c>
      <c r="Z683" s="3" t="n">
        <f aca="false">(X683*(V683/100)*((W683+T683)/1000))*1000</f>
        <v>0.0867675</v>
      </c>
    </row>
    <row r="684" customFormat="false" ht="15" hidden="false" customHeight="false" outlineLevel="0" collapsed="false">
      <c r="A684" s="0" t="s">
        <v>50</v>
      </c>
      <c r="B684" s="0" t="s">
        <v>51</v>
      </c>
      <c r="C684" s="0" t="s">
        <v>28</v>
      </c>
      <c r="D684" s="0" t="s">
        <v>142</v>
      </c>
      <c r="E684" s="0" t="n">
        <v>15</v>
      </c>
      <c r="F684" s="0" t="n">
        <v>0</v>
      </c>
      <c r="G684" s="0" t="n">
        <v>8</v>
      </c>
      <c r="H684" s="0" t="n">
        <v>52</v>
      </c>
      <c r="I684" s="1"/>
      <c r="J684" s="1"/>
      <c r="K684" s="1"/>
      <c r="L684" s="1"/>
      <c r="M684" s="1"/>
      <c r="N684" s="1"/>
      <c r="O684" s="1"/>
      <c r="P684" s="1"/>
      <c r="Q684" s="1"/>
      <c r="R684" s="3" t="n">
        <v>3</v>
      </c>
      <c r="S684" s="0" t="n">
        <v>7.2</v>
      </c>
      <c r="T684" s="0" t="n">
        <f aca="false">(S684/32)*5</f>
        <v>1.125</v>
      </c>
      <c r="V684" s="0" t="n">
        <v>21.5</v>
      </c>
      <c r="W684" s="0" t="n">
        <v>4</v>
      </c>
      <c r="X684" s="3" t="n">
        <f aca="false">LOOKUP(V684,$AB$3:$AC$123)</f>
        <v>1.087675</v>
      </c>
      <c r="Y684" s="2" t="n">
        <f aca="false">(V684*((W684+T684)/1000)*X684)/((((W684+T684)/1000)*X684)-((W684/1000)*0.9982))</f>
        <v>75.7796927825233</v>
      </c>
      <c r="Z684" s="3" t="n">
        <f aca="false">(X684*(V684/100)*((W684+T684)/1000))*1000</f>
        <v>1.198481890625</v>
      </c>
    </row>
    <row r="685" customFormat="false" ht="15" hidden="false" customHeight="false" outlineLevel="0" collapsed="false">
      <c r="A685" s="0" t="s">
        <v>52</v>
      </c>
      <c r="B685" s="0" t="s">
        <v>53</v>
      </c>
      <c r="C685" s="0" t="s">
        <v>28</v>
      </c>
      <c r="D685" s="0" t="s">
        <v>142</v>
      </c>
      <c r="E685" s="0" t="n">
        <v>15</v>
      </c>
      <c r="F685" s="0" t="n">
        <v>0</v>
      </c>
      <c r="G685" s="0" t="n">
        <v>6</v>
      </c>
      <c r="H685" s="0" t="n">
        <v>50</v>
      </c>
      <c r="I685" s="1"/>
      <c r="J685" s="1"/>
      <c r="K685" s="1"/>
      <c r="L685" s="1"/>
      <c r="M685" s="1"/>
      <c r="N685" s="1"/>
      <c r="O685" s="1"/>
      <c r="P685" s="1"/>
      <c r="Q685" s="1"/>
      <c r="R685" s="3" t="n">
        <v>1</v>
      </c>
      <c r="S685" s="0" t="n">
        <v>4.2</v>
      </c>
      <c r="T685" s="0" t="n">
        <f aca="false">(S685/32)*5</f>
        <v>0.65625</v>
      </c>
      <c r="V685" s="0" t="n">
        <v>8.5</v>
      </c>
      <c r="W685" s="0" t="n">
        <v>4</v>
      </c>
      <c r="X685" s="3" t="n">
        <f aca="false">LOOKUP(V685,$AB$3:$AC$123)</f>
        <v>1.032</v>
      </c>
      <c r="Y685" s="2" t="n">
        <f aca="false">(V685*((W685+T685)/1000)*X685)/((((W685+T685)/1000)*X685)-((W685/1000)*0.9982))</f>
        <v>50.2734014400887</v>
      </c>
      <c r="Z685" s="3" t="n">
        <f aca="false">(X685*(V685/100)*((W685+T685)/1000))*1000</f>
        <v>0.40844625</v>
      </c>
    </row>
    <row r="686" customFormat="false" ht="15" hidden="false" customHeight="false" outlineLevel="0" collapsed="false">
      <c r="A686" s="0" t="s">
        <v>54</v>
      </c>
      <c r="B686" s="0" t="s">
        <v>55</v>
      </c>
      <c r="C686" s="0" t="s">
        <v>56</v>
      </c>
      <c r="D686" s="0" t="s">
        <v>142</v>
      </c>
      <c r="E686" s="0" t="n">
        <v>15</v>
      </c>
      <c r="F686" s="0" t="n">
        <v>1</v>
      </c>
      <c r="G686" s="0" t="n">
        <v>3</v>
      </c>
      <c r="H686" s="0" t="n">
        <v>23</v>
      </c>
      <c r="I686" s="0" t="n">
        <f aca="false">25.9+28.7+7.5</f>
        <v>62.1</v>
      </c>
      <c r="J686" s="0" t="n">
        <f aca="false">(I686/32)*5</f>
        <v>9.703125</v>
      </c>
      <c r="L686" s="0" t="n">
        <v>22</v>
      </c>
      <c r="M686" s="0" t="n">
        <v>0</v>
      </c>
      <c r="N686" s="0" t="n">
        <f aca="false">L686</f>
        <v>22</v>
      </c>
      <c r="O686" s="3" t="n">
        <f aca="false">LOOKUP(L686,$AB$3:$AC$123)</f>
        <v>1.0899</v>
      </c>
      <c r="P686" s="3" t="n">
        <f aca="false">(O686*(N686/100)*(J686/1000))*1000</f>
        <v>2.32659590625</v>
      </c>
      <c r="Q686" s="3"/>
      <c r="R686" s="3" t="n">
        <v>4</v>
      </c>
      <c r="S686" s="1"/>
      <c r="T686" s="1"/>
      <c r="U686" s="1"/>
      <c r="V686" s="1"/>
      <c r="W686" s="1"/>
      <c r="X686" s="1"/>
      <c r="Y686" s="5"/>
      <c r="Z686" s="1"/>
    </row>
    <row r="687" customFormat="false" ht="15" hidden="false" customHeight="false" outlineLevel="0" collapsed="false">
      <c r="A687" s="0" t="s">
        <v>57</v>
      </c>
      <c r="B687" s="0" t="s">
        <v>58</v>
      </c>
      <c r="C687" s="0" t="s">
        <v>56</v>
      </c>
      <c r="D687" s="0" t="s">
        <v>142</v>
      </c>
      <c r="E687" s="0" t="n">
        <v>15</v>
      </c>
      <c r="F687" s="0" t="n">
        <v>0</v>
      </c>
      <c r="G687" s="0" t="n">
        <v>4</v>
      </c>
      <c r="H687" s="0" t="n">
        <v>41</v>
      </c>
      <c r="I687" s="0" t="n">
        <v>0</v>
      </c>
      <c r="J687" s="0" t="n">
        <f aca="false">(I687/32)*5</f>
        <v>0</v>
      </c>
      <c r="L687" s="0" t="n">
        <v>0</v>
      </c>
      <c r="M687" s="0" t="n">
        <v>0</v>
      </c>
      <c r="N687" s="0" t="n">
        <f aca="false">L687</f>
        <v>0</v>
      </c>
      <c r="O687" s="3" t="n">
        <f aca="false">LOOKUP(L687,$AB$3:$AC$123)</f>
        <v>0.9982</v>
      </c>
      <c r="P687" s="3" t="n">
        <f aca="false">(O687*(N687/100)*(J687/1000))*1000</f>
        <v>0</v>
      </c>
      <c r="Q687" s="3"/>
      <c r="R687" s="3" t="n">
        <v>5</v>
      </c>
      <c r="S687" s="1"/>
      <c r="T687" s="1"/>
      <c r="U687" s="1"/>
      <c r="V687" s="1"/>
      <c r="W687" s="1"/>
      <c r="X687" s="1"/>
      <c r="Y687" s="5"/>
      <c r="Z687" s="1"/>
    </row>
    <row r="688" customFormat="false" ht="15" hidden="false" customHeight="false" outlineLevel="0" collapsed="false">
      <c r="A688" s="0" t="s">
        <v>59</v>
      </c>
      <c r="B688" s="0" t="s">
        <v>60</v>
      </c>
      <c r="C688" s="0" t="s">
        <v>56</v>
      </c>
      <c r="D688" s="0" t="s">
        <v>142</v>
      </c>
      <c r="E688" s="0" t="n">
        <v>15</v>
      </c>
      <c r="F688" s="0" t="n">
        <v>1</v>
      </c>
      <c r="G688" s="0" t="n">
        <v>13</v>
      </c>
      <c r="H688" s="0" t="n">
        <v>64</v>
      </c>
      <c r="I688" s="0" t="n">
        <f aca="false">15.9+29.8</f>
        <v>45.7</v>
      </c>
      <c r="J688" s="0" t="n">
        <f aca="false">(I688/32)*5</f>
        <v>7.140625</v>
      </c>
      <c r="L688" s="0" t="n">
        <v>18</v>
      </c>
      <c r="M688" s="0" t="n">
        <v>0</v>
      </c>
      <c r="N688" s="0" t="n">
        <f aca="false">L688</f>
        <v>18</v>
      </c>
      <c r="O688" s="3" t="n">
        <f aca="false">LOOKUP(L688,$AB$3:$AC$123)</f>
        <v>1.0722</v>
      </c>
      <c r="P688" s="3" t="n">
        <f aca="false">(O688*(N688/100)*(J688/1000))*1000</f>
        <v>1.3781120625</v>
      </c>
      <c r="Q688" s="3"/>
      <c r="R688" s="3" t="n">
        <v>7</v>
      </c>
      <c r="S688" s="1"/>
      <c r="T688" s="1"/>
      <c r="U688" s="1"/>
      <c r="V688" s="1"/>
      <c r="W688" s="1"/>
      <c r="X688" s="1"/>
      <c r="Y688" s="5"/>
      <c r="Z688" s="1"/>
    </row>
    <row r="689" customFormat="false" ht="15" hidden="false" customHeight="false" outlineLevel="0" collapsed="false">
      <c r="A689" s="0" t="s">
        <v>61</v>
      </c>
      <c r="B689" s="0" t="s">
        <v>62</v>
      </c>
      <c r="C689" s="0" t="s">
        <v>56</v>
      </c>
      <c r="D689" s="0" t="s">
        <v>142</v>
      </c>
      <c r="E689" s="0" t="n">
        <v>15</v>
      </c>
      <c r="F689" s="0" t="n">
        <v>1</v>
      </c>
      <c r="G689" s="0" t="n">
        <v>17</v>
      </c>
      <c r="H689" s="0" t="n">
        <v>98</v>
      </c>
      <c r="I689" s="0" t="n">
        <v>16.7</v>
      </c>
      <c r="J689" s="0" t="n">
        <f aca="false">(I689/32)*5</f>
        <v>2.609375</v>
      </c>
      <c r="L689" s="0" t="n">
        <v>21.5</v>
      </c>
      <c r="M689" s="0" t="n">
        <v>0</v>
      </c>
      <c r="N689" s="0" t="n">
        <f aca="false">L689</f>
        <v>21.5</v>
      </c>
      <c r="O689" s="3" t="n">
        <f aca="false">LOOKUP(L689,$AB$3:$AC$123)</f>
        <v>1.087675</v>
      </c>
      <c r="P689" s="3" t="n">
        <f aca="false">(O689*(N689/100)*(J689/1000))*1000</f>
        <v>0.610202669921875</v>
      </c>
      <c r="Q689" s="3"/>
      <c r="R689" s="3" t="n">
        <v>11</v>
      </c>
      <c r="S689" s="1"/>
      <c r="T689" s="1"/>
      <c r="U689" s="1"/>
      <c r="V689" s="1"/>
      <c r="W689" s="1"/>
      <c r="X689" s="1"/>
      <c r="Y689" s="5"/>
      <c r="Z689" s="1"/>
    </row>
    <row r="690" customFormat="false" ht="15" hidden="false" customHeight="false" outlineLevel="0" collapsed="false">
      <c r="A690" s="0" t="s">
        <v>63</v>
      </c>
      <c r="B690" s="0" t="s">
        <v>64</v>
      </c>
      <c r="C690" s="0" t="s">
        <v>56</v>
      </c>
      <c r="D690" s="0" t="s">
        <v>142</v>
      </c>
      <c r="E690" s="0" t="n">
        <v>15</v>
      </c>
      <c r="F690" s="0" t="n">
        <v>1</v>
      </c>
      <c r="G690" s="0" t="n">
        <v>5</v>
      </c>
      <c r="H690" s="0" t="n">
        <v>24</v>
      </c>
      <c r="I690" s="0" t="n">
        <v>28.7</v>
      </c>
      <c r="J690" s="0" t="n">
        <f aca="false">(I690/32)*5</f>
        <v>4.484375</v>
      </c>
      <c r="L690" s="0" t="n">
        <v>23</v>
      </c>
      <c r="M690" s="0" t="n">
        <v>0</v>
      </c>
      <c r="N690" s="0" t="n">
        <f aca="false">L690</f>
        <v>23</v>
      </c>
      <c r="O690" s="3" t="n">
        <f aca="false">LOOKUP(L690,$AB$3:$AC$123)</f>
        <v>1.09445</v>
      </c>
      <c r="P690" s="3" t="n">
        <f aca="false">(O690*(N690/100)*(J690/1000))*1000</f>
        <v>1.1288225703125</v>
      </c>
      <c r="Q690" s="3"/>
      <c r="R690" s="3" t="n">
        <v>3</v>
      </c>
      <c r="S690" s="1"/>
      <c r="T690" s="1"/>
      <c r="U690" s="1"/>
      <c r="V690" s="1"/>
      <c r="W690" s="1"/>
      <c r="X690" s="1"/>
      <c r="Y690" s="5"/>
      <c r="Z690" s="1"/>
    </row>
    <row r="691" customFormat="false" ht="15" hidden="false" customHeight="false" outlineLevel="0" collapsed="false">
      <c r="A691" s="0" t="s">
        <v>65</v>
      </c>
      <c r="B691" s="0" t="s">
        <v>66</v>
      </c>
      <c r="C691" s="0" t="s">
        <v>56</v>
      </c>
      <c r="D691" s="0" t="s">
        <v>142</v>
      </c>
      <c r="E691" s="0" t="n">
        <v>15</v>
      </c>
      <c r="F691" s="0" t="n">
        <v>0</v>
      </c>
      <c r="G691" s="0" t="n">
        <v>14</v>
      </c>
      <c r="H691" s="0" t="n">
        <v>173</v>
      </c>
      <c r="I691" s="0" t="n">
        <v>0</v>
      </c>
      <c r="J691" s="0" t="n">
        <f aca="false">(I691/32)*5</f>
        <v>0</v>
      </c>
      <c r="L691" s="0" t="n">
        <v>0</v>
      </c>
      <c r="M691" s="0" t="n">
        <v>0</v>
      </c>
      <c r="N691" s="0" t="n">
        <f aca="false">L691</f>
        <v>0</v>
      </c>
      <c r="O691" s="3" t="n">
        <v>0</v>
      </c>
      <c r="P691" s="3" t="n">
        <f aca="false">(O691*(N691/100)*(J691/1000))*1000</f>
        <v>0</v>
      </c>
      <c r="Q691" s="3"/>
      <c r="R691" s="3" t="n">
        <v>12</v>
      </c>
      <c r="S691" s="1"/>
      <c r="T691" s="1"/>
      <c r="U691" s="1"/>
      <c r="V691" s="1"/>
      <c r="W691" s="1"/>
      <c r="X691" s="1"/>
      <c r="Y691" s="5"/>
      <c r="Z691" s="1"/>
    </row>
    <row r="692" customFormat="false" ht="15" hidden="false" customHeight="false" outlineLevel="0" collapsed="false">
      <c r="A692" s="0" t="s">
        <v>67</v>
      </c>
      <c r="B692" s="0" t="s">
        <v>68</v>
      </c>
      <c r="C692" s="0" t="s">
        <v>56</v>
      </c>
      <c r="D692" s="0" t="s">
        <v>142</v>
      </c>
      <c r="E692" s="0" t="n">
        <v>15</v>
      </c>
      <c r="F692" s="0" t="n">
        <v>1</v>
      </c>
      <c r="G692" s="0" t="n">
        <v>10</v>
      </c>
      <c r="H692" s="0" t="n">
        <v>87</v>
      </c>
      <c r="I692" s="0" t="n">
        <f aca="false">24.8+27.1+12.6</f>
        <v>64.5</v>
      </c>
      <c r="J692" s="0" t="n">
        <f aca="false">(I692/32)*5</f>
        <v>10.078125</v>
      </c>
      <c r="L692" s="0" t="n">
        <v>22</v>
      </c>
      <c r="M692" s="0" t="n">
        <v>0</v>
      </c>
      <c r="N692" s="0" t="n">
        <f aca="false">L692</f>
        <v>22</v>
      </c>
      <c r="O692" s="3" t="n">
        <f aca="false">LOOKUP(L692,$AB$3:$AC$123)</f>
        <v>1.0899</v>
      </c>
      <c r="P692" s="3" t="n">
        <f aca="false">(O692*(N692/100)*(J692/1000))*1000</f>
        <v>2.41651265625</v>
      </c>
      <c r="Q692" s="3"/>
      <c r="R692" s="3" t="n">
        <v>5</v>
      </c>
      <c r="S692" s="1"/>
      <c r="T692" s="1"/>
      <c r="U692" s="1"/>
      <c r="V692" s="1"/>
      <c r="W692" s="1"/>
      <c r="X692" s="1"/>
      <c r="Y692" s="5"/>
      <c r="Z692" s="1"/>
    </row>
    <row r="693" customFormat="false" ht="15" hidden="false" customHeight="false" outlineLevel="0" collapsed="false">
      <c r="A693" s="0" t="s">
        <v>69</v>
      </c>
      <c r="B693" s="0" t="s">
        <v>70</v>
      </c>
      <c r="C693" s="0" t="s">
        <v>56</v>
      </c>
      <c r="D693" s="0" t="s">
        <v>142</v>
      </c>
      <c r="E693" s="0" t="n">
        <v>15</v>
      </c>
      <c r="F693" s="0" t="n">
        <v>0</v>
      </c>
      <c r="G693" s="0" t="n">
        <v>10</v>
      </c>
      <c r="H693" s="0" t="n">
        <v>93</v>
      </c>
      <c r="I693" s="0" t="n">
        <v>0</v>
      </c>
      <c r="J693" s="0" t="n">
        <f aca="false">(I693/32)*5</f>
        <v>0</v>
      </c>
      <c r="L693" s="0" t="n">
        <v>0</v>
      </c>
      <c r="M693" s="0" t="n">
        <v>0</v>
      </c>
      <c r="N693" s="0" t="n">
        <f aca="false">L693</f>
        <v>0</v>
      </c>
      <c r="O693" s="3" t="n">
        <v>0</v>
      </c>
      <c r="P693" s="3" t="n">
        <f aca="false">(O693*(N693/100)*(J693/1000))*1000</f>
        <v>0</v>
      </c>
      <c r="Q693" s="3"/>
      <c r="R693" s="3" t="n">
        <v>9</v>
      </c>
      <c r="S693" s="1"/>
      <c r="T693" s="1"/>
      <c r="U693" s="1"/>
      <c r="V693" s="1"/>
      <c r="W693" s="1"/>
      <c r="X693" s="1"/>
      <c r="Y693" s="5"/>
      <c r="Z693" s="1"/>
    </row>
    <row r="694" customFormat="false" ht="15" hidden="false" customHeight="false" outlineLevel="0" collapsed="false">
      <c r="A694" s="0" t="s">
        <v>71</v>
      </c>
      <c r="B694" s="0" t="s">
        <v>72</v>
      </c>
      <c r="C694" s="0" t="s">
        <v>56</v>
      </c>
      <c r="D694" s="0" t="s">
        <v>142</v>
      </c>
      <c r="E694" s="0" t="n">
        <v>15</v>
      </c>
      <c r="F694" s="0" t="n">
        <v>0</v>
      </c>
      <c r="G694" s="0" t="n">
        <v>9</v>
      </c>
      <c r="H694" s="0" t="n">
        <v>61</v>
      </c>
      <c r="I694" s="0" t="n">
        <v>0</v>
      </c>
      <c r="J694" s="0" t="n">
        <f aca="false">(I694/32)*5</f>
        <v>0</v>
      </c>
      <c r="L694" s="0" t="n">
        <v>0</v>
      </c>
      <c r="M694" s="0" t="n">
        <v>0</v>
      </c>
      <c r="N694" s="0" t="n">
        <f aca="false">L694</f>
        <v>0</v>
      </c>
      <c r="O694" s="3" t="n">
        <v>0</v>
      </c>
      <c r="P694" s="3" t="n">
        <f aca="false">(O694*(N694/100)*(J694/1000))*1000</f>
        <v>0</v>
      </c>
      <c r="Q694" s="3"/>
      <c r="R694" s="3" t="n">
        <v>7</v>
      </c>
      <c r="S694" s="1"/>
      <c r="T694" s="1"/>
      <c r="U694" s="1"/>
      <c r="V694" s="1"/>
      <c r="W694" s="1"/>
      <c r="X694" s="1"/>
      <c r="Y694" s="5"/>
      <c r="Z694" s="1"/>
    </row>
    <row r="695" customFormat="false" ht="15" hidden="false" customHeight="false" outlineLevel="0" collapsed="false">
      <c r="A695" s="0" t="s">
        <v>73</v>
      </c>
      <c r="B695" s="0" t="s">
        <v>74</v>
      </c>
      <c r="C695" s="0" t="s">
        <v>56</v>
      </c>
      <c r="D695" s="0" t="s">
        <v>142</v>
      </c>
      <c r="E695" s="0" t="n">
        <v>15</v>
      </c>
      <c r="F695" s="0" t="n">
        <v>0</v>
      </c>
      <c r="G695" s="0" t="n">
        <v>9</v>
      </c>
      <c r="H695" s="0" t="n">
        <v>58</v>
      </c>
      <c r="I695" s="0" t="n">
        <v>0</v>
      </c>
      <c r="J695" s="0" t="n">
        <f aca="false">(I695/32)*5</f>
        <v>0</v>
      </c>
      <c r="L695" s="0" t="n">
        <v>0</v>
      </c>
      <c r="M695" s="0" t="n">
        <v>0</v>
      </c>
      <c r="N695" s="0" t="n">
        <f aca="false">L695</f>
        <v>0</v>
      </c>
      <c r="O695" s="3" t="n">
        <v>0</v>
      </c>
      <c r="P695" s="3" t="n">
        <f aca="false">(O695*(N695/100)*(J695/1000))*1000</f>
        <v>0</v>
      </c>
      <c r="Q695" s="3"/>
      <c r="R695" s="3" t="n">
        <v>8</v>
      </c>
      <c r="S695" s="1"/>
      <c r="T695" s="1"/>
      <c r="U695" s="1"/>
      <c r="V695" s="1"/>
      <c r="W695" s="1"/>
      <c r="X695" s="1"/>
      <c r="Y695" s="5"/>
      <c r="Z695" s="1"/>
    </row>
    <row r="696" customFormat="false" ht="15" hidden="false" customHeight="false" outlineLevel="0" collapsed="false">
      <c r="A696" s="0" t="s">
        <v>75</v>
      </c>
      <c r="B696" s="0" t="s">
        <v>76</v>
      </c>
      <c r="C696" s="0" t="s">
        <v>56</v>
      </c>
      <c r="D696" s="0" t="s">
        <v>142</v>
      </c>
      <c r="E696" s="0" t="n">
        <v>15</v>
      </c>
      <c r="F696" s="0" t="n">
        <v>1</v>
      </c>
      <c r="G696" s="0" t="n">
        <v>14</v>
      </c>
      <c r="H696" s="0" t="n">
        <v>92</v>
      </c>
      <c r="I696" s="0" t="n">
        <v>23.8</v>
      </c>
      <c r="J696" s="0" t="n">
        <f aca="false">(I696/32)*5</f>
        <v>3.71875</v>
      </c>
      <c r="L696" s="0" t="n">
        <v>24</v>
      </c>
      <c r="M696" s="0" t="n">
        <v>0</v>
      </c>
      <c r="N696" s="0" t="n">
        <f aca="false">L696</f>
        <v>24</v>
      </c>
      <c r="O696" s="3" t="n">
        <f aca="false">LOOKUP(L696,$AB$3:$AC$123)</f>
        <v>1.099</v>
      </c>
      <c r="P696" s="3" t="n">
        <f aca="false">(O696*(N696/100)*(J696/1000))*1000</f>
        <v>0.9808575</v>
      </c>
      <c r="Q696" s="3"/>
      <c r="R696" s="3" t="n">
        <v>7</v>
      </c>
      <c r="S696" s="1"/>
      <c r="T696" s="1"/>
      <c r="U696" s="1"/>
      <c r="V696" s="1"/>
      <c r="W696" s="1"/>
      <c r="X696" s="1"/>
      <c r="Y696" s="5"/>
      <c r="Z696" s="1"/>
    </row>
    <row r="697" customFormat="false" ht="15" hidden="false" customHeight="false" outlineLevel="0" collapsed="false">
      <c r="A697" s="0" t="s">
        <v>77</v>
      </c>
      <c r="B697" s="0" t="s">
        <v>78</v>
      </c>
      <c r="C697" s="0" t="s">
        <v>56</v>
      </c>
      <c r="D697" s="0" t="s">
        <v>142</v>
      </c>
      <c r="E697" s="0" t="n">
        <v>15</v>
      </c>
      <c r="F697" s="0" t="n">
        <v>0</v>
      </c>
      <c r="G697" s="0" t="n">
        <v>11</v>
      </c>
      <c r="H697" s="0" t="n">
        <v>102</v>
      </c>
      <c r="I697" s="0" t="n">
        <v>0</v>
      </c>
      <c r="J697" s="0" t="n">
        <f aca="false">(I697/32)*5</f>
        <v>0</v>
      </c>
      <c r="L697" s="0" t="n">
        <v>0</v>
      </c>
      <c r="M697" s="0" t="n">
        <v>0</v>
      </c>
      <c r="N697" s="0" t="n">
        <f aca="false">L697</f>
        <v>0</v>
      </c>
      <c r="O697" s="3" t="n">
        <v>0</v>
      </c>
      <c r="P697" s="3" t="n">
        <f aca="false">(O697*(N697/100)*(J697/1000))*1000</f>
        <v>0</v>
      </c>
      <c r="Q697" s="3"/>
      <c r="R697" s="3" t="n">
        <v>12</v>
      </c>
      <c r="S697" s="1"/>
      <c r="T697" s="1"/>
      <c r="U697" s="1"/>
      <c r="V697" s="1"/>
      <c r="W697" s="1"/>
      <c r="X697" s="1"/>
      <c r="Y697" s="5"/>
      <c r="Z697" s="1"/>
    </row>
    <row r="698" customFormat="false" ht="15" hidden="false" customHeight="false" outlineLevel="0" collapsed="false">
      <c r="A698" s="0" t="s">
        <v>79</v>
      </c>
      <c r="B698" s="0" t="s">
        <v>80</v>
      </c>
      <c r="C698" s="0" t="s">
        <v>81</v>
      </c>
      <c r="D698" s="0" t="s">
        <v>142</v>
      </c>
      <c r="E698" s="0" t="n">
        <v>15</v>
      </c>
      <c r="F698" s="0" t="n">
        <v>1</v>
      </c>
      <c r="G698" s="0" t="n">
        <v>5</v>
      </c>
      <c r="H698" s="0" t="n">
        <v>48</v>
      </c>
      <c r="I698" s="0" t="n">
        <v>35.2</v>
      </c>
      <c r="J698" s="0" t="n">
        <f aca="false">(I698/32)*5</f>
        <v>5.5</v>
      </c>
      <c r="L698" s="0" t="n">
        <v>21.5</v>
      </c>
      <c r="M698" s="0" t="n">
        <v>0</v>
      </c>
      <c r="N698" s="0" t="n">
        <f aca="false">L698</f>
        <v>21.5</v>
      </c>
      <c r="O698" s="3" t="n">
        <f aca="false">LOOKUP(L698,$AB$3:$AC$123)</f>
        <v>1.087675</v>
      </c>
      <c r="P698" s="3" t="n">
        <f aca="false">(O698*(N698/100)*(J698/1000))*1000</f>
        <v>1.2861756875</v>
      </c>
      <c r="Q698" s="3"/>
      <c r="R698" s="0" t="n">
        <v>2</v>
      </c>
      <c r="S698" s="0" t="n">
        <v>2.4</v>
      </c>
      <c r="T698" s="0" t="n">
        <f aca="false">(S698/32)*5</f>
        <v>0.375</v>
      </c>
      <c r="V698" s="0" t="n">
        <v>12</v>
      </c>
      <c r="W698" s="0" t="n">
        <v>4</v>
      </c>
      <c r="X698" s="3" t="n">
        <f aca="false">LOOKUP(V698,$AB$3:$AC$123)</f>
        <v>1.0465</v>
      </c>
      <c r="Y698" s="2" t="n">
        <f aca="false">(V698*((W698+T698)/1000)*X698)/((((W698+T698)/1000)*X698)-((W698/1000)*0.9982))</f>
        <v>93.8144329896908</v>
      </c>
      <c r="Z698" s="3" t="n">
        <f aca="false">(X698*(V698/100)*((W698+T698)/1000))*1000</f>
        <v>0.5494125</v>
      </c>
    </row>
    <row r="699" customFormat="false" ht="15" hidden="false" customHeight="false" outlineLevel="0" collapsed="false">
      <c r="A699" s="0" t="s">
        <v>82</v>
      </c>
      <c r="B699" s="0" t="s">
        <v>83</v>
      </c>
      <c r="C699" s="0" t="s">
        <v>81</v>
      </c>
      <c r="D699" s="0" t="s">
        <v>142</v>
      </c>
      <c r="E699" s="0" t="n">
        <v>15</v>
      </c>
      <c r="F699" s="0" t="n">
        <v>0</v>
      </c>
      <c r="G699" s="0" t="n">
        <v>6</v>
      </c>
      <c r="H699" s="0" t="n">
        <v>28</v>
      </c>
      <c r="I699" s="0" t="n">
        <v>0</v>
      </c>
      <c r="J699" s="0" t="n">
        <f aca="false">(I699/32)*5</f>
        <v>0</v>
      </c>
      <c r="L699" s="0" t="n">
        <v>0</v>
      </c>
      <c r="M699" s="0" t="n">
        <v>0</v>
      </c>
      <c r="N699" s="0" t="n">
        <f aca="false">L699</f>
        <v>0</v>
      </c>
      <c r="O699" s="3" t="n">
        <v>0</v>
      </c>
      <c r="P699" s="3" t="n">
        <f aca="false">(O699*(N699/100)*(J699/1000))*1000</f>
        <v>0</v>
      </c>
      <c r="Q699" s="3"/>
      <c r="R699" s="3" t="n">
        <v>1</v>
      </c>
      <c r="S699" s="3" t="n">
        <v>7.2</v>
      </c>
      <c r="T699" s="0" t="n">
        <f aca="false">(S699/32)*5</f>
        <v>1.125</v>
      </c>
      <c r="V699" s="0" t="n">
        <v>19</v>
      </c>
      <c r="W699" s="0" t="n">
        <v>4</v>
      </c>
      <c r="X699" s="3" t="n">
        <f aca="false">LOOKUP(V699,$AB$3:$AC$123)</f>
        <v>1.0765</v>
      </c>
      <c r="Y699" s="2" t="n">
        <f aca="false">(V699*((W699+T699)/1000)*X699)/((((W699+T699)/1000)*X699)-((W699/1000)*0.9982))</f>
        <v>68.7704299620308</v>
      </c>
      <c r="Z699" s="3" t="n">
        <f aca="false">(X699*(V699/100)*((W699+T699)/1000))*1000</f>
        <v>1.048241875</v>
      </c>
    </row>
    <row r="700" customFormat="false" ht="15" hidden="false" customHeight="false" outlineLevel="0" collapsed="false">
      <c r="A700" s="0" t="s">
        <v>84</v>
      </c>
      <c r="B700" s="0" t="s">
        <v>85</v>
      </c>
      <c r="C700" s="0" t="s">
        <v>81</v>
      </c>
      <c r="D700" s="0" t="s">
        <v>142</v>
      </c>
      <c r="E700" s="0" t="n">
        <v>15</v>
      </c>
      <c r="F700" s="0" t="n">
        <v>0</v>
      </c>
      <c r="G700" s="0" t="n">
        <v>7</v>
      </c>
      <c r="H700" s="0" t="n">
        <v>52</v>
      </c>
      <c r="I700" s="0" t="n">
        <v>0</v>
      </c>
      <c r="J700" s="0" t="n">
        <f aca="false">(I700/32)*5</f>
        <v>0</v>
      </c>
      <c r="L700" s="0" t="n">
        <v>0</v>
      </c>
      <c r="M700" s="0" t="n">
        <v>0</v>
      </c>
      <c r="N700" s="0" t="n">
        <f aca="false">L700</f>
        <v>0</v>
      </c>
      <c r="O700" s="3" t="n">
        <v>0</v>
      </c>
      <c r="P700" s="3" t="n">
        <f aca="false">(O700*(N700/100)*(J700/1000))*1000</f>
        <v>0</v>
      </c>
      <c r="Q700" s="3"/>
      <c r="R700" s="3" t="n">
        <v>1</v>
      </c>
      <c r="S700" s="3" t="n">
        <v>1.6</v>
      </c>
      <c r="T700" s="0" t="n">
        <f aca="false">(S700/32)*5</f>
        <v>0.25</v>
      </c>
      <c r="V700" s="0" t="n">
        <v>11</v>
      </c>
      <c r="W700" s="0" t="n">
        <v>4</v>
      </c>
      <c r="X700" s="3" t="n">
        <f aca="false">LOOKUP(V700,$AB$3:$AC$123)</f>
        <v>1.0423</v>
      </c>
      <c r="Y700" s="2" t="n">
        <f aca="false">(V700*((W700+T700)/1000)*X700)/((((W700+T700)/1000)*X700)-((W700/1000)*0.9982))</f>
        <v>111.511013215859</v>
      </c>
      <c r="Z700" s="3" t="n">
        <f aca="false">(X700*(V700/100)*((W700+T700)/1000))*1000</f>
        <v>0.48727525</v>
      </c>
    </row>
    <row r="701" customFormat="false" ht="15" hidden="false" customHeight="false" outlineLevel="0" collapsed="false">
      <c r="A701" s="0" t="s">
        <v>86</v>
      </c>
      <c r="B701" s="0" t="s">
        <v>87</v>
      </c>
      <c r="C701" s="0" t="s">
        <v>81</v>
      </c>
      <c r="D701" s="0" t="s">
        <v>142</v>
      </c>
      <c r="E701" s="0" t="n">
        <v>15</v>
      </c>
      <c r="F701" s="0" t="n">
        <v>0</v>
      </c>
      <c r="G701" s="0" t="n">
        <v>11</v>
      </c>
      <c r="H701" s="0" t="n">
        <v>71</v>
      </c>
      <c r="I701" s="0" t="n">
        <v>0</v>
      </c>
      <c r="J701" s="0" t="n">
        <f aca="false">(I701/32)*5</f>
        <v>0</v>
      </c>
      <c r="L701" s="0" t="n">
        <v>0</v>
      </c>
      <c r="M701" s="0" t="n">
        <v>0</v>
      </c>
      <c r="N701" s="0" t="n">
        <f aca="false">L701</f>
        <v>0</v>
      </c>
      <c r="O701" s="3" t="n">
        <v>0</v>
      </c>
      <c r="P701" s="3" t="n">
        <f aca="false">(O701*(N701/100)*(J701/1000))*1000</f>
        <v>0</v>
      </c>
      <c r="Q701" s="3"/>
      <c r="R701" s="3" t="n">
        <v>3</v>
      </c>
      <c r="S701" s="3" t="n">
        <v>8.6</v>
      </c>
      <c r="T701" s="0" t="n">
        <f aca="false">(S701/32)*5</f>
        <v>1.34375</v>
      </c>
      <c r="V701" s="0" t="n">
        <v>20.5</v>
      </c>
      <c r="W701" s="0" t="n">
        <v>4</v>
      </c>
      <c r="X701" s="3" t="n">
        <f aca="false">LOOKUP(V701,$AB$3:$AC$123)</f>
        <v>1.083225</v>
      </c>
      <c r="Y701" s="2" t="n">
        <f aca="false">(V701*((W701+T701)/1000)*X701)/((((W701+T701)/1000)*X701)-((W701/1000)*0.9982))</f>
        <v>66.0828634203113</v>
      </c>
      <c r="Z701" s="3" t="n">
        <f aca="false">(X701*(V701/100)*((W701+T701)/1000))*1000</f>
        <v>1.18663913671875</v>
      </c>
    </row>
    <row r="702" customFormat="false" ht="15" hidden="false" customHeight="false" outlineLevel="0" collapsed="false">
      <c r="A702" s="0" t="s">
        <v>88</v>
      </c>
      <c r="B702" s="0" t="s">
        <v>89</v>
      </c>
      <c r="C702" s="0" t="s">
        <v>81</v>
      </c>
      <c r="D702" s="0" t="s">
        <v>142</v>
      </c>
      <c r="E702" s="0" t="n">
        <v>15</v>
      </c>
      <c r="F702" s="0" t="n">
        <v>2</v>
      </c>
      <c r="G702" s="0" t="n">
        <v>11</v>
      </c>
      <c r="H702" s="0" t="n">
        <v>69</v>
      </c>
      <c r="I702" s="0" t="n">
        <v>28.8</v>
      </c>
      <c r="J702" s="0" t="n">
        <f aca="false">(I702/32)*5</f>
        <v>4.5</v>
      </c>
      <c r="L702" s="0" t="n">
        <v>26</v>
      </c>
      <c r="M702" s="0" t="n">
        <v>0</v>
      </c>
      <c r="N702" s="0" t="n">
        <f aca="false">L702</f>
        <v>26</v>
      </c>
      <c r="O702" s="3" t="n">
        <f aca="false">LOOKUP(L702,$AB$3:$AC$123)</f>
        <v>1.1081</v>
      </c>
      <c r="P702" s="3" t="n">
        <f aca="false">(O702*(N702/100)*(J702/1000))*1000</f>
        <v>1.296477</v>
      </c>
      <c r="Q702" s="3"/>
      <c r="R702" s="3" t="n">
        <v>3</v>
      </c>
      <c r="S702" s="3" t="n">
        <v>5.2</v>
      </c>
      <c r="T702" s="0" t="n">
        <f aca="false">(S702/32)*5</f>
        <v>0.8125</v>
      </c>
      <c r="V702" s="0" t="n">
        <v>12.5</v>
      </c>
      <c r="W702" s="0" t="n">
        <v>4</v>
      </c>
      <c r="X702" s="3" t="n">
        <f aca="false">LOOKUP(V702,$AB$3:$AC$123)</f>
        <v>1.0486</v>
      </c>
      <c r="Y702" s="2" t="n">
        <f aca="false">(V702*((W702+T702)/1000)*X702)/((((W702+T702)/1000)*X702)-((W702/1000)*0.9982))</f>
        <v>59.8714807740221</v>
      </c>
      <c r="Z702" s="3" t="n">
        <f aca="false">(X702*(V702/100)*((W702+T702)/1000))*1000</f>
        <v>0.6307984375</v>
      </c>
    </row>
    <row r="703" customFormat="false" ht="15" hidden="false" customHeight="false" outlineLevel="0" collapsed="false">
      <c r="A703" s="0" t="s">
        <v>90</v>
      </c>
      <c r="B703" s="0" t="s">
        <v>91</v>
      </c>
      <c r="C703" s="0" t="s">
        <v>81</v>
      </c>
      <c r="D703" s="0" t="s">
        <v>142</v>
      </c>
      <c r="E703" s="0" t="n">
        <v>15</v>
      </c>
      <c r="F703" s="0" t="n">
        <v>1</v>
      </c>
      <c r="G703" s="0" t="n">
        <v>8</v>
      </c>
      <c r="H703" s="0" t="n">
        <v>40</v>
      </c>
      <c r="I703" s="0" t="n">
        <f aca="false">28.3+21.1</f>
        <v>49.4</v>
      </c>
      <c r="J703" s="0" t="n">
        <f aca="false">(I703/32)*5</f>
        <v>7.71875</v>
      </c>
      <c r="L703" s="0" t="n">
        <v>22</v>
      </c>
      <c r="M703" s="0" t="n">
        <v>0</v>
      </c>
      <c r="N703" s="0" t="n">
        <f aca="false">L703</f>
        <v>22</v>
      </c>
      <c r="O703" s="3" t="n">
        <f aca="false">LOOKUP(L703,$AB$3:$AC$123)</f>
        <v>1.0899</v>
      </c>
      <c r="P703" s="3" t="n">
        <f aca="false">(O703*(N703/100)*(J703/1000))*1000</f>
        <v>1.8507864375</v>
      </c>
      <c r="Q703" s="3"/>
      <c r="R703" s="3" t="n">
        <v>2</v>
      </c>
      <c r="S703" s="3" t="n">
        <v>2.9</v>
      </c>
      <c r="T703" s="0" t="n">
        <f aca="false">(S703/32)*5</f>
        <v>0.453125</v>
      </c>
      <c r="V703" s="0" t="n">
        <v>7</v>
      </c>
      <c r="W703" s="0" t="n">
        <v>4</v>
      </c>
      <c r="X703" s="3" t="n">
        <f aca="false">LOOKUP(V703,$AB$3:$AC$123)</f>
        <v>1.0259</v>
      </c>
      <c r="Y703" s="2" t="n">
        <f aca="false">(V703*((W703+T703)/1000)*X703)/((((W703+T703)/1000)*X703)-((W703/1000)*0.9982))</f>
        <v>55.5521913669886</v>
      </c>
      <c r="Z703" s="3" t="n">
        <f aca="false">(X703*(V703/100)*((W703+T703)/1000))*1000</f>
        <v>0.319792265625</v>
      </c>
    </row>
    <row r="704" customFormat="false" ht="15" hidden="false" customHeight="false" outlineLevel="0" collapsed="false">
      <c r="A704" s="0" t="s">
        <v>92</v>
      </c>
      <c r="B704" s="0" t="s">
        <v>93</v>
      </c>
      <c r="C704" s="0" t="s">
        <v>81</v>
      </c>
      <c r="D704" s="0" t="s">
        <v>142</v>
      </c>
      <c r="E704" s="0" t="n">
        <v>15</v>
      </c>
      <c r="F704" s="0" t="n">
        <v>1</v>
      </c>
      <c r="G704" s="0" t="n">
        <v>15</v>
      </c>
      <c r="H704" s="0" t="n">
        <v>71</v>
      </c>
      <c r="I704" s="0" t="n">
        <v>20.8</v>
      </c>
      <c r="J704" s="0" t="n">
        <f aca="false">(I704/32)*5</f>
        <v>3.25</v>
      </c>
      <c r="L704" s="0" t="n">
        <v>26.5</v>
      </c>
      <c r="M704" s="0" t="n">
        <v>0</v>
      </c>
      <c r="N704" s="0" t="n">
        <f aca="false">L704</f>
        <v>26.5</v>
      </c>
      <c r="O704" s="3" t="n">
        <f aca="false">LOOKUP(L704,$AB$3:$AC$123)</f>
        <v>1.11045</v>
      </c>
      <c r="P704" s="3" t="n">
        <f aca="false">(O704*(N704/100)*(J704/1000))*1000</f>
        <v>0.9563750625</v>
      </c>
      <c r="Q704" s="3"/>
      <c r="R704" s="3" t="n">
        <v>4</v>
      </c>
      <c r="S704" s="3" t="n">
        <v>9.6</v>
      </c>
      <c r="T704" s="0" t="n">
        <f aca="false">(S704/32)*5</f>
        <v>1.5</v>
      </c>
      <c r="V704" s="0" t="n">
        <v>17.5</v>
      </c>
      <c r="W704" s="0" t="n">
        <v>4</v>
      </c>
      <c r="X704" s="3" t="n">
        <f aca="false">LOOKUP(V704,$AB$3:$AC$123)</f>
        <v>1.07</v>
      </c>
      <c r="Y704" s="2" t="n">
        <f aca="false">(V704*((W704+T704)/1000)*X704)/((((W704+T704)/1000)*X704)-((W704/1000)*0.9982))</f>
        <v>54.4273861114047</v>
      </c>
      <c r="Z704" s="3" t="n">
        <f aca="false">(X704*(V704/100)*((W704+T704)/1000))*1000</f>
        <v>1.029875</v>
      </c>
    </row>
    <row r="705" customFormat="false" ht="15" hidden="false" customHeight="false" outlineLevel="0" collapsed="false">
      <c r="A705" s="0" t="s">
        <v>94</v>
      </c>
      <c r="B705" s="0" t="s">
        <v>95</v>
      </c>
      <c r="C705" s="0" t="s">
        <v>81</v>
      </c>
      <c r="D705" s="0" t="s">
        <v>142</v>
      </c>
      <c r="E705" s="0" t="n">
        <v>15</v>
      </c>
      <c r="F705" s="0" t="n">
        <v>0</v>
      </c>
      <c r="G705" s="0" t="n">
        <v>17</v>
      </c>
      <c r="H705" s="0" t="n">
        <v>87</v>
      </c>
      <c r="I705" s="0" t="n">
        <v>0</v>
      </c>
      <c r="J705" s="0" t="n">
        <f aca="false">(I705/32)*5</f>
        <v>0</v>
      </c>
      <c r="L705" s="0" t="n">
        <v>0</v>
      </c>
      <c r="M705" s="0" t="n">
        <v>0</v>
      </c>
      <c r="N705" s="0" t="n">
        <f aca="false">L705</f>
        <v>0</v>
      </c>
      <c r="O705" s="3" t="n">
        <v>0</v>
      </c>
      <c r="P705" s="3" t="n">
        <f aca="false">(O705*(N705/100)*(J705/1000))*1000</f>
        <v>0</v>
      </c>
      <c r="Q705" s="3"/>
      <c r="R705" s="3" t="n">
        <v>8</v>
      </c>
      <c r="S705" s="3" t="n">
        <v>24</v>
      </c>
      <c r="T705" s="0" t="n">
        <f aca="false">(S705/32)*5</f>
        <v>3.75</v>
      </c>
      <c r="V705" s="0" t="n">
        <v>36.5</v>
      </c>
      <c r="W705" s="0" t="n">
        <v>4</v>
      </c>
      <c r="X705" s="3" t="n">
        <f aca="false">LOOKUP(V705,$AB$3:$AC$123)</f>
        <v>1.158725</v>
      </c>
      <c r="Y705" s="2" t="n">
        <f aca="false">(V705*((W705+T705)/1000)*X705)/((((W705+T705)/1000)*X705)-((W705/1000)*0.9982))</f>
        <v>65.7215531642127</v>
      </c>
      <c r="Z705" s="3" t="n">
        <f aca="false">(X705*(V705/100)*((W705+T705)/1000))*1000</f>
        <v>3.27774334375</v>
      </c>
    </row>
    <row r="706" customFormat="false" ht="15" hidden="false" customHeight="false" outlineLevel="0" collapsed="false">
      <c r="A706" s="0" t="s">
        <v>96</v>
      </c>
      <c r="B706" s="0" t="s">
        <v>97</v>
      </c>
      <c r="C706" s="0" t="s">
        <v>81</v>
      </c>
      <c r="D706" s="0" t="s">
        <v>142</v>
      </c>
      <c r="E706" s="0" t="n">
        <v>15</v>
      </c>
      <c r="F706" s="0" t="n">
        <v>1</v>
      </c>
      <c r="G706" s="0" t="n">
        <v>6</v>
      </c>
      <c r="H706" s="0" t="n">
        <v>38</v>
      </c>
      <c r="I706" s="0" t="n">
        <v>44.2</v>
      </c>
      <c r="J706" s="0" t="n">
        <f aca="false">(I706/32)*5</f>
        <v>6.90625</v>
      </c>
      <c r="L706" s="0" t="n">
        <v>23.5</v>
      </c>
      <c r="M706" s="0" t="n">
        <v>0</v>
      </c>
      <c r="N706" s="0" t="n">
        <f aca="false">L706</f>
        <v>23.5</v>
      </c>
      <c r="O706" s="3" t="n">
        <f aca="false">LOOKUP(L706,$AB$3:$AC$123)</f>
        <v>1.096725</v>
      </c>
      <c r="P706" s="3" t="n">
        <f aca="false">(O706*(N706/100)*(J706/1000))*1000</f>
        <v>1.77995040234375</v>
      </c>
      <c r="Q706" s="3"/>
      <c r="R706" s="3" t="n">
        <v>1</v>
      </c>
      <c r="S706" s="3" t="n">
        <v>0.8</v>
      </c>
      <c r="T706" s="0" t="n">
        <f aca="false">(S706/32)*5</f>
        <v>0.125</v>
      </c>
      <c r="V706" s="0" t="n">
        <v>6</v>
      </c>
      <c r="W706" s="0" t="n">
        <v>1</v>
      </c>
      <c r="X706" s="3" t="n">
        <f aca="false">LOOKUP(V706,$AB$3:$AC$123)</f>
        <v>1.0218</v>
      </c>
      <c r="Y706" s="2" t="n">
        <f aca="false">(V706*((W706+T706)/1000)*X706)/((((W706+T706)/1000)*X706)-((W706/1000)*0.9982))</f>
        <v>45.5783908805551</v>
      </c>
      <c r="Z706" s="3" t="n">
        <f aca="false">(X706*(V706/100)*((W706+T706)/1000))*1000</f>
        <v>0.0689715</v>
      </c>
    </row>
    <row r="707" customFormat="false" ht="15" hidden="false" customHeight="false" outlineLevel="0" collapsed="false">
      <c r="A707" s="0" t="s">
        <v>98</v>
      </c>
      <c r="B707" s="0" t="s">
        <v>99</v>
      </c>
      <c r="C707" s="0" t="s">
        <v>81</v>
      </c>
      <c r="D707" s="0" t="s">
        <v>142</v>
      </c>
      <c r="E707" s="0" t="n">
        <v>15</v>
      </c>
      <c r="F707" s="0" t="n">
        <v>1</v>
      </c>
      <c r="G707" s="0" t="n">
        <v>8</v>
      </c>
      <c r="H707" s="0" t="n">
        <v>66</v>
      </c>
      <c r="I707" s="0" t="n">
        <v>24.2</v>
      </c>
      <c r="J707" s="0" t="n">
        <f aca="false">(I707/32)*5</f>
        <v>3.78125</v>
      </c>
      <c r="L707" s="0" t="n">
        <v>27</v>
      </c>
      <c r="M707" s="0" t="n">
        <v>0</v>
      </c>
      <c r="N707" s="0" t="n">
        <f aca="false">L707</f>
        <v>27</v>
      </c>
      <c r="O707" s="3" t="n">
        <f aca="false">LOOKUP(L707,$AB$3:$AC$123)</f>
        <v>1.1128</v>
      </c>
      <c r="P707" s="3" t="n">
        <f aca="false">(O707*(N707/100)*(J707/1000))*1000</f>
        <v>1.13609925</v>
      </c>
      <c r="Q707" s="3"/>
      <c r="R707" s="3" t="n">
        <v>3</v>
      </c>
      <c r="S707" s="3" t="n">
        <v>11.2</v>
      </c>
      <c r="T707" s="0" t="n">
        <f aca="false">(S707/32)*5</f>
        <v>1.75</v>
      </c>
      <c r="V707" s="0" t="n">
        <v>16.5</v>
      </c>
      <c r="W707" s="0" t="n">
        <v>4</v>
      </c>
      <c r="X707" s="3" t="n">
        <f aca="false">LOOKUP(V707,$AB$3:$AC$123)</f>
        <v>1.06565</v>
      </c>
      <c r="Y707" s="2" t="n">
        <f aca="false">(V707*((W707+T707)/1000)*X707)/((((W707+T707)/1000)*X707)-((W707/1000)*0.9982))</f>
        <v>47.3622222222222</v>
      </c>
      <c r="Z707" s="3" t="n">
        <f aca="false">(X707*(V707/100)*((W707+T707)/1000))*1000</f>
        <v>1.0110354375</v>
      </c>
    </row>
    <row r="708" customFormat="false" ht="15" hidden="false" customHeight="false" outlineLevel="0" collapsed="false">
      <c r="A708" s="0" t="s">
        <v>100</v>
      </c>
      <c r="B708" s="0" t="s">
        <v>101</v>
      </c>
      <c r="C708" s="0" t="s">
        <v>81</v>
      </c>
      <c r="D708" s="0" t="s">
        <v>142</v>
      </c>
      <c r="E708" s="0" t="n">
        <v>15</v>
      </c>
      <c r="F708" s="0" t="n">
        <v>1</v>
      </c>
      <c r="G708" s="0" t="n">
        <v>3</v>
      </c>
      <c r="H708" s="0" t="n">
        <v>35</v>
      </c>
      <c r="I708" s="0" t="n">
        <v>28.6</v>
      </c>
      <c r="J708" s="0" t="n">
        <f aca="false">(I708/32)*5</f>
        <v>4.46875</v>
      </c>
      <c r="L708" s="0" t="n">
        <v>24</v>
      </c>
      <c r="M708" s="0" t="n">
        <v>0</v>
      </c>
      <c r="N708" s="0" t="n">
        <f aca="false">L708</f>
        <v>24</v>
      </c>
      <c r="O708" s="3" t="n">
        <f aca="false">LOOKUP(L708,$AB$3:$AC$123)</f>
        <v>1.099</v>
      </c>
      <c r="P708" s="3" t="n">
        <f aca="false">(O708*(N708/100)*(J708/1000))*1000</f>
        <v>1.1786775</v>
      </c>
      <c r="Q708" s="3"/>
      <c r="R708" s="3" t="n">
        <v>1</v>
      </c>
      <c r="S708" s="3" t="n">
        <v>2.4</v>
      </c>
      <c r="T708" s="0" t="n">
        <f aca="false">(S708/32)*5</f>
        <v>0.375</v>
      </c>
      <c r="V708" s="0" t="n">
        <v>1.5</v>
      </c>
      <c r="W708" s="0" t="n">
        <v>4</v>
      </c>
      <c r="X708" s="3" t="n">
        <f aca="false">LOOKUP(V708,$AB$3:$AC$123)</f>
        <v>1.00405</v>
      </c>
      <c r="Y708" s="2" t="n">
        <f aca="false">(V708*((W708+T708)/1000)*X708)/((((W708+T708)/1000)*X708)-((W708/1000)*0.9982))</f>
        <v>16.476042008533</v>
      </c>
      <c r="Z708" s="3" t="n">
        <f aca="false">(X708*(V708/100)*((W708+T708)/1000))*1000</f>
        <v>0.06589078125</v>
      </c>
    </row>
    <row r="709" customFormat="false" ht="15" hidden="false" customHeight="false" outlineLevel="0" collapsed="false">
      <c r="A709" s="0" t="s">
        <v>102</v>
      </c>
      <c r="B709" s="0" t="s">
        <v>103</v>
      </c>
      <c r="C709" s="0" t="s">
        <v>81</v>
      </c>
      <c r="D709" s="0" t="s">
        <v>142</v>
      </c>
      <c r="E709" s="0" t="n">
        <v>15</v>
      </c>
      <c r="F709" s="0" t="n">
        <v>0</v>
      </c>
      <c r="G709" s="0" t="n">
        <v>9</v>
      </c>
      <c r="H709" s="0" t="n">
        <v>54</v>
      </c>
      <c r="I709" s="3" t="n">
        <v>0</v>
      </c>
      <c r="J709" s="0" t="n">
        <f aca="false">(I709/32)*5</f>
        <v>0</v>
      </c>
      <c r="L709" s="3" t="n">
        <v>0</v>
      </c>
      <c r="M709" s="0" t="n">
        <v>0</v>
      </c>
      <c r="N709" s="0" t="n">
        <f aca="false">L709</f>
        <v>0</v>
      </c>
      <c r="O709" s="3" t="n">
        <v>0</v>
      </c>
      <c r="P709" s="3" t="n">
        <f aca="false">(O709*(N709/100)*(J709/1000))*1000</f>
        <v>0</v>
      </c>
      <c r="Q709" s="3"/>
      <c r="R709" s="3" t="n">
        <v>0</v>
      </c>
      <c r="S709" s="3" t="n">
        <v>0.5</v>
      </c>
      <c r="T709" s="0" t="n">
        <f aca="false">(S709/32)*5</f>
        <v>0.078125</v>
      </c>
      <c r="V709" s="0" t="n">
        <v>3.5</v>
      </c>
      <c r="W709" s="0" t="n">
        <v>1</v>
      </c>
      <c r="X709" s="3" t="n">
        <f aca="false">LOOKUP(V709,$AB$3:$AC$123)</f>
        <v>1.0119</v>
      </c>
      <c r="Y709" s="2" t="n">
        <f aca="false">(V709*((W709+T709)/1000)*X709)/((((W709+T709)/1000)*X709)-((W709/1000)*0.9982))</f>
        <v>41.1660209221232</v>
      </c>
      <c r="Z709" s="3" t="n">
        <f aca="false">(X709*(V709/100)*((W709+T709)/1000))*1000</f>
        <v>0.0381834140625</v>
      </c>
    </row>
    <row r="710" customFormat="false" ht="15" hidden="false" customHeight="false" outlineLevel="0" collapsed="false">
      <c r="A710" s="0" t="s">
        <v>104</v>
      </c>
      <c r="B710" s="0" t="s">
        <v>105</v>
      </c>
      <c r="C710" s="0" t="s">
        <v>106</v>
      </c>
      <c r="D710" s="0" t="s">
        <v>142</v>
      </c>
      <c r="E710" s="0" t="n">
        <v>15</v>
      </c>
      <c r="F710" s="0" t="n">
        <v>1</v>
      </c>
      <c r="G710" s="0" t="n">
        <v>6</v>
      </c>
      <c r="H710" s="0" t="n">
        <v>53</v>
      </c>
      <c r="I710" s="1"/>
      <c r="J710" s="1"/>
      <c r="K710" s="1"/>
      <c r="L710" s="1"/>
      <c r="M710" s="1"/>
      <c r="N710" s="1"/>
      <c r="O710" s="1"/>
      <c r="P710" s="1"/>
      <c r="Q710" s="1"/>
      <c r="R710" s="3" t="n">
        <v>9</v>
      </c>
      <c r="S710" s="1"/>
      <c r="T710" s="1"/>
      <c r="U710" s="1"/>
      <c r="V710" s="1"/>
      <c r="W710" s="1"/>
      <c r="X710" s="1"/>
      <c r="Y710" s="5"/>
      <c r="Z710" s="1"/>
    </row>
    <row r="711" customFormat="false" ht="15" hidden="false" customHeight="false" outlineLevel="0" collapsed="false">
      <c r="A711" s="0" t="s">
        <v>107</v>
      </c>
      <c r="B711" s="0" t="s">
        <v>37</v>
      </c>
      <c r="C711" s="0" t="s">
        <v>106</v>
      </c>
      <c r="D711" s="0" t="s">
        <v>142</v>
      </c>
      <c r="E711" s="0" t="n">
        <v>15</v>
      </c>
      <c r="F711" s="0" t="n">
        <v>0</v>
      </c>
      <c r="G711" s="0" t="n">
        <v>3</v>
      </c>
      <c r="H711" s="0" t="n">
        <v>35</v>
      </c>
      <c r="I711" s="1"/>
      <c r="J711" s="1"/>
      <c r="K711" s="1"/>
      <c r="L711" s="1"/>
      <c r="M711" s="1"/>
      <c r="N711" s="1"/>
      <c r="O711" s="1"/>
      <c r="P711" s="1"/>
      <c r="Q711" s="1"/>
      <c r="R711" s="3" t="n">
        <v>8</v>
      </c>
      <c r="S711" s="1"/>
      <c r="T711" s="1"/>
      <c r="U711" s="1"/>
      <c r="V711" s="1"/>
      <c r="W711" s="1"/>
      <c r="X711" s="1"/>
      <c r="Y711" s="5"/>
      <c r="Z711" s="1"/>
    </row>
    <row r="712" customFormat="false" ht="15" hidden="false" customHeight="false" outlineLevel="0" collapsed="false">
      <c r="A712" s="0" t="s">
        <v>108</v>
      </c>
      <c r="B712" s="0" t="s">
        <v>109</v>
      </c>
      <c r="C712" s="0" t="s">
        <v>106</v>
      </c>
      <c r="D712" s="0" t="s">
        <v>142</v>
      </c>
      <c r="E712" s="0" t="n">
        <v>15</v>
      </c>
      <c r="F712" s="0" t="n">
        <v>0</v>
      </c>
      <c r="G712" s="0" t="n">
        <v>5</v>
      </c>
      <c r="H712" s="0" t="n">
        <v>78</v>
      </c>
      <c r="I712" s="1"/>
      <c r="J712" s="1"/>
      <c r="K712" s="1"/>
      <c r="L712" s="1"/>
      <c r="M712" s="1"/>
      <c r="N712" s="1"/>
      <c r="O712" s="1"/>
      <c r="P712" s="1"/>
      <c r="Q712" s="1"/>
      <c r="R712" s="3" t="n">
        <v>9</v>
      </c>
      <c r="S712" s="1"/>
      <c r="T712" s="1"/>
      <c r="U712" s="1"/>
      <c r="V712" s="1"/>
      <c r="W712" s="1"/>
      <c r="X712" s="1"/>
      <c r="Y712" s="5"/>
      <c r="Z712" s="1"/>
    </row>
    <row r="713" customFormat="false" ht="15" hidden="false" customHeight="false" outlineLevel="0" collapsed="false">
      <c r="A713" s="0" t="s">
        <v>110</v>
      </c>
      <c r="B713" s="0" t="s">
        <v>111</v>
      </c>
      <c r="C713" s="0" t="s">
        <v>106</v>
      </c>
      <c r="D713" s="0" t="s">
        <v>142</v>
      </c>
      <c r="E713" s="0" t="n">
        <v>15</v>
      </c>
      <c r="F713" s="0" t="n">
        <v>0</v>
      </c>
      <c r="G713" s="0" t="n">
        <v>3</v>
      </c>
      <c r="H713" s="0" t="n">
        <v>52</v>
      </c>
      <c r="I713" s="1"/>
      <c r="J713" s="1"/>
      <c r="K713" s="1"/>
      <c r="L713" s="1"/>
      <c r="M713" s="1"/>
      <c r="N713" s="1"/>
      <c r="O713" s="1"/>
      <c r="P713" s="1"/>
      <c r="Q713" s="1"/>
      <c r="R713" s="3" t="n">
        <v>9</v>
      </c>
      <c r="S713" s="1"/>
      <c r="T713" s="1"/>
      <c r="U713" s="1"/>
      <c r="V713" s="1"/>
      <c r="W713" s="1"/>
      <c r="X713" s="1"/>
      <c r="Y713" s="5"/>
      <c r="Z713" s="1"/>
    </row>
    <row r="714" customFormat="false" ht="15" hidden="false" customHeight="false" outlineLevel="0" collapsed="false">
      <c r="A714" s="0" t="s">
        <v>112</v>
      </c>
      <c r="B714" s="0" t="s">
        <v>113</v>
      </c>
      <c r="C714" s="0" t="s">
        <v>106</v>
      </c>
      <c r="D714" s="0" t="s">
        <v>142</v>
      </c>
      <c r="E714" s="0" t="n">
        <v>15</v>
      </c>
      <c r="F714" s="0" t="n">
        <v>0</v>
      </c>
      <c r="G714" s="0" t="n">
        <v>7</v>
      </c>
      <c r="H714" s="0" t="n">
        <v>55</v>
      </c>
      <c r="I714" s="1"/>
      <c r="J714" s="1"/>
      <c r="K714" s="1"/>
      <c r="L714" s="1"/>
      <c r="M714" s="1"/>
      <c r="N714" s="1"/>
      <c r="O714" s="1"/>
      <c r="P714" s="1"/>
      <c r="Q714" s="1"/>
      <c r="R714" s="3" t="n">
        <v>8</v>
      </c>
      <c r="S714" s="1"/>
      <c r="T714" s="1"/>
      <c r="U714" s="1"/>
      <c r="V714" s="1"/>
      <c r="W714" s="1"/>
      <c r="X714" s="1"/>
      <c r="Y714" s="5"/>
      <c r="Z714" s="1"/>
    </row>
    <row r="715" customFormat="false" ht="15" hidden="false" customHeight="false" outlineLevel="0" collapsed="false">
      <c r="A715" s="0" t="s">
        <v>114</v>
      </c>
      <c r="B715" s="0" t="s">
        <v>115</v>
      </c>
      <c r="C715" s="0" t="s">
        <v>106</v>
      </c>
      <c r="D715" s="0" t="s">
        <v>142</v>
      </c>
      <c r="E715" s="0" t="n">
        <v>15</v>
      </c>
      <c r="F715" s="0" t="n">
        <v>1</v>
      </c>
      <c r="G715" s="0" t="n">
        <v>6</v>
      </c>
      <c r="H715" s="0" t="n">
        <v>43</v>
      </c>
      <c r="I715" s="1"/>
      <c r="J715" s="1"/>
      <c r="K715" s="1"/>
      <c r="L715" s="1"/>
      <c r="M715" s="1"/>
      <c r="N715" s="1"/>
      <c r="O715" s="1"/>
      <c r="P715" s="1"/>
      <c r="Q715" s="1"/>
      <c r="R715" s="3" t="n">
        <v>7</v>
      </c>
      <c r="S715" s="1"/>
      <c r="T715" s="1"/>
      <c r="U715" s="1"/>
      <c r="V715" s="1"/>
      <c r="W715" s="1"/>
      <c r="X715" s="1"/>
      <c r="Y715" s="5"/>
      <c r="Z715" s="1"/>
    </row>
    <row r="716" customFormat="false" ht="15" hidden="false" customHeight="false" outlineLevel="0" collapsed="false">
      <c r="A716" s="0" t="s">
        <v>116</v>
      </c>
      <c r="B716" s="0" t="s">
        <v>117</v>
      </c>
      <c r="C716" s="0" t="s">
        <v>106</v>
      </c>
      <c r="D716" s="0" t="s">
        <v>142</v>
      </c>
      <c r="E716" s="0" t="n">
        <v>15</v>
      </c>
      <c r="F716" s="0" t="n">
        <v>0</v>
      </c>
      <c r="G716" s="0" t="n">
        <v>4</v>
      </c>
      <c r="H716" s="0" t="n">
        <v>49</v>
      </c>
      <c r="I716" s="1"/>
      <c r="J716" s="1"/>
      <c r="K716" s="1"/>
      <c r="L716" s="1"/>
      <c r="M716" s="1"/>
      <c r="N716" s="1"/>
      <c r="O716" s="1"/>
      <c r="P716" s="1"/>
      <c r="Q716" s="1"/>
      <c r="R716" s="3" t="n">
        <v>7</v>
      </c>
      <c r="S716" s="1"/>
      <c r="T716" s="1"/>
      <c r="U716" s="1"/>
      <c r="V716" s="1"/>
      <c r="W716" s="1"/>
      <c r="X716" s="1"/>
      <c r="Y716" s="5"/>
      <c r="Z716" s="1"/>
    </row>
    <row r="717" customFormat="false" ht="15" hidden="false" customHeight="false" outlineLevel="0" collapsed="false">
      <c r="A717" s="0" t="s">
        <v>118</v>
      </c>
      <c r="B717" s="0" t="s">
        <v>119</v>
      </c>
      <c r="C717" s="0" t="s">
        <v>106</v>
      </c>
      <c r="D717" s="0" t="s">
        <v>142</v>
      </c>
      <c r="E717" s="0" t="n">
        <v>15</v>
      </c>
      <c r="F717" s="0" t="n">
        <v>1</v>
      </c>
      <c r="G717" s="0" t="n">
        <v>17</v>
      </c>
      <c r="H717" s="0" t="n">
        <v>85</v>
      </c>
      <c r="I717" s="1"/>
      <c r="J717" s="1"/>
      <c r="K717" s="1"/>
      <c r="L717" s="1"/>
      <c r="M717" s="1"/>
      <c r="N717" s="1"/>
      <c r="O717" s="1"/>
      <c r="P717" s="1"/>
      <c r="Q717" s="1"/>
      <c r="R717" s="3" t="n">
        <v>8</v>
      </c>
      <c r="S717" s="1"/>
      <c r="T717" s="1"/>
      <c r="U717" s="1"/>
      <c r="V717" s="1"/>
      <c r="W717" s="1"/>
      <c r="X717" s="1"/>
      <c r="Y717" s="5"/>
      <c r="Z717" s="1"/>
    </row>
    <row r="718" customFormat="false" ht="15" hidden="false" customHeight="false" outlineLevel="0" collapsed="false">
      <c r="A718" s="0" t="s">
        <v>120</v>
      </c>
      <c r="B718" s="0" t="s">
        <v>121</v>
      </c>
      <c r="C718" s="0" t="s">
        <v>106</v>
      </c>
      <c r="D718" s="0" t="s">
        <v>142</v>
      </c>
      <c r="E718" s="0" t="n">
        <v>15</v>
      </c>
      <c r="F718" s="0" t="n">
        <v>0</v>
      </c>
      <c r="G718" s="0" t="n">
        <v>2</v>
      </c>
      <c r="H718" s="0" t="n">
        <v>52</v>
      </c>
      <c r="I718" s="1"/>
      <c r="J718" s="1"/>
      <c r="K718" s="1"/>
      <c r="L718" s="1"/>
      <c r="M718" s="1"/>
      <c r="N718" s="1"/>
      <c r="O718" s="1"/>
      <c r="P718" s="1"/>
      <c r="Q718" s="1"/>
      <c r="R718" s="3" t="n">
        <v>12</v>
      </c>
      <c r="S718" s="1"/>
      <c r="T718" s="1"/>
      <c r="U718" s="1"/>
      <c r="V718" s="1"/>
      <c r="W718" s="1"/>
      <c r="X718" s="1"/>
      <c r="Y718" s="5"/>
      <c r="Z718" s="1"/>
    </row>
    <row r="719" customFormat="false" ht="15" hidden="false" customHeight="false" outlineLevel="0" collapsed="false">
      <c r="A719" s="0" t="s">
        <v>122</v>
      </c>
      <c r="B719" s="0" t="s">
        <v>123</v>
      </c>
      <c r="C719" s="0" t="s">
        <v>106</v>
      </c>
      <c r="D719" s="0" t="s">
        <v>142</v>
      </c>
      <c r="E719" s="0" t="n">
        <v>15</v>
      </c>
      <c r="F719" s="0" t="n">
        <v>0</v>
      </c>
      <c r="G719" s="0" t="n">
        <v>4</v>
      </c>
      <c r="H719" s="0" t="n">
        <v>45</v>
      </c>
      <c r="I719" s="1"/>
      <c r="J719" s="1"/>
      <c r="K719" s="1"/>
      <c r="L719" s="1"/>
      <c r="M719" s="1"/>
      <c r="N719" s="1"/>
      <c r="O719" s="1"/>
      <c r="P719" s="1"/>
      <c r="Q719" s="1"/>
      <c r="R719" s="3" t="n">
        <v>10</v>
      </c>
      <c r="S719" s="1"/>
      <c r="T719" s="1"/>
      <c r="U719" s="1"/>
      <c r="V719" s="1"/>
      <c r="W719" s="1"/>
      <c r="X719" s="1"/>
      <c r="Y719" s="5"/>
      <c r="Z719" s="1"/>
    </row>
    <row r="720" customFormat="false" ht="15" hidden="false" customHeight="false" outlineLevel="0" collapsed="false">
      <c r="A720" s="0" t="s">
        <v>124</v>
      </c>
      <c r="B720" s="0" t="s">
        <v>125</v>
      </c>
      <c r="C720" s="0" t="s">
        <v>106</v>
      </c>
      <c r="D720" s="0" t="s">
        <v>142</v>
      </c>
      <c r="E720" s="0" t="n">
        <v>15</v>
      </c>
      <c r="F720" s="0" t="n">
        <v>0</v>
      </c>
      <c r="G720" s="0" t="n">
        <v>3</v>
      </c>
      <c r="H720" s="0" t="n">
        <v>58</v>
      </c>
      <c r="I720" s="1"/>
      <c r="J720" s="1"/>
      <c r="K720" s="1"/>
      <c r="L720" s="1"/>
      <c r="M720" s="1"/>
      <c r="N720" s="1"/>
      <c r="O720" s="1"/>
      <c r="P720" s="1"/>
      <c r="Q720" s="1"/>
      <c r="R720" s="3" t="n">
        <v>8</v>
      </c>
      <c r="S720" s="1"/>
      <c r="T720" s="1"/>
      <c r="U720" s="1"/>
      <c r="V720" s="1"/>
      <c r="W720" s="1"/>
      <c r="X720" s="1"/>
      <c r="Y720" s="5"/>
      <c r="Z720" s="1"/>
    </row>
    <row r="721" customFormat="false" ht="15" hidden="false" customHeight="false" outlineLevel="0" collapsed="false">
      <c r="A721" s="0" t="s">
        <v>126</v>
      </c>
      <c r="B721" s="0" t="s">
        <v>127</v>
      </c>
      <c r="C721" s="0" t="s">
        <v>106</v>
      </c>
      <c r="D721" s="0" t="s">
        <v>142</v>
      </c>
      <c r="E721" s="0" t="n">
        <v>15</v>
      </c>
      <c r="F721" s="0" t="n">
        <v>0</v>
      </c>
      <c r="G721" s="0" t="n">
        <v>7</v>
      </c>
      <c r="H721" s="0" t="n">
        <v>55</v>
      </c>
      <c r="I721" s="1"/>
      <c r="J721" s="1"/>
      <c r="K721" s="1"/>
      <c r="L721" s="1"/>
      <c r="M721" s="1"/>
      <c r="N721" s="1"/>
      <c r="O721" s="1"/>
      <c r="P721" s="1"/>
      <c r="Q721" s="1"/>
      <c r="R721" s="3" t="n">
        <v>11</v>
      </c>
      <c r="S721" s="1"/>
      <c r="T721" s="1"/>
      <c r="U721" s="1"/>
      <c r="V721" s="1"/>
      <c r="W721" s="1"/>
      <c r="X721" s="1"/>
      <c r="Y721" s="5"/>
      <c r="Z721" s="1"/>
    </row>
    <row r="722" customFormat="false" ht="15" hidden="false" customHeight="false" outlineLevel="0" collapsed="false">
      <c r="A722" s="0" t="s">
        <v>26</v>
      </c>
      <c r="B722" s="0" t="s">
        <v>27</v>
      </c>
      <c r="C722" s="0" t="s">
        <v>28</v>
      </c>
      <c r="D722" s="0" t="s">
        <v>143</v>
      </c>
      <c r="E722" s="0" t="n">
        <v>16</v>
      </c>
      <c r="F722" s="0" t="n">
        <v>0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3" t="n">
        <v>1</v>
      </c>
      <c r="S722" s="0" t="n">
        <v>3.3</v>
      </c>
      <c r="T722" s="0" t="n">
        <f aca="false">(S722/32)*5</f>
        <v>0.515625</v>
      </c>
      <c r="V722" s="0" t="n">
        <v>9</v>
      </c>
      <c r="W722" s="0" t="n">
        <v>4</v>
      </c>
      <c r="X722" s="3" t="n">
        <f aca="false">LOOKUP(V722,$AB$3:$AC$123)</f>
        <v>1.0341</v>
      </c>
      <c r="Y722" s="2" t="n">
        <f aca="false">(V722*((W722+T722)/1000)*X722)/((((W722+T722)/1000)*X722)-((W722/1000)*0.9982))</f>
        <v>62.0951317882431</v>
      </c>
      <c r="Z722" s="3" t="n">
        <f aca="false">(X722*(V722/100)*((W722+T722)/1000))*1000</f>
        <v>0.420264703125</v>
      </c>
    </row>
    <row r="723" customFormat="false" ht="15" hidden="false" customHeight="false" outlineLevel="0" collapsed="false">
      <c r="A723" s="0" t="s">
        <v>32</v>
      </c>
      <c r="B723" s="0" t="s">
        <v>33</v>
      </c>
      <c r="C723" s="0" t="s">
        <v>28</v>
      </c>
      <c r="D723" s="0" t="s">
        <v>143</v>
      </c>
      <c r="E723" s="0" t="n">
        <v>16</v>
      </c>
      <c r="F723" s="0" t="n">
        <v>1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3" t="n">
        <v>4</v>
      </c>
      <c r="S723" s="0" t="n">
        <v>8.4</v>
      </c>
      <c r="T723" s="0" t="n">
        <f aca="false">(S723/32)*5</f>
        <v>1.3125</v>
      </c>
      <c r="V723" s="0" t="n">
        <v>20.5</v>
      </c>
      <c r="W723" s="0" t="n">
        <v>4</v>
      </c>
      <c r="X723" s="3" t="n">
        <f aca="false">LOOKUP(V723,$AB$3:$AC$123)</f>
        <v>1.083225</v>
      </c>
      <c r="Y723" s="2" t="n">
        <f aca="false">(V723*((W723+T723)/1000)*X723)/((((W723+T723)/1000)*X723)-((W723/1000)*0.9982))</f>
        <v>66.9586647605077</v>
      </c>
      <c r="Z723" s="3" t="n">
        <f aca="false">(X723*(V723/100)*((W723+T723)/1000))*1000</f>
        <v>1.1796997265625</v>
      </c>
    </row>
    <row r="724" customFormat="false" ht="15" hidden="false" customHeight="false" outlineLevel="0" collapsed="false">
      <c r="A724" s="0" t="s">
        <v>34</v>
      </c>
      <c r="B724" s="0" t="s">
        <v>35</v>
      </c>
      <c r="C724" s="0" t="s">
        <v>28</v>
      </c>
      <c r="D724" s="0" t="s">
        <v>143</v>
      </c>
      <c r="E724" s="0" t="n">
        <v>16</v>
      </c>
      <c r="F724" s="0" t="n">
        <v>0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3" t="n">
        <v>4</v>
      </c>
      <c r="S724" s="0" t="n">
        <v>12.3</v>
      </c>
      <c r="T724" s="0" t="n">
        <f aca="false">(S724/32)*5</f>
        <v>1.921875</v>
      </c>
      <c r="V724" s="0" t="n">
        <v>17.5</v>
      </c>
      <c r="W724" s="0" t="n">
        <v>4</v>
      </c>
      <c r="X724" s="3" t="n">
        <f aca="false">LOOKUP(V724,$AB$3:$AC$123)</f>
        <v>1.07</v>
      </c>
      <c r="Y724" s="2" t="n">
        <f aca="false">(V724*((W724+T724)/1000)*X724)/((((W724+T724)/1000)*X724)-((W724/1000)*0.9982))</f>
        <v>47.3147353037653</v>
      </c>
      <c r="Z724" s="3" t="n">
        <f aca="false">(X724*(V724/100)*((W724+T724)/1000))*1000</f>
        <v>1.10887109375</v>
      </c>
    </row>
    <row r="725" customFormat="false" ht="15" hidden="false" customHeight="false" outlineLevel="0" collapsed="false">
      <c r="A725" s="0" t="s">
        <v>36</v>
      </c>
      <c r="B725" s="0" t="s">
        <v>37</v>
      </c>
      <c r="C725" s="0" t="s">
        <v>28</v>
      </c>
      <c r="D725" s="0" t="s">
        <v>143</v>
      </c>
      <c r="E725" s="0" t="n">
        <v>16</v>
      </c>
      <c r="F725" s="0" t="n">
        <v>0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3" t="n">
        <v>1</v>
      </c>
      <c r="S725" s="0" t="n">
        <v>2.6</v>
      </c>
      <c r="T725" s="0" t="n">
        <f aca="false">(S725/32)*5</f>
        <v>0.40625</v>
      </c>
      <c r="V725" s="0" t="n">
        <v>8</v>
      </c>
      <c r="W725" s="0" t="n">
        <v>4</v>
      </c>
      <c r="X725" s="3" t="n">
        <f aca="false">LOOKUP(V725,$AB$3:$AC$123)</f>
        <v>1.0299</v>
      </c>
      <c r="Y725" s="2" t="n">
        <f aca="false">(V725*((W725+T725)/1000)*X725)/((((W725+T725)/1000)*X725)-((W725/1000)*0.9982))</f>
        <v>66.5887437450922</v>
      </c>
      <c r="Z725" s="3" t="n">
        <f aca="false">(X725*(V725/100)*((W725+T725)/1000))*1000</f>
        <v>0.36303975</v>
      </c>
    </row>
    <row r="726" customFormat="false" ht="15" hidden="false" customHeight="false" outlineLevel="0" collapsed="false">
      <c r="A726" s="0" t="s">
        <v>38</v>
      </c>
      <c r="B726" s="0" t="s">
        <v>39</v>
      </c>
      <c r="C726" s="0" t="s">
        <v>28</v>
      </c>
      <c r="D726" s="0" t="s">
        <v>143</v>
      </c>
      <c r="E726" s="0" t="n">
        <v>16</v>
      </c>
      <c r="F726" s="0" t="n">
        <v>1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3" t="n">
        <v>1</v>
      </c>
      <c r="S726" s="0" t="n">
        <v>1.1</v>
      </c>
      <c r="T726" s="0" t="n">
        <f aca="false">(S726/32)*5</f>
        <v>0.171875</v>
      </c>
      <c r="V726" s="0" t="n">
        <v>6</v>
      </c>
      <c r="W726" s="0" t="n">
        <v>1</v>
      </c>
      <c r="X726" s="3" t="n">
        <f aca="false">LOOKUP(V726,$AB$3:$AC$123)</f>
        <v>1.0218</v>
      </c>
      <c r="Y726" s="2" t="n">
        <f aca="false">(V726*((W726+T726)/1000)*X726)/((((W726+T726)/1000)*X726)-((W726/1000)*0.9982))</f>
        <v>36.0629637182162</v>
      </c>
      <c r="Z726" s="3" t="n">
        <f aca="false">(X726*(V726/100)*((W726+T726)/1000))*1000</f>
        <v>0.0718453125</v>
      </c>
    </row>
    <row r="727" customFormat="false" ht="15" hidden="false" customHeight="false" outlineLevel="0" collapsed="false">
      <c r="A727" s="0" t="s">
        <v>40</v>
      </c>
      <c r="B727" s="0" t="s">
        <v>41</v>
      </c>
      <c r="C727" s="0" t="s">
        <v>28</v>
      </c>
      <c r="D727" s="0" t="s">
        <v>143</v>
      </c>
      <c r="E727" s="0" t="n">
        <v>16</v>
      </c>
      <c r="F727" s="0" t="n">
        <v>1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3" t="n">
        <v>2</v>
      </c>
      <c r="S727" s="0" t="n">
        <v>4.2</v>
      </c>
      <c r="T727" s="0" t="n">
        <f aca="false">(S727/32)*5</f>
        <v>0.65625</v>
      </c>
      <c r="V727" s="0" t="n">
        <v>12</v>
      </c>
      <c r="W727" s="0" t="n">
        <v>4</v>
      </c>
      <c r="X727" s="3" t="n">
        <f aca="false">LOOKUP(V727,$AB$3:$AC$123)</f>
        <v>1.0465</v>
      </c>
      <c r="Y727" s="2" t="n">
        <f aca="false">(V727*((W727+T727)/1000)*X727)/((((W727+T727)/1000)*X727)-((W727/1000)*0.9982))</f>
        <v>66.4493996569469</v>
      </c>
      <c r="Z727" s="3" t="n">
        <f aca="false">(X727*(V727/100)*((W727+T727)/1000))*1000</f>
        <v>0.584731875</v>
      </c>
    </row>
    <row r="728" customFormat="false" ht="15" hidden="false" customHeight="false" outlineLevel="0" collapsed="false">
      <c r="A728" s="0" t="s">
        <v>42</v>
      </c>
      <c r="B728" s="0" t="s">
        <v>43</v>
      </c>
      <c r="C728" s="0" t="s">
        <v>28</v>
      </c>
      <c r="D728" s="0" t="s">
        <v>143</v>
      </c>
      <c r="E728" s="0" t="n">
        <v>16</v>
      </c>
      <c r="F728" s="0" t="n">
        <v>1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3" t="n">
        <v>2</v>
      </c>
      <c r="S728" s="0" t="n">
        <v>6.4</v>
      </c>
      <c r="T728" s="0" t="n">
        <f aca="false">(S728/32)*5</f>
        <v>1</v>
      </c>
      <c r="V728" s="0" t="n">
        <v>14</v>
      </c>
      <c r="W728" s="0" t="n">
        <v>4</v>
      </c>
      <c r="X728" s="3" t="n">
        <f aca="false">LOOKUP(V728,$AB$3:$AC$123)</f>
        <v>1.0549</v>
      </c>
      <c r="Y728" s="2" t="n">
        <f aca="false">(V728*((W728+T728)/1000)*X728)/((((W728+T728)/1000)*X728)-((W728/1000)*0.9982))</f>
        <v>57.6133260513381</v>
      </c>
      <c r="Z728" s="3" t="n">
        <f aca="false">(X728*(V728/100)*((W728+T728)/1000))*1000</f>
        <v>0.73843</v>
      </c>
    </row>
    <row r="729" customFormat="false" ht="15" hidden="false" customHeight="false" outlineLevel="0" collapsed="false">
      <c r="A729" s="0" t="s">
        <v>44</v>
      </c>
      <c r="B729" s="0" t="s">
        <v>45</v>
      </c>
      <c r="C729" s="0" t="s">
        <v>28</v>
      </c>
      <c r="D729" s="0" t="s">
        <v>143</v>
      </c>
      <c r="E729" s="0" t="n">
        <v>16</v>
      </c>
      <c r="F729" s="0" t="n">
        <v>2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3" t="n">
        <v>2</v>
      </c>
      <c r="S729" s="0" t="n">
        <v>6.1</v>
      </c>
      <c r="T729" s="0" t="n">
        <f aca="false">(S729/32)*5</f>
        <v>0.953125</v>
      </c>
      <c r="V729" s="0" t="n">
        <v>11</v>
      </c>
      <c r="W729" s="0" t="n">
        <v>4</v>
      </c>
      <c r="X729" s="3" t="n">
        <f aca="false">LOOKUP(V729,$AB$3:$AC$123)</f>
        <v>1.0423</v>
      </c>
      <c r="Y729" s="2" t="n">
        <f aca="false">(V729*((W729+T729)/1000)*X729)/((((W729+T729)/1000)*X729)-((W729/1000)*0.9982))</f>
        <v>48.5442093551614</v>
      </c>
      <c r="Z729" s="3" t="n">
        <f aca="false">(X729*(V729/100)*((W729+T729)/1000))*1000</f>
        <v>0.567890640625</v>
      </c>
    </row>
    <row r="730" customFormat="false" ht="15" hidden="false" customHeight="false" outlineLevel="0" collapsed="false">
      <c r="A730" s="0" t="s">
        <v>46</v>
      </c>
      <c r="B730" s="0" t="s">
        <v>47</v>
      </c>
      <c r="C730" s="0" t="s">
        <v>28</v>
      </c>
      <c r="D730" s="0" t="s">
        <v>143</v>
      </c>
      <c r="E730" s="0" t="n">
        <v>16</v>
      </c>
      <c r="F730" s="0" t="n">
        <v>0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3" t="n">
        <v>4</v>
      </c>
      <c r="S730" s="0" t="n">
        <v>8.4</v>
      </c>
      <c r="T730" s="0" t="n">
        <f aca="false">(S730/32)*5</f>
        <v>1.3125</v>
      </c>
      <c r="V730" s="0" t="n">
        <v>19</v>
      </c>
      <c r="W730" s="0" t="n">
        <v>4</v>
      </c>
      <c r="X730" s="3" t="n">
        <f aca="false">LOOKUP(V730,$AB$3:$AC$123)</f>
        <v>1.0765</v>
      </c>
      <c r="Y730" s="2" t="n">
        <f aca="false">(V730*((W730+T730)/1000)*X730)/((((W730+T730)/1000)*X730)-((W730/1000)*0.9982))</f>
        <v>62.9504810320917</v>
      </c>
      <c r="Z730" s="3" t="n">
        <f aca="false">(X730*(V730/100)*((W730+T730)/1000))*1000</f>
        <v>1.0865921875</v>
      </c>
    </row>
    <row r="731" customFormat="false" ht="15" hidden="false" customHeight="false" outlineLevel="0" collapsed="false">
      <c r="A731" s="0" t="s">
        <v>48</v>
      </c>
      <c r="B731" s="0" t="s">
        <v>49</v>
      </c>
      <c r="C731" s="0" t="s">
        <v>28</v>
      </c>
      <c r="D731" s="0" t="s">
        <v>143</v>
      </c>
      <c r="E731" s="0" t="n">
        <v>16</v>
      </c>
      <c r="F731" s="0" t="n">
        <v>0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3" t="n">
        <v>3</v>
      </c>
      <c r="S731" s="0" t="n">
        <v>11.2</v>
      </c>
      <c r="T731" s="0" t="n">
        <f aca="false">(S731/32)*5</f>
        <v>1.75</v>
      </c>
      <c r="V731" s="0" t="n">
        <v>20</v>
      </c>
      <c r="W731" s="0" t="n">
        <v>4</v>
      </c>
      <c r="X731" s="3" t="n">
        <f aca="false">LOOKUP(V731,$AB$3:$AC$123)</f>
        <v>1.081</v>
      </c>
      <c r="Y731" s="2" t="n">
        <f aca="false">(V731*((W731+T731)/1000)*X731)/((((W731+T731)/1000)*X731)-((W731/1000)*0.9982))</f>
        <v>55.9234350750129</v>
      </c>
      <c r="Z731" s="3" t="n">
        <f aca="false">(X731*(V731/100)*((W731+T731)/1000))*1000</f>
        <v>1.24315</v>
      </c>
    </row>
    <row r="732" customFormat="false" ht="15" hidden="false" customHeight="false" outlineLevel="0" collapsed="false">
      <c r="A732" s="0" t="s">
        <v>50</v>
      </c>
      <c r="B732" s="0" t="s">
        <v>51</v>
      </c>
      <c r="C732" s="0" t="s">
        <v>28</v>
      </c>
      <c r="D732" s="0" t="s">
        <v>143</v>
      </c>
      <c r="E732" s="0" t="n">
        <v>16</v>
      </c>
      <c r="F732" s="0" t="n">
        <v>0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3" t="n">
        <v>1</v>
      </c>
      <c r="S732" s="0" t="n">
        <v>2.4</v>
      </c>
      <c r="T732" s="0" t="n">
        <f aca="false">(S732/32)*5</f>
        <v>0.375</v>
      </c>
      <c r="V732" s="0" t="n">
        <v>12</v>
      </c>
      <c r="W732" s="0" t="n">
        <v>4</v>
      </c>
      <c r="X732" s="3" t="n">
        <f aca="false">LOOKUP(V732,$AB$3:$AC$123)</f>
        <v>1.0465</v>
      </c>
      <c r="Y732" s="2" t="n">
        <f aca="false">(V732*((W732+T732)/1000)*X732)/((((W732+T732)/1000)*X732)-((W732/1000)*0.9982))</f>
        <v>93.8144329896908</v>
      </c>
      <c r="Z732" s="3" t="n">
        <f aca="false">(X732*(V732/100)*((W732+T732)/1000))*1000</f>
        <v>0.5494125</v>
      </c>
    </row>
    <row r="733" customFormat="false" ht="15" hidden="false" customHeight="false" outlineLevel="0" collapsed="false">
      <c r="A733" s="0" t="s">
        <v>52</v>
      </c>
      <c r="B733" s="0" t="s">
        <v>53</v>
      </c>
      <c r="C733" s="0" t="s">
        <v>28</v>
      </c>
      <c r="D733" s="0" t="s">
        <v>143</v>
      </c>
      <c r="E733" s="0" t="n">
        <v>16</v>
      </c>
      <c r="F733" s="0" t="n">
        <v>0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3" t="n">
        <v>2</v>
      </c>
      <c r="S733" s="0" t="n">
        <v>6.5</v>
      </c>
      <c r="T733" s="0" t="n">
        <f aca="false">(S733/32)*5</f>
        <v>1.015625</v>
      </c>
      <c r="V733" s="0" t="n">
        <v>6</v>
      </c>
      <c r="W733" s="0" t="n">
        <v>4</v>
      </c>
      <c r="X733" s="3" t="n">
        <f aca="false">LOOKUP(V733,$AB$3:$AC$123)</f>
        <v>1.0218</v>
      </c>
      <c r="Y733" s="2" t="n">
        <f aca="false">(V733*((W733+T733)/1000)*X733)/((((W733+T733)/1000)*X733)-((W733/1000)*0.9982))</f>
        <v>27.1601549022476</v>
      </c>
      <c r="Z733" s="3" t="n">
        <f aca="false">(X733*(V733/100)*((W733+T733)/1000))*1000</f>
        <v>0.3074979375</v>
      </c>
    </row>
    <row r="734" customFormat="false" ht="15" hidden="false" customHeight="false" outlineLevel="0" collapsed="false">
      <c r="A734" s="0" t="s">
        <v>54</v>
      </c>
      <c r="B734" s="0" t="s">
        <v>55</v>
      </c>
      <c r="C734" s="0" t="s">
        <v>56</v>
      </c>
      <c r="D734" s="0" t="s">
        <v>143</v>
      </c>
      <c r="E734" s="0" t="n">
        <v>16</v>
      </c>
      <c r="F734" s="0" t="n">
        <v>0</v>
      </c>
      <c r="G734" s="1"/>
      <c r="H734" s="1"/>
      <c r="I734" s="0" t="n">
        <v>0</v>
      </c>
      <c r="J734" s="0" t="n">
        <f aca="false">(I734/32)*5</f>
        <v>0</v>
      </c>
      <c r="L734" s="0" t="n">
        <v>0</v>
      </c>
      <c r="M734" s="0" t="n">
        <v>0</v>
      </c>
      <c r="N734" s="0" t="n">
        <f aca="false">L734</f>
        <v>0</v>
      </c>
      <c r="O734" s="3" t="n">
        <v>0</v>
      </c>
      <c r="P734" s="3" t="n">
        <f aca="false">(O734*(N734/100)*(J734/1000))*1000</f>
        <v>0</v>
      </c>
      <c r="Q734" s="3"/>
      <c r="R734" s="1"/>
      <c r="S734" s="1"/>
      <c r="T734" s="1"/>
      <c r="U734" s="1"/>
      <c r="V734" s="1"/>
      <c r="W734" s="1"/>
      <c r="X734" s="1"/>
      <c r="Y734" s="5"/>
      <c r="Z734" s="1"/>
    </row>
    <row r="735" customFormat="false" ht="15" hidden="false" customHeight="false" outlineLevel="0" collapsed="false">
      <c r="A735" s="0" t="s">
        <v>57</v>
      </c>
      <c r="B735" s="0" t="s">
        <v>58</v>
      </c>
      <c r="C735" s="0" t="s">
        <v>56</v>
      </c>
      <c r="D735" s="0" t="s">
        <v>143</v>
      </c>
      <c r="E735" s="0" t="n">
        <v>16</v>
      </c>
      <c r="F735" s="0" t="n">
        <v>0</v>
      </c>
      <c r="G735" s="1"/>
      <c r="H735" s="1"/>
      <c r="I735" s="0" t="n">
        <v>0</v>
      </c>
      <c r="J735" s="0" t="n">
        <f aca="false">(I735/32)*5</f>
        <v>0</v>
      </c>
      <c r="L735" s="0" t="n">
        <v>0</v>
      </c>
      <c r="M735" s="0" t="n">
        <v>0</v>
      </c>
      <c r="N735" s="0" t="n">
        <f aca="false">L735</f>
        <v>0</v>
      </c>
      <c r="O735" s="3" t="n">
        <v>0</v>
      </c>
      <c r="P735" s="3" t="n">
        <f aca="false">(O735*(N735/100)*(J735/1000))*1000</f>
        <v>0</v>
      </c>
      <c r="Q735" s="3"/>
      <c r="R735" s="1"/>
      <c r="S735" s="1"/>
      <c r="T735" s="1"/>
      <c r="U735" s="1"/>
      <c r="V735" s="1"/>
      <c r="W735" s="1"/>
      <c r="X735" s="1"/>
      <c r="Y735" s="5"/>
      <c r="Z735" s="1"/>
    </row>
    <row r="736" customFormat="false" ht="15" hidden="false" customHeight="false" outlineLevel="0" collapsed="false">
      <c r="A736" s="0" t="s">
        <v>59</v>
      </c>
      <c r="B736" s="0" t="s">
        <v>60</v>
      </c>
      <c r="C736" s="0" t="s">
        <v>56</v>
      </c>
      <c r="D736" s="0" t="s">
        <v>143</v>
      </c>
      <c r="E736" s="0" t="n">
        <v>16</v>
      </c>
      <c r="F736" s="0" t="n">
        <v>1</v>
      </c>
      <c r="G736" s="1"/>
      <c r="H736" s="1"/>
      <c r="I736" s="0" t="n">
        <v>20.3</v>
      </c>
      <c r="J736" s="0" t="n">
        <f aca="false">(I736/32)*5</f>
        <v>3.171875</v>
      </c>
      <c r="L736" s="0" t="n">
        <v>16</v>
      </c>
      <c r="M736" s="0" t="n">
        <v>0</v>
      </c>
      <c r="N736" s="0" t="n">
        <f aca="false">L736</f>
        <v>16</v>
      </c>
      <c r="O736" s="3" t="n">
        <f aca="false">LOOKUP(L736,$AB$3:$AC$123)</f>
        <v>1.0635</v>
      </c>
      <c r="P736" s="3" t="n">
        <f aca="false">(O736*(N736/100)*(J736/1000))*1000</f>
        <v>0.53972625</v>
      </c>
      <c r="Q736" s="3"/>
      <c r="R736" s="1"/>
      <c r="S736" s="1"/>
      <c r="T736" s="1"/>
      <c r="U736" s="1"/>
      <c r="V736" s="1"/>
      <c r="W736" s="1"/>
      <c r="X736" s="1"/>
      <c r="Y736" s="5"/>
      <c r="Z736" s="1"/>
    </row>
    <row r="737" customFormat="false" ht="15" hidden="false" customHeight="false" outlineLevel="0" collapsed="false">
      <c r="A737" s="0" t="s">
        <v>61</v>
      </c>
      <c r="B737" s="0" t="s">
        <v>62</v>
      </c>
      <c r="C737" s="0" t="s">
        <v>56</v>
      </c>
      <c r="D737" s="0" t="s">
        <v>143</v>
      </c>
      <c r="E737" s="0" t="n">
        <v>16</v>
      </c>
      <c r="F737" s="0" t="n">
        <v>3</v>
      </c>
      <c r="G737" s="1"/>
      <c r="H737" s="1"/>
      <c r="I737" s="0" t="n">
        <f aca="false">32+20.4+20</f>
        <v>72.4</v>
      </c>
      <c r="J737" s="0" t="n">
        <f aca="false">(I737/32)*5</f>
        <v>11.3125</v>
      </c>
      <c r="L737" s="0" t="n">
        <v>16</v>
      </c>
      <c r="M737" s="0" t="n">
        <v>0</v>
      </c>
      <c r="N737" s="0" t="n">
        <f aca="false">L737</f>
        <v>16</v>
      </c>
      <c r="O737" s="3" t="n">
        <f aca="false">LOOKUP(L737,$AB$3:$AC$123)</f>
        <v>1.0635</v>
      </c>
      <c r="P737" s="3" t="n">
        <f aca="false">(O737*(N737/100)*(J737/1000))*1000</f>
        <v>1.924935</v>
      </c>
      <c r="Q737" s="3"/>
      <c r="R737" s="1"/>
      <c r="S737" s="1"/>
      <c r="T737" s="1"/>
      <c r="U737" s="1"/>
      <c r="V737" s="1"/>
      <c r="W737" s="1"/>
      <c r="X737" s="1"/>
      <c r="Y737" s="5"/>
      <c r="Z737" s="1"/>
    </row>
    <row r="738" customFormat="false" ht="15" hidden="false" customHeight="false" outlineLevel="0" collapsed="false">
      <c r="A738" s="0" t="s">
        <v>63</v>
      </c>
      <c r="B738" s="0" t="s">
        <v>64</v>
      </c>
      <c r="C738" s="0" t="s">
        <v>56</v>
      </c>
      <c r="D738" s="0" t="s">
        <v>143</v>
      </c>
      <c r="E738" s="0" t="n">
        <v>16</v>
      </c>
      <c r="F738" s="0" t="n">
        <v>1</v>
      </c>
      <c r="G738" s="1"/>
      <c r="H738" s="1"/>
      <c r="I738" s="0" t="n">
        <v>19.1</v>
      </c>
      <c r="J738" s="0" t="n">
        <f aca="false">(I738/32)*5</f>
        <v>2.984375</v>
      </c>
      <c r="L738" s="0" t="n">
        <v>24</v>
      </c>
      <c r="M738" s="0" t="n">
        <v>0</v>
      </c>
      <c r="N738" s="0" t="n">
        <f aca="false">L738</f>
        <v>24</v>
      </c>
      <c r="O738" s="3" t="n">
        <f aca="false">LOOKUP(L738,$AB$3:$AC$123)</f>
        <v>1.099</v>
      </c>
      <c r="P738" s="3" t="n">
        <f aca="false">(O738*(N738/100)*(J738/1000))*1000</f>
        <v>0.78715875</v>
      </c>
      <c r="Q738" s="3"/>
      <c r="R738" s="1"/>
      <c r="S738" s="1"/>
      <c r="T738" s="1"/>
      <c r="U738" s="1"/>
      <c r="V738" s="1"/>
      <c r="W738" s="1"/>
      <c r="X738" s="1"/>
      <c r="Y738" s="5"/>
      <c r="Z738" s="1"/>
    </row>
    <row r="739" customFormat="false" ht="15" hidden="false" customHeight="false" outlineLevel="0" collapsed="false">
      <c r="A739" s="0" t="s">
        <v>65</v>
      </c>
      <c r="B739" s="0" t="s">
        <v>66</v>
      </c>
      <c r="C739" s="0" t="s">
        <v>56</v>
      </c>
      <c r="D739" s="0" t="s">
        <v>143</v>
      </c>
      <c r="E739" s="0" t="n">
        <v>16</v>
      </c>
      <c r="F739" s="0" t="n">
        <v>1</v>
      </c>
      <c r="G739" s="1"/>
      <c r="H739" s="1"/>
      <c r="I739" s="0" t="n">
        <v>22.4</v>
      </c>
      <c r="J739" s="0" t="n">
        <f aca="false">(I739/32)*5</f>
        <v>3.5</v>
      </c>
      <c r="L739" s="0" t="n">
        <v>21</v>
      </c>
      <c r="M739" s="0" t="n">
        <v>0</v>
      </c>
      <c r="N739" s="0" t="n">
        <f aca="false">L739</f>
        <v>21</v>
      </c>
      <c r="O739" s="3" t="n">
        <f aca="false">LOOKUP(L739,$AB$3:$AC$123)</f>
        <v>1.08545</v>
      </c>
      <c r="P739" s="3" t="n">
        <f aca="false">(O739*(N739/100)*(J739/1000))*1000</f>
        <v>0.79780575</v>
      </c>
      <c r="Q739" s="3"/>
      <c r="R739" s="1"/>
      <c r="S739" s="1"/>
      <c r="T739" s="1"/>
      <c r="U739" s="1"/>
      <c r="V739" s="1"/>
      <c r="W739" s="1"/>
      <c r="X739" s="1"/>
      <c r="Y739" s="5"/>
      <c r="Z739" s="1"/>
    </row>
    <row r="740" customFormat="false" ht="15" hidden="false" customHeight="false" outlineLevel="0" collapsed="false">
      <c r="A740" s="0" t="s">
        <v>67</v>
      </c>
      <c r="B740" s="0" t="s">
        <v>68</v>
      </c>
      <c r="C740" s="0" t="s">
        <v>56</v>
      </c>
      <c r="D740" s="0" t="s">
        <v>143</v>
      </c>
      <c r="E740" s="0" t="n">
        <v>16</v>
      </c>
      <c r="F740" s="0" t="n">
        <v>1</v>
      </c>
      <c r="G740" s="1"/>
      <c r="H740" s="1"/>
      <c r="I740" s="0" t="n">
        <f aca="false">29.2+21.4</f>
        <v>50.6</v>
      </c>
      <c r="J740" s="0" t="n">
        <f aca="false">(I740/32)*5</f>
        <v>7.90625</v>
      </c>
      <c r="L740" s="0" t="n">
        <v>25</v>
      </c>
      <c r="M740" s="0" t="n">
        <v>0</v>
      </c>
      <c r="N740" s="0" t="n">
        <f aca="false">L740</f>
        <v>25</v>
      </c>
      <c r="O740" s="3" t="n">
        <f aca="false">LOOKUP(L740,$AB$3:$AC$123)</f>
        <v>1.10355</v>
      </c>
      <c r="P740" s="3" t="n">
        <f aca="false">(O740*(N740/100)*(J740/1000))*1000</f>
        <v>2.181235546875</v>
      </c>
      <c r="Q740" s="3"/>
      <c r="R740" s="1"/>
      <c r="S740" s="1"/>
      <c r="T740" s="1"/>
      <c r="U740" s="1"/>
      <c r="V740" s="1"/>
      <c r="W740" s="1"/>
      <c r="X740" s="1"/>
      <c r="Y740" s="5"/>
      <c r="Z740" s="1"/>
    </row>
    <row r="741" customFormat="false" ht="15" hidden="false" customHeight="false" outlineLevel="0" collapsed="false">
      <c r="A741" s="0" t="s">
        <v>69</v>
      </c>
      <c r="B741" s="0" t="s">
        <v>70</v>
      </c>
      <c r="C741" s="0" t="s">
        <v>56</v>
      </c>
      <c r="D741" s="0" t="s">
        <v>143</v>
      </c>
      <c r="E741" s="0" t="n">
        <v>16</v>
      </c>
      <c r="F741" s="0" t="n">
        <v>2</v>
      </c>
      <c r="G741" s="1"/>
      <c r="H741" s="1"/>
      <c r="I741" s="0" t="n">
        <f aca="false">24.9+20.7</f>
        <v>45.6</v>
      </c>
      <c r="J741" s="0" t="n">
        <f aca="false">(I741/32)*5</f>
        <v>7.125</v>
      </c>
      <c r="L741" s="0" t="n">
        <v>24</v>
      </c>
      <c r="M741" s="0" t="n">
        <v>0</v>
      </c>
      <c r="N741" s="0" t="n">
        <f aca="false">L741</f>
        <v>24</v>
      </c>
      <c r="O741" s="3" t="n">
        <f aca="false">LOOKUP(L741,$AB$3:$AC$123)</f>
        <v>1.099</v>
      </c>
      <c r="P741" s="3" t="n">
        <f aca="false">(O741*(N741/100)*(J741/1000))*1000</f>
        <v>1.87929</v>
      </c>
      <c r="Q741" s="3"/>
      <c r="R741" s="1"/>
      <c r="S741" s="1"/>
      <c r="T741" s="1"/>
      <c r="U741" s="1"/>
      <c r="V741" s="1"/>
      <c r="W741" s="1"/>
      <c r="X741" s="1"/>
      <c r="Y741" s="5"/>
      <c r="Z741" s="1"/>
    </row>
    <row r="742" customFormat="false" ht="15" hidden="false" customHeight="false" outlineLevel="0" collapsed="false">
      <c r="A742" s="0" t="s">
        <v>71</v>
      </c>
      <c r="B742" s="0" t="s">
        <v>72</v>
      </c>
      <c r="C742" s="0" t="s">
        <v>56</v>
      </c>
      <c r="D742" s="0" t="s">
        <v>143</v>
      </c>
      <c r="E742" s="0" t="n">
        <v>16</v>
      </c>
      <c r="F742" s="0" t="n">
        <v>2</v>
      </c>
      <c r="G742" s="1"/>
      <c r="H742" s="1"/>
      <c r="I742" s="0" t="n">
        <f aca="false">26.9+13.3</f>
        <v>40.2</v>
      </c>
      <c r="J742" s="0" t="n">
        <f aca="false">(I742/32)*5</f>
        <v>6.28125</v>
      </c>
      <c r="L742" s="0" t="n">
        <v>23</v>
      </c>
      <c r="M742" s="0" t="n">
        <v>0</v>
      </c>
      <c r="N742" s="0" t="n">
        <f aca="false">L742</f>
        <v>23</v>
      </c>
      <c r="O742" s="3" t="n">
        <f aca="false">LOOKUP(L742,$AB$3:$AC$123)</f>
        <v>1.09445</v>
      </c>
      <c r="P742" s="3" t="n">
        <f aca="false">(O742*(N742/100)*(J742/1000))*1000</f>
        <v>1.581138234375</v>
      </c>
      <c r="Q742" s="3"/>
      <c r="R742" s="1"/>
      <c r="S742" s="1"/>
      <c r="T742" s="1"/>
      <c r="U742" s="1"/>
      <c r="V742" s="1"/>
      <c r="W742" s="1"/>
      <c r="X742" s="1"/>
      <c r="Y742" s="5"/>
      <c r="Z742" s="1"/>
    </row>
    <row r="743" customFormat="false" ht="15" hidden="false" customHeight="false" outlineLevel="0" collapsed="false">
      <c r="A743" s="0" t="s">
        <v>73</v>
      </c>
      <c r="B743" s="0" t="s">
        <v>74</v>
      </c>
      <c r="C743" s="0" t="s">
        <v>56</v>
      </c>
      <c r="D743" s="0" t="s">
        <v>143</v>
      </c>
      <c r="E743" s="0" t="n">
        <v>16</v>
      </c>
      <c r="F743" s="0" t="n">
        <v>1</v>
      </c>
      <c r="G743" s="1"/>
      <c r="H743" s="1"/>
      <c r="I743" s="0" t="n">
        <v>31.7</v>
      </c>
      <c r="J743" s="0" t="n">
        <f aca="false">(I743/32)*5</f>
        <v>4.953125</v>
      </c>
      <c r="L743" s="0" t="n">
        <v>25</v>
      </c>
      <c r="M743" s="0" t="n">
        <v>0</v>
      </c>
      <c r="N743" s="0" t="n">
        <f aca="false">L743</f>
        <v>25</v>
      </c>
      <c r="O743" s="3" t="n">
        <f aca="false">LOOKUP(L743,$AB$3:$AC$123)</f>
        <v>1.10355</v>
      </c>
      <c r="P743" s="3" t="n">
        <f aca="false">(O743*(N743/100)*(J743/1000))*1000</f>
        <v>1.3665052734375</v>
      </c>
      <c r="Q743" s="3"/>
      <c r="R743" s="1"/>
      <c r="S743" s="1"/>
      <c r="T743" s="1"/>
      <c r="U743" s="1"/>
      <c r="V743" s="1"/>
      <c r="W743" s="1"/>
      <c r="X743" s="1"/>
      <c r="Y743" s="5"/>
      <c r="Z743" s="1"/>
    </row>
    <row r="744" customFormat="false" ht="15" hidden="false" customHeight="false" outlineLevel="0" collapsed="false">
      <c r="A744" s="0" t="s">
        <v>75</v>
      </c>
      <c r="B744" s="0" t="s">
        <v>76</v>
      </c>
      <c r="C744" s="0" t="s">
        <v>56</v>
      </c>
      <c r="D744" s="0" t="s">
        <v>143</v>
      </c>
      <c r="E744" s="0" t="n">
        <v>16</v>
      </c>
      <c r="F744" s="0" t="n">
        <v>1</v>
      </c>
      <c r="G744" s="1"/>
      <c r="H744" s="1"/>
      <c r="I744" s="0" t="n">
        <f aca="false">31.5+17.3</f>
        <v>48.8</v>
      </c>
      <c r="J744" s="0" t="n">
        <f aca="false">(I744/32)*5</f>
        <v>7.625</v>
      </c>
      <c r="L744" s="0" t="n">
        <v>16</v>
      </c>
      <c r="M744" s="0" t="n">
        <v>0</v>
      </c>
      <c r="N744" s="0" t="n">
        <f aca="false">L744</f>
        <v>16</v>
      </c>
      <c r="O744" s="3" t="n">
        <f aca="false">LOOKUP(L744,$AB$3:$AC$123)</f>
        <v>1.0635</v>
      </c>
      <c r="P744" s="3" t="n">
        <f aca="false">(O744*(N744/100)*(J744/1000))*1000</f>
        <v>1.29747</v>
      </c>
      <c r="Q744" s="3"/>
      <c r="R744" s="1"/>
      <c r="S744" s="1"/>
      <c r="T744" s="1"/>
      <c r="U744" s="1"/>
      <c r="V744" s="1"/>
      <c r="W744" s="1"/>
      <c r="X744" s="1"/>
      <c r="Y744" s="5"/>
      <c r="Z744" s="1"/>
    </row>
    <row r="745" customFormat="false" ht="15" hidden="false" customHeight="false" outlineLevel="0" collapsed="false">
      <c r="A745" s="0" t="s">
        <v>77</v>
      </c>
      <c r="B745" s="0" t="s">
        <v>78</v>
      </c>
      <c r="C745" s="0" t="s">
        <v>56</v>
      </c>
      <c r="D745" s="0" t="s">
        <v>143</v>
      </c>
      <c r="E745" s="0" t="n">
        <v>16</v>
      </c>
      <c r="F745" s="0" t="n">
        <v>1</v>
      </c>
      <c r="G745" s="1"/>
      <c r="H745" s="1"/>
      <c r="I745" s="0" t="n">
        <f aca="false">32-5.2</f>
        <v>26.8</v>
      </c>
      <c r="J745" s="0" t="n">
        <f aca="false">(I745/32)*5</f>
        <v>4.1875</v>
      </c>
      <c r="L745" s="0" t="n">
        <v>15</v>
      </c>
      <c r="M745" s="0" t="n">
        <v>0</v>
      </c>
      <c r="N745" s="0" t="n">
        <f aca="false">L745</f>
        <v>15</v>
      </c>
      <c r="O745" s="3" t="n">
        <f aca="false">LOOKUP(L745,$AB$3:$AC$123)</f>
        <v>1.0592</v>
      </c>
      <c r="P745" s="3" t="n">
        <f aca="false">(O745*(N745/100)*(J745/1000))*1000</f>
        <v>0.66531</v>
      </c>
      <c r="Q745" s="3"/>
      <c r="R745" s="1"/>
      <c r="S745" s="1"/>
      <c r="T745" s="1"/>
      <c r="U745" s="1"/>
      <c r="V745" s="1"/>
      <c r="W745" s="1"/>
      <c r="X745" s="1"/>
      <c r="Y745" s="5"/>
      <c r="Z745" s="1"/>
    </row>
    <row r="746" customFormat="false" ht="15" hidden="false" customHeight="false" outlineLevel="0" collapsed="false">
      <c r="A746" s="0" t="s">
        <v>79</v>
      </c>
      <c r="B746" s="0" t="s">
        <v>80</v>
      </c>
      <c r="C746" s="0" t="s">
        <v>81</v>
      </c>
      <c r="D746" s="0" t="s">
        <v>143</v>
      </c>
      <c r="E746" s="0" t="n">
        <v>16</v>
      </c>
      <c r="F746" s="0" t="n">
        <v>1</v>
      </c>
      <c r="G746" s="1"/>
      <c r="H746" s="1"/>
      <c r="I746" s="0" t="n">
        <f aca="false">12.6+24.5</f>
        <v>37.1</v>
      </c>
      <c r="J746" s="0" t="n">
        <f aca="false">(I746/32)*5</f>
        <v>5.796875</v>
      </c>
      <c r="L746" s="0" t="n">
        <v>31</v>
      </c>
      <c r="M746" s="0" t="n">
        <v>0</v>
      </c>
      <c r="N746" s="0" t="n">
        <f aca="false">L746</f>
        <v>31</v>
      </c>
      <c r="O746" s="3" t="n">
        <f aca="false">LOOKUP(L746,$AB$3:$AC$123)</f>
        <v>1.1318</v>
      </c>
      <c r="P746" s="3" t="n">
        <f aca="false">(O746*(N746/100)*(J746/1000))*1000</f>
        <v>2.03387996875</v>
      </c>
      <c r="Q746" s="3"/>
      <c r="R746" s="0" t="n">
        <v>1</v>
      </c>
      <c r="S746" s="0" t="n">
        <v>2</v>
      </c>
      <c r="T746" s="0" t="n">
        <f aca="false">(S746/32)*5</f>
        <v>0.3125</v>
      </c>
      <c r="V746" s="0" t="n">
        <v>5</v>
      </c>
      <c r="W746" s="0" t="n">
        <v>4</v>
      </c>
      <c r="X746" s="3" t="n">
        <f aca="false">LOOKUP(V746,$AB$3:$AC$123)</f>
        <v>1.0179</v>
      </c>
      <c r="Y746" s="2" t="n">
        <f aca="false">(V746*((W746+T746)/1000)*X746)/((((W746+T746)/1000)*X746)-((W746/1000)*0.9982))</f>
        <v>55.3006157189424</v>
      </c>
      <c r="Z746" s="3" t="n">
        <f aca="false">(X746*(V746/100)*((W746+T746)/1000))*1000</f>
        <v>0.2194846875</v>
      </c>
    </row>
    <row r="747" customFormat="false" ht="15" hidden="false" customHeight="false" outlineLevel="0" collapsed="false">
      <c r="A747" s="0" t="s">
        <v>82</v>
      </c>
      <c r="B747" s="0" t="s">
        <v>83</v>
      </c>
      <c r="C747" s="0" t="s">
        <v>81</v>
      </c>
      <c r="D747" s="0" t="s">
        <v>143</v>
      </c>
      <c r="E747" s="0" t="n">
        <v>16</v>
      </c>
      <c r="F747" s="0" t="n">
        <v>0</v>
      </c>
      <c r="G747" s="1"/>
      <c r="H747" s="1"/>
      <c r="I747" s="0" t="n">
        <v>0</v>
      </c>
      <c r="J747" s="0" t="n">
        <f aca="false">(I747/32)*5</f>
        <v>0</v>
      </c>
      <c r="L747" s="0" t="n">
        <v>0</v>
      </c>
      <c r="M747" s="0" t="n">
        <v>0</v>
      </c>
      <c r="N747" s="0" t="n">
        <f aca="false">L747</f>
        <v>0</v>
      </c>
      <c r="O747" s="3" t="n">
        <v>0</v>
      </c>
      <c r="P747" s="3" t="n">
        <f aca="false">(O747*(N747/100)*(J747/1000))*1000</f>
        <v>0</v>
      </c>
      <c r="Q747" s="3"/>
      <c r="R747" s="3" t="n">
        <v>1</v>
      </c>
      <c r="S747" s="3" t="n">
        <v>5.1</v>
      </c>
      <c r="T747" s="0" t="n">
        <f aca="false">(S747/32)*5</f>
        <v>0.796875</v>
      </c>
      <c r="V747" s="0" t="n">
        <v>9.5</v>
      </c>
      <c r="W747" s="0" t="n">
        <v>4</v>
      </c>
      <c r="X747" s="3" t="n">
        <f aca="false">LOOKUP(V747,$AB$3:$AC$123)</f>
        <v>1.0361</v>
      </c>
      <c r="Y747" s="2" t="n">
        <f aca="false">(V747*((W747+T747)/1000)*X747)/((((W747+T747)/1000)*X747)-((W747/1000)*0.9982))</f>
        <v>48.3149431995332</v>
      </c>
      <c r="Z747" s="3" t="n">
        <f aca="false">(X747*(V747/100)*((W747+T747)/1000))*1000</f>
        <v>0.4721540078125</v>
      </c>
    </row>
    <row r="748" customFormat="false" ht="15" hidden="false" customHeight="false" outlineLevel="0" collapsed="false">
      <c r="A748" s="0" t="s">
        <v>84</v>
      </c>
      <c r="B748" s="0" t="s">
        <v>85</v>
      </c>
      <c r="C748" s="0" t="s">
        <v>81</v>
      </c>
      <c r="D748" s="0" t="s">
        <v>143</v>
      </c>
      <c r="E748" s="0" t="n">
        <v>16</v>
      </c>
      <c r="F748" s="0" t="n">
        <v>2</v>
      </c>
      <c r="G748" s="1"/>
      <c r="H748" s="1"/>
      <c r="I748" s="0" t="n">
        <v>19</v>
      </c>
      <c r="J748" s="0" t="n">
        <f aca="false">(I748/32)*5</f>
        <v>2.96875</v>
      </c>
      <c r="L748" s="0" t="n">
        <v>23.5</v>
      </c>
      <c r="M748" s="0" t="n">
        <v>0</v>
      </c>
      <c r="N748" s="0" t="n">
        <f aca="false">L748</f>
        <v>23.5</v>
      </c>
      <c r="O748" s="3" t="n">
        <f aca="false">LOOKUP(L748,$AB$3:$AC$123)</f>
        <v>1.096725</v>
      </c>
      <c r="P748" s="3" t="n">
        <f aca="false">(O748*(N748/100)*(J748/1000))*1000</f>
        <v>0.76513705078125</v>
      </c>
      <c r="Q748" s="3"/>
      <c r="R748" s="0" t="n">
        <v>3</v>
      </c>
      <c r="S748" s="0" t="n">
        <v>4.1</v>
      </c>
      <c r="T748" s="0" t="n">
        <f aca="false">(S748/32)*5</f>
        <v>0.640625</v>
      </c>
      <c r="V748" s="0" t="n">
        <v>11</v>
      </c>
      <c r="W748" s="0" t="n">
        <v>4</v>
      </c>
      <c r="X748" s="3" t="n">
        <f aca="false">LOOKUP(V748,$AB$3:$AC$123)</f>
        <v>1.0423</v>
      </c>
      <c r="Y748" s="2" t="n">
        <f aca="false">(V748*((W748+T748)/1000)*X748)/((((W748+T748)/1000)*X748)-((W748/1000)*0.9982))</f>
        <v>63.0312528343937</v>
      </c>
      <c r="Z748" s="3" t="n">
        <f aca="false">(X748*(V748/100)*((W748+T748)/1000))*1000</f>
        <v>0.532061578125</v>
      </c>
    </row>
    <row r="749" customFormat="false" ht="15" hidden="false" customHeight="false" outlineLevel="0" collapsed="false">
      <c r="A749" s="0" t="s">
        <v>86</v>
      </c>
      <c r="B749" s="0" t="s">
        <v>87</v>
      </c>
      <c r="C749" s="0" t="s">
        <v>81</v>
      </c>
      <c r="D749" s="0" t="s">
        <v>143</v>
      </c>
      <c r="E749" s="0" t="n">
        <v>16</v>
      </c>
      <c r="F749" s="0" t="n">
        <v>0</v>
      </c>
      <c r="G749" s="1"/>
      <c r="H749" s="1"/>
      <c r="I749" s="0" t="n">
        <v>0</v>
      </c>
      <c r="J749" s="0" t="n">
        <f aca="false">(I749/32)*5</f>
        <v>0</v>
      </c>
      <c r="L749" s="0" t="n">
        <v>0</v>
      </c>
      <c r="M749" s="0" t="n">
        <v>0</v>
      </c>
      <c r="N749" s="0" t="n">
        <f aca="false">L749</f>
        <v>0</v>
      </c>
      <c r="O749" s="3" t="n">
        <v>0</v>
      </c>
      <c r="P749" s="3" t="n">
        <f aca="false">(O749*(N749/100)*(J749/1000))*1000</f>
        <v>0</v>
      </c>
      <c r="Q749" s="3"/>
      <c r="R749" s="3" t="n">
        <v>1</v>
      </c>
      <c r="S749" s="3" t="n">
        <v>1.7</v>
      </c>
      <c r="T749" s="0" t="n">
        <f aca="false">(S749/32)*5</f>
        <v>0.265625</v>
      </c>
      <c r="V749" s="0" t="n">
        <v>19</v>
      </c>
      <c r="W749" s="0" t="n">
        <v>1</v>
      </c>
      <c r="X749" s="3" t="n">
        <f aca="false">LOOKUP(V749,$AB$3:$AC$123)</f>
        <v>1.0765</v>
      </c>
      <c r="Y749" s="2" t="n">
        <f aca="false">(V749*((W749+T749)/1000)*X749)/((((W749+T749)/1000)*X749)-((W749/1000)*0.9982))</f>
        <v>71.0687551744403</v>
      </c>
      <c r="Z749" s="3" t="n">
        <f aca="false">(X749*(V749/100)*((W749+T749)/1000))*1000</f>
        <v>0.258864609375</v>
      </c>
    </row>
    <row r="750" customFormat="false" ht="15" hidden="false" customHeight="false" outlineLevel="0" collapsed="false">
      <c r="A750" s="0" t="s">
        <v>88</v>
      </c>
      <c r="B750" s="0" t="s">
        <v>89</v>
      </c>
      <c r="C750" s="0" t="s">
        <v>81</v>
      </c>
      <c r="D750" s="0" t="s">
        <v>143</v>
      </c>
      <c r="E750" s="0" t="n">
        <v>16</v>
      </c>
      <c r="F750" s="0" t="n">
        <v>0</v>
      </c>
      <c r="G750" s="1"/>
      <c r="H750" s="1"/>
      <c r="I750" s="0" t="n">
        <v>0</v>
      </c>
      <c r="J750" s="0" t="n">
        <f aca="false">(I750/32)*5</f>
        <v>0</v>
      </c>
      <c r="L750" s="0" t="n">
        <v>0</v>
      </c>
      <c r="M750" s="0" t="n">
        <v>0</v>
      </c>
      <c r="N750" s="0" t="n">
        <f aca="false">L750</f>
        <v>0</v>
      </c>
      <c r="O750" s="3" t="n">
        <v>0</v>
      </c>
      <c r="P750" s="3" t="n">
        <f aca="false">(O750*(N750/100)*(J750/1000))*1000</f>
        <v>0</v>
      </c>
      <c r="Q750" s="3"/>
      <c r="R750" s="3" t="n">
        <v>2</v>
      </c>
      <c r="S750" s="3" t="n">
        <v>6.3</v>
      </c>
      <c r="T750" s="0" t="n">
        <f aca="false">(S750/32)*5</f>
        <v>0.984375</v>
      </c>
      <c r="V750" s="0" t="n">
        <v>18</v>
      </c>
      <c r="W750" s="0" t="n">
        <v>4</v>
      </c>
      <c r="X750" s="3" t="n">
        <f aca="false">LOOKUP(V750,$AB$3:$AC$123)</f>
        <v>1.0722</v>
      </c>
      <c r="Y750" s="2" t="n">
        <f aca="false">(V750*((W750+T750)/1000)*X750)/((((W750+T750)/1000)*X750)-((W750/1000)*0.9982))</f>
        <v>71.1803368149414</v>
      </c>
      <c r="Z750" s="3" t="n">
        <f aca="false">(X750*(V750/100)*((W750+T750)/1000))*1000</f>
        <v>0.9619644375</v>
      </c>
    </row>
    <row r="751" customFormat="false" ht="15" hidden="false" customHeight="false" outlineLevel="0" collapsed="false">
      <c r="A751" s="0" t="s">
        <v>90</v>
      </c>
      <c r="B751" s="0" t="s">
        <v>91</v>
      </c>
      <c r="C751" s="0" t="s">
        <v>81</v>
      </c>
      <c r="D751" s="0" t="s">
        <v>143</v>
      </c>
      <c r="E751" s="0" t="n">
        <v>16</v>
      </c>
      <c r="F751" s="0" t="n">
        <v>0</v>
      </c>
      <c r="G751" s="1"/>
      <c r="H751" s="1"/>
      <c r="I751" s="0" t="n">
        <v>0</v>
      </c>
      <c r="J751" s="0" t="n">
        <f aca="false">(I751/32)*5</f>
        <v>0</v>
      </c>
      <c r="L751" s="0" t="n">
        <v>0</v>
      </c>
      <c r="M751" s="0" t="n">
        <v>0</v>
      </c>
      <c r="N751" s="0" t="n">
        <f aca="false">L751</f>
        <v>0</v>
      </c>
      <c r="O751" s="3" t="n">
        <v>0</v>
      </c>
      <c r="P751" s="3" t="n">
        <f aca="false">(O751*(N751/100)*(J751/1000))*1000</f>
        <v>0</v>
      </c>
      <c r="Q751" s="3"/>
      <c r="R751" s="3" t="n">
        <v>1</v>
      </c>
      <c r="S751" s="3" t="n">
        <v>4.3</v>
      </c>
      <c r="T751" s="0" t="n">
        <f aca="false">(S751/32)*5</f>
        <v>0.671875</v>
      </c>
      <c r="V751" s="0" t="n">
        <v>11</v>
      </c>
      <c r="W751" s="0" t="n">
        <v>4</v>
      </c>
      <c r="X751" s="3" t="n">
        <f aca="false">LOOKUP(V751,$AB$3:$AC$123)</f>
        <v>1.0423</v>
      </c>
      <c r="Y751" s="2" t="n">
        <f aca="false">(V751*((W751+T751)/1000)*X751)/((((W751+T751)/1000)*X751)-((W751/1000)*0.9982))</f>
        <v>61.0981348637016</v>
      </c>
      <c r="Z751" s="3" t="n">
        <f aca="false">(X751*(V751/100)*((W751+T751)/1000))*1000</f>
        <v>0.535644484375</v>
      </c>
    </row>
    <row r="752" customFormat="false" ht="15" hidden="false" customHeight="false" outlineLevel="0" collapsed="false">
      <c r="A752" s="0" t="s">
        <v>92</v>
      </c>
      <c r="B752" s="0" t="s">
        <v>93</v>
      </c>
      <c r="C752" s="0" t="s">
        <v>81</v>
      </c>
      <c r="D752" s="0" t="s">
        <v>143</v>
      </c>
      <c r="E752" s="0" t="n">
        <v>16</v>
      </c>
      <c r="F752" s="0" t="n">
        <v>1</v>
      </c>
      <c r="G752" s="1"/>
      <c r="H752" s="1"/>
      <c r="I752" s="0" t="n">
        <f aca="false">32+4.1</f>
        <v>36.1</v>
      </c>
      <c r="J752" s="0" t="n">
        <f aca="false">(I752/32)*5</f>
        <v>5.640625</v>
      </c>
      <c r="L752" s="0" t="n">
        <v>24</v>
      </c>
      <c r="M752" s="0" t="n">
        <v>0</v>
      </c>
      <c r="N752" s="0" t="n">
        <f aca="false">L752</f>
        <v>24</v>
      </c>
      <c r="O752" s="3" t="n">
        <f aca="false">LOOKUP(L752,$AB$3:$AC$123)</f>
        <v>1.099</v>
      </c>
      <c r="P752" s="3" t="n">
        <f aca="false">(O752*(N752/100)*(J752/1000))*1000</f>
        <v>1.48777125</v>
      </c>
      <c r="Q752" s="3"/>
      <c r="R752" s="3" t="n">
        <v>2</v>
      </c>
      <c r="S752" s="3" t="n">
        <v>4.9</v>
      </c>
      <c r="T752" s="0" t="n">
        <f aca="false">(S752/32)*5</f>
        <v>0.765625</v>
      </c>
      <c r="V752" s="0" t="n">
        <v>16</v>
      </c>
      <c r="W752" s="0" t="n">
        <v>4</v>
      </c>
      <c r="X752" s="3" t="n">
        <f aca="false">LOOKUP(V752,$AB$3:$AC$123)</f>
        <v>1.0635</v>
      </c>
      <c r="Y752" s="2" t="n">
        <f aca="false">(V752*((W752+T752)/1000)*X752)/((((W752+T752)/1000)*X752)-((W752/1000)*0.9982))</f>
        <v>75.403286148285</v>
      </c>
      <c r="Z752" s="3" t="n">
        <f aca="false">(X752*(V752/100)*((W752+T752)/1000))*1000</f>
        <v>0.81091875</v>
      </c>
    </row>
    <row r="753" customFormat="false" ht="15" hidden="false" customHeight="false" outlineLevel="0" collapsed="false">
      <c r="A753" s="0" t="s">
        <v>94</v>
      </c>
      <c r="B753" s="0" t="s">
        <v>95</v>
      </c>
      <c r="C753" s="0" t="s">
        <v>81</v>
      </c>
      <c r="D753" s="0" t="s">
        <v>143</v>
      </c>
      <c r="E753" s="0" t="n">
        <v>16</v>
      </c>
      <c r="F753" s="0" t="n">
        <v>2</v>
      </c>
      <c r="G753" s="1"/>
      <c r="H753" s="1"/>
      <c r="I753" s="0" t="n">
        <f aca="false">32-11.2+32+32+5.6</f>
        <v>90.4</v>
      </c>
      <c r="J753" s="0" t="n">
        <f aca="false">(I753/32)*5</f>
        <v>14.125</v>
      </c>
      <c r="L753" s="0" t="n">
        <v>31</v>
      </c>
      <c r="M753" s="0" t="n">
        <v>0</v>
      </c>
      <c r="N753" s="0" t="n">
        <f aca="false">L753</f>
        <v>31</v>
      </c>
      <c r="O753" s="3" t="n">
        <f aca="false">LOOKUP(L753,$AB$3:$AC$123)</f>
        <v>1.1318</v>
      </c>
      <c r="P753" s="3" t="n">
        <f aca="false">(O753*(N753/100)*(J753/1000))*1000</f>
        <v>4.95586925</v>
      </c>
      <c r="Q753" s="3"/>
      <c r="R753" s="3" t="n">
        <v>5</v>
      </c>
      <c r="S753" s="3" t="n">
        <v>11.9</v>
      </c>
      <c r="T753" s="0" t="n">
        <f aca="false">(S753/32)*5</f>
        <v>1.859375</v>
      </c>
      <c r="V753" s="0" t="n">
        <v>21</v>
      </c>
      <c r="W753" s="0" t="n">
        <v>4</v>
      </c>
      <c r="X753" s="3" t="n">
        <f aca="false">LOOKUP(V753,$AB$3:$AC$123)</f>
        <v>1.08545</v>
      </c>
      <c r="Y753" s="2" t="n">
        <f aca="false">(V753*((W753+T753)/1000)*X753)/((((W753+T753)/1000)*X753)-((W753/1000)*0.9982))</f>
        <v>56.4202114721967</v>
      </c>
      <c r="Z753" s="3" t="n">
        <f aca="false">(X753*(V753/100)*((W753+T753)/1000))*1000</f>
        <v>1.3356123046875</v>
      </c>
    </row>
    <row r="754" customFormat="false" ht="15" hidden="false" customHeight="false" outlineLevel="0" collapsed="false">
      <c r="A754" s="0" t="s">
        <v>96</v>
      </c>
      <c r="B754" s="0" t="s">
        <v>97</v>
      </c>
      <c r="C754" s="0" t="s">
        <v>81</v>
      </c>
      <c r="D754" s="0" t="s">
        <v>143</v>
      </c>
      <c r="E754" s="0" t="n">
        <v>16</v>
      </c>
      <c r="F754" s="0" t="n">
        <v>0</v>
      </c>
      <c r="G754" s="1"/>
      <c r="H754" s="1"/>
      <c r="I754" s="0" t="n">
        <v>0</v>
      </c>
      <c r="J754" s="0" t="n">
        <f aca="false">(I754/32)*5</f>
        <v>0</v>
      </c>
      <c r="L754" s="0" t="n">
        <v>0</v>
      </c>
      <c r="M754" s="0" t="n">
        <v>0</v>
      </c>
      <c r="N754" s="0" t="n">
        <f aca="false">L754</f>
        <v>0</v>
      </c>
      <c r="O754" s="0" t="n">
        <v>0</v>
      </c>
      <c r="P754" s="3" t="n">
        <f aca="false">(O754*(N754/100)*(J754/1000))*1000</f>
        <v>0</v>
      </c>
      <c r="Q754" s="3"/>
      <c r="R754" s="3" t="n">
        <v>1</v>
      </c>
      <c r="S754" s="3" t="n">
        <v>1.1</v>
      </c>
      <c r="T754" s="0" t="n">
        <f aca="false">(S754/32)*5</f>
        <v>0.171875</v>
      </c>
      <c r="V754" s="0" t="n">
        <v>6</v>
      </c>
      <c r="W754" s="0" t="n">
        <v>1</v>
      </c>
      <c r="X754" s="3" t="n">
        <f aca="false">LOOKUP(V754,$AB$3:$AC$123)</f>
        <v>1.0218</v>
      </c>
      <c r="Y754" s="2" t="n">
        <f aca="false">(V754*((W754+T754)/1000)*X754)/((((W754+T754)/1000)*X754)-((W754/1000)*0.9982))</f>
        <v>36.0629637182162</v>
      </c>
      <c r="Z754" s="3" t="n">
        <f aca="false">(X754*(V754/100)*((W754+T754)/1000))*1000</f>
        <v>0.0718453125</v>
      </c>
    </row>
    <row r="755" customFormat="false" ht="15" hidden="false" customHeight="false" outlineLevel="0" collapsed="false">
      <c r="A755" s="0" t="s">
        <v>98</v>
      </c>
      <c r="B755" s="0" t="s">
        <v>99</v>
      </c>
      <c r="C755" s="0" t="s">
        <v>81</v>
      </c>
      <c r="D755" s="0" t="s">
        <v>143</v>
      </c>
      <c r="E755" s="0" t="n">
        <v>16</v>
      </c>
      <c r="F755" s="0" t="n">
        <v>0</v>
      </c>
      <c r="G755" s="1"/>
      <c r="H755" s="1"/>
      <c r="I755" s="0" t="n">
        <v>0</v>
      </c>
      <c r="J755" s="0" t="n">
        <f aca="false">(I755/32)*5</f>
        <v>0</v>
      </c>
      <c r="L755" s="0" t="n">
        <v>0</v>
      </c>
      <c r="M755" s="0" t="n">
        <v>0</v>
      </c>
      <c r="N755" s="0" t="n">
        <f aca="false">L755</f>
        <v>0</v>
      </c>
      <c r="O755" s="0" t="n">
        <v>0</v>
      </c>
      <c r="P755" s="3" t="n">
        <f aca="false">(O755*(N755/100)*(J755/1000))*1000</f>
        <v>0</v>
      </c>
      <c r="Q755" s="3"/>
      <c r="R755" s="3" t="n">
        <v>3</v>
      </c>
      <c r="S755" s="3" t="n">
        <v>10.1</v>
      </c>
      <c r="T755" s="0" t="n">
        <f aca="false">(S755/32)*5</f>
        <v>1.578125</v>
      </c>
      <c r="V755" s="0" t="n">
        <v>14</v>
      </c>
      <c r="W755" s="0" t="n">
        <v>4</v>
      </c>
      <c r="X755" s="3" t="n">
        <f aca="false">LOOKUP(V755,$AB$3:$AC$123)</f>
        <v>1.0549</v>
      </c>
      <c r="Y755" s="2" t="n">
        <f aca="false">(V755*((W755+T755)/1000)*X755)/((((W755+T755)/1000)*X755)-((W755/1000)*0.9982))</f>
        <v>43.5518407799101</v>
      </c>
      <c r="Z755" s="3" t="n">
        <f aca="false">(X755*(V755/100)*((W755+T755)/1000))*1000</f>
        <v>0.82381096875</v>
      </c>
    </row>
    <row r="756" customFormat="false" ht="15" hidden="false" customHeight="false" outlineLevel="0" collapsed="false">
      <c r="A756" s="0" t="s">
        <v>100</v>
      </c>
      <c r="B756" s="0" t="s">
        <v>101</v>
      </c>
      <c r="C756" s="0" t="s">
        <v>81</v>
      </c>
      <c r="D756" s="0" t="s">
        <v>143</v>
      </c>
      <c r="E756" s="0" t="n">
        <v>16</v>
      </c>
      <c r="F756" s="0" t="n">
        <v>0</v>
      </c>
      <c r="G756" s="1"/>
      <c r="H756" s="1"/>
      <c r="I756" s="0" t="n">
        <v>0</v>
      </c>
      <c r="J756" s="0" t="n">
        <f aca="false">(I756/32)*5</f>
        <v>0</v>
      </c>
      <c r="L756" s="0" t="n">
        <v>0</v>
      </c>
      <c r="M756" s="0" t="n">
        <v>0</v>
      </c>
      <c r="N756" s="0" t="n">
        <f aca="false">L756</f>
        <v>0</v>
      </c>
      <c r="O756" s="0" t="n">
        <v>0</v>
      </c>
      <c r="P756" s="3" t="n">
        <f aca="false">(O756*(N756/100)*(J756/1000))*1000</f>
        <v>0</v>
      </c>
      <c r="Q756" s="3"/>
      <c r="R756" s="3" t="n">
        <v>1</v>
      </c>
      <c r="S756" s="3" t="n">
        <v>0.8</v>
      </c>
      <c r="T756" s="0" t="n">
        <f aca="false">(S756/32)*5</f>
        <v>0.125</v>
      </c>
      <c r="V756" s="0" t="n">
        <v>7</v>
      </c>
      <c r="W756" s="0" t="n">
        <v>1</v>
      </c>
      <c r="X756" s="3" t="n">
        <f aca="false">LOOKUP(V756,$AB$3:$AC$123)</f>
        <v>1.0259</v>
      </c>
      <c r="Y756" s="2" t="n">
        <f aca="false">(V756*((W756+T756)/1000)*X756)/((((W756+T756)/1000)*X756)-((W756/1000)*0.9982))</f>
        <v>51.8089779559119</v>
      </c>
      <c r="Z756" s="3" t="n">
        <f aca="false">(X756*(V756/100)*((W756+T756)/1000))*1000</f>
        <v>0.080789625</v>
      </c>
    </row>
    <row r="757" customFormat="false" ht="15" hidden="false" customHeight="false" outlineLevel="0" collapsed="false">
      <c r="A757" s="0" t="s">
        <v>102</v>
      </c>
      <c r="B757" s="0" t="s">
        <v>103</v>
      </c>
      <c r="C757" s="0" t="s">
        <v>81</v>
      </c>
      <c r="D757" s="0" t="s">
        <v>143</v>
      </c>
      <c r="E757" s="0" t="n">
        <v>16</v>
      </c>
      <c r="F757" s="0" t="n">
        <v>0</v>
      </c>
      <c r="G757" s="1"/>
      <c r="H757" s="1"/>
      <c r="I757" s="0" t="n">
        <v>0</v>
      </c>
      <c r="J757" s="0" t="n">
        <f aca="false">(I757/32)*5</f>
        <v>0</v>
      </c>
      <c r="L757" s="0" t="n">
        <v>0</v>
      </c>
      <c r="M757" s="0" t="n">
        <v>0</v>
      </c>
      <c r="N757" s="0" t="n">
        <f aca="false">L757</f>
        <v>0</v>
      </c>
      <c r="O757" s="0" t="n">
        <v>0</v>
      </c>
      <c r="P757" s="3" t="n">
        <f aca="false">(O757*(N757/100)*(J757/1000))*1000</f>
        <v>0</v>
      </c>
      <c r="Q757" s="3"/>
      <c r="R757" s="3" t="n">
        <v>2</v>
      </c>
      <c r="S757" s="3" t="n">
        <v>6</v>
      </c>
      <c r="T757" s="0" t="n">
        <f aca="false">(S757/32)*5</f>
        <v>0.9375</v>
      </c>
      <c r="V757" s="0" t="n">
        <v>6</v>
      </c>
      <c r="W757" s="0" t="n">
        <v>4</v>
      </c>
      <c r="X757" s="3" t="n">
        <f aca="false">LOOKUP(V757,$AB$3:$AC$123)</f>
        <v>1.0218</v>
      </c>
      <c r="Y757" s="2" t="n">
        <f aca="false">(V757*((W757+T757)/1000)*X757)/((((W757+T757)/1000)*X757)-((W757/1000)*0.9982))</f>
        <v>28.7653200612921</v>
      </c>
      <c r="Z757" s="3" t="n">
        <f aca="false">(X757*(V757/100)*((W757+T757)/1000))*1000</f>
        <v>0.30270825</v>
      </c>
    </row>
    <row r="758" customFormat="false" ht="15" hidden="false" customHeight="false" outlineLevel="0" collapsed="false">
      <c r="A758" s="0" t="s">
        <v>104</v>
      </c>
      <c r="B758" s="0" t="s">
        <v>105</v>
      </c>
      <c r="C758" s="0" t="s">
        <v>106</v>
      </c>
      <c r="D758" s="0" t="s">
        <v>143</v>
      </c>
      <c r="E758" s="0" t="n">
        <v>16</v>
      </c>
      <c r="F758" s="0" t="n">
        <v>1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3" t="n">
        <v>13</v>
      </c>
      <c r="S758" s="1"/>
      <c r="T758" s="1"/>
      <c r="U758" s="1"/>
      <c r="V758" s="1"/>
      <c r="W758" s="1"/>
      <c r="X758" s="1"/>
      <c r="Y758" s="5"/>
      <c r="Z758" s="1"/>
    </row>
    <row r="759" customFormat="false" ht="15" hidden="false" customHeight="false" outlineLevel="0" collapsed="false">
      <c r="A759" s="0" t="s">
        <v>107</v>
      </c>
      <c r="B759" s="0" t="s">
        <v>37</v>
      </c>
      <c r="C759" s="0" t="s">
        <v>106</v>
      </c>
      <c r="D759" s="0" t="s">
        <v>143</v>
      </c>
      <c r="E759" s="0" t="n">
        <v>16</v>
      </c>
      <c r="F759" s="0" t="n">
        <v>0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3" t="n">
        <v>5</v>
      </c>
      <c r="S759" s="1"/>
      <c r="T759" s="1"/>
      <c r="U759" s="1"/>
      <c r="V759" s="1"/>
      <c r="W759" s="1"/>
      <c r="X759" s="1"/>
      <c r="Y759" s="5"/>
      <c r="Z759" s="1"/>
    </row>
    <row r="760" customFormat="false" ht="15" hidden="false" customHeight="false" outlineLevel="0" collapsed="false">
      <c r="A760" s="0" t="s">
        <v>108</v>
      </c>
      <c r="B760" s="0" t="s">
        <v>109</v>
      </c>
      <c r="C760" s="0" t="s">
        <v>106</v>
      </c>
      <c r="D760" s="0" t="s">
        <v>143</v>
      </c>
      <c r="E760" s="0" t="n">
        <v>16</v>
      </c>
      <c r="F760" s="0" t="n">
        <v>1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3" t="n">
        <v>12</v>
      </c>
      <c r="S760" s="1"/>
      <c r="T760" s="1"/>
      <c r="U760" s="1"/>
      <c r="V760" s="1"/>
      <c r="W760" s="1"/>
      <c r="X760" s="1"/>
      <c r="Y760" s="5"/>
      <c r="Z760" s="1"/>
    </row>
    <row r="761" customFormat="false" ht="15" hidden="false" customHeight="false" outlineLevel="0" collapsed="false">
      <c r="A761" s="0" t="s">
        <v>110</v>
      </c>
      <c r="B761" s="0" t="s">
        <v>111</v>
      </c>
      <c r="C761" s="0" t="s">
        <v>106</v>
      </c>
      <c r="D761" s="0" t="s">
        <v>143</v>
      </c>
      <c r="E761" s="0" t="n">
        <v>16</v>
      </c>
      <c r="F761" s="0" t="n">
        <v>0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3" t="n">
        <v>5</v>
      </c>
      <c r="S761" s="1"/>
      <c r="T761" s="1"/>
      <c r="U761" s="1"/>
      <c r="V761" s="1"/>
      <c r="W761" s="1"/>
      <c r="X761" s="1"/>
      <c r="Y761" s="5"/>
      <c r="Z761" s="1"/>
    </row>
    <row r="762" customFormat="false" ht="15" hidden="false" customHeight="false" outlineLevel="0" collapsed="false">
      <c r="A762" s="0" t="s">
        <v>112</v>
      </c>
      <c r="B762" s="0" t="s">
        <v>113</v>
      </c>
      <c r="C762" s="0" t="s">
        <v>106</v>
      </c>
      <c r="D762" s="0" t="s">
        <v>143</v>
      </c>
      <c r="E762" s="0" t="n">
        <v>16</v>
      </c>
      <c r="F762" s="0" t="n">
        <v>1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3" t="n">
        <v>5</v>
      </c>
      <c r="S762" s="1"/>
      <c r="T762" s="1"/>
      <c r="U762" s="1"/>
      <c r="V762" s="1"/>
      <c r="W762" s="1"/>
      <c r="X762" s="1"/>
      <c r="Y762" s="5"/>
      <c r="Z762" s="1"/>
    </row>
    <row r="763" customFormat="false" ht="15" hidden="false" customHeight="false" outlineLevel="0" collapsed="false">
      <c r="A763" s="0" t="s">
        <v>114</v>
      </c>
      <c r="B763" s="0" t="s">
        <v>115</v>
      </c>
      <c r="C763" s="0" t="s">
        <v>106</v>
      </c>
      <c r="D763" s="0" t="s">
        <v>143</v>
      </c>
      <c r="E763" s="0" t="n">
        <v>16</v>
      </c>
      <c r="F763" s="0" t="n">
        <v>0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3" t="n">
        <v>6</v>
      </c>
      <c r="S763" s="1"/>
      <c r="T763" s="1"/>
      <c r="U763" s="1"/>
      <c r="V763" s="1"/>
      <c r="W763" s="1"/>
      <c r="X763" s="1"/>
      <c r="Y763" s="5"/>
      <c r="Z763" s="1"/>
    </row>
    <row r="764" customFormat="false" ht="15" hidden="false" customHeight="false" outlineLevel="0" collapsed="false">
      <c r="A764" s="0" t="s">
        <v>116</v>
      </c>
      <c r="B764" s="0" t="s">
        <v>117</v>
      </c>
      <c r="C764" s="0" t="s">
        <v>106</v>
      </c>
      <c r="D764" s="0" t="s">
        <v>143</v>
      </c>
      <c r="E764" s="0" t="n">
        <v>16</v>
      </c>
      <c r="F764" s="0" t="n">
        <v>0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3" t="n">
        <v>4</v>
      </c>
      <c r="S764" s="1"/>
      <c r="T764" s="1"/>
      <c r="U764" s="1"/>
      <c r="V764" s="1"/>
      <c r="W764" s="1"/>
      <c r="X764" s="1"/>
      <c r="Y764" s="5"/>
      <c r="Z764" s="1"/>
    </row>
    <row r="765" customFormat="false" ht="15" hidden="false" customHeight="false" outlineLevel="0" collapsed="false">
      <c r="A765" s="0" t="s">
        <v>118</v>
      </c>
      <c r="B765" s="0" t="s">
        <v>119</v>
      </c>
      <c r="C765" s="0" t="s">
        <v>106</v>
      </c>
      <c r="D765" s="0" t="s">
        <v>143</v>
      </c>
      <c r="E765" s="0" t="n">
        <v>16</v>
      </c>
      <c r="F765" s="0" t="n">
        <v>0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3" t="n">
        <v>13</v>
      </c>
      <c r="S765" s="1"/>
      <c r="T765" s="1"/>
      <c r="U765" s="1"/>
      <c r="V765" s="1"/>
      <c r="W765" s="1"/>
      <c r="X765" s="1"/>
      <c r="Y765" s="5"/>
      <c r="Z765" s="1"/>
    </row>
    <row r="766" customFormat="false" ht="15" hidden="false" customHeight="false" outlineLevel="0" collapsed="false">
      <c r="A766" s="0" t="s">
        <v>120</v>
      </c>
      <c r="B766" s="0" t="s">
        <v>121</v>
      </c>
      <c r="C766" s="0" t="s">
        <v>106</v>
      </c>
      <c r="D766" s="0" t="s">
        <v>143</v>
      </c>
      <c r="E766" s="0" t="n">
        <v>16</v>
      </c>
      <c r="F766" s="0" t="n">
        <v>0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3" t="n">
        <v>5</v>
      </c>
      <c r="S766" s="1"/>
      <c r="T766" s="1"/>
      <c r="U766" s="1"/>
      <c r="V766" s="1"/>
      <c r="W766" s="1"/>
      <c r="X766" s="1"/>
      <c r="Y766" s="5"/>
      <c r="Z766" s="1"/>
    </row>
    <row r="767" customFormat="false" ht="15" hidden="false" customHeight="false" outlineLevel="0" collapsed="false">
      <c r="A767" s="0" t="s">
        <v>122</v>
      </c>
      <c r="B767" s="0" t="s">
        <v>123</v>
      </c>
      <c r="C767" s="0" t="s">
        <v>106</v>
      </c>
      <c r="D767" s="0" t="s">
        <v>143</v>
      </c>
      <c r="E767" s="0" t="n">
        <v>16</v>
      </c>
      <c r="F767" s="0" t="n">
        <v>1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3" t="n">
        <v>8</v>
      </c>
      <c r="S767" s="1"/>
      <c r="T767" s="1"/>
      <c r="U767" s="1"/>
      <c r="V767" s="1"/>
      <c r="W767" s="1"/>
      <c r="X767" s="1"/>
      <c r="Y767" s="5"/>
      <c r="Z767" s="1"/>
    </row>
    <row r="768" customFormat="false" ht="15" hidden="false" customHeight="false" outlineLevel="0" collapsed="false">
      <c r="A768" s="0" t="s">
        <v>124</v>
      </c>
      <c r="B768" s="0" t="s">
        <v>125</v>
      </c>
      <c r="C768" s="0" t="s">
        <v>106</v>
      </c>
      <c r="D768" s="0" t="s">
        <v>143</v>
      </c>
      <c r="E768" s="0" t="n">
        <v>16</v>
      </c>
      <c r="F768" s="0" t="n">
        <v>1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3" t="n">
        <v>7</v>
      </c>
      <c r="S768" s="1"/>
      <c r="T768" s="1"/>
      <c r="U768" s="1"/>
      <c r="V768" s="1"/>
      <c r="W768" s="1"/>
      <c r="X768" s="1"/>
      <c r="Y768" s="5"/>
      <c r="Z768" s="1"/>
    </row>
    <row r="769" customFormat="false" ht="15" hidden="false" customHeight="false" outlineLevel="0" collapsed="false">
      <c r="A769" s="0" t="s">
        <v>126</v>
      </c>
      <c r="B769" s="0" t="s">
        <v>127</v>
      </c>
      <c r="C769" s="0" t="s">
        <v>106</v>
      </c>
      <c r="D769" s="0" t="s">
        <v>143</v>
      </c>
      <c r="E769" s="0" t="n">
        <v>16</v>
      </c>
      <c r="F769" s="0" t="n">
        <v>1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3" t="n">
        <v>8</v>
      </c>
      <c r="S769" s="1"/>
      <c r="T769" s="1"/>
      <c r="U769" s="1"/>
      <c r="V769" s="1"/>
      <c r="W769" s="1"/>
      <c r="X769" s="1"/>
      <c r="Y769" s="5"/>
      <c r="Z769" s="1"/>
    </row>
    <row r="770" customFormat="false" ht="15" hidden="false" customHeight="false" outlineLevel="0" collapsed="false">
      <c r="A770" s="0" t="s">
        <v>26</v>
      </c>
      <c r="B770" s="0" t="s">
        <v>27</v>
      </c>
      <c r="C770" s="0" t="s">
        <v>28</v>
      </c>
      <c r="D770" s="0" t="s">
        <v>144</v>
      </c>
      <c r="E770" s="0" t="n">
        <v>17</v>
      </c>
      <c r="F770" s="0" t="n">
        <v>1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3" t="n">
        <v>3</v>
      </c>
      <c r="S770" s="0" t="n">
        <v>3.3</v>
      </c>
      <c r="T770" s="0" t="n">
        <f aca="false">(S770/32)*5</f>
        <v>0.515625</v>
      </c>
      <c r="V770" s="0" t="n">
        <v>5</v>
      </c>
      <c r="W770" s="0" t="n">
        <v>4</v>
      </c>
      <c r="X770" s="3" t="n">
        <f aca="false">LOOKUP(V770,$AB$3:$AC$123)</f>
        <v>1.0179</v>
      </c>
      <c r="Y770" s="2" t="n">
        <f aca="false">(V770*((W770+T770)/1000)*X770)/((((W770+T770)/1000)*X770)-((W770/1000)*0.9982))</f>
        <v>38.071887642718</v>
      </c>
      <c r="Z770" s="3" t="n">
        <f aca="false">(X770*(V770/100)*((W770+T770)/1000))*1000</f>
        <v>0.229822734375</v>
      </c>
    </row>
    <row r="771" customFormat="false" ht="15" hidden="false" customHeight="false" outlineLevel="0" collapsed="false">
      <c r="A771" s="0" t="s">
        <v>32</v>
      </c>
      <c r="B771" s="0" t="s">
        <v>33</v>
      </c>
      <c r="C771" s="0" t="s">
        <v>28</v>
      </c>
      <c r="D771" s="0" t="s">
        <v>144</v>
      </c>
      <c r="E771" s="0" t="n">
        <v>17</v>
      </c>
      <c r="F771" s="0" t="n">
        <v>0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3" t="n">
        <v>4</v>
      </c>
      <c r="S771" s="0" t="n">
        <v>6</v>
      </c>
      <c r="T771" s="0" t="n">
        <f aca="false">(S771/32)*5</f>
        <v>0.9375</v>
      </c>
      <c r="V771" s="0" t="n">
        <v>10</v>
      </c>
      <c r="W771" s="0" t="n">
        <v>4</v>
      </c>
      <c r="X771" s="3" t="n">
        <f aca="false">LOOKUP(V771,$AB$3:$AC$123)</f>
        <v>1.0381</v>
      </c>
      <c r="Y771" s="2" t="n">
        <f aca="false">(V771*((W771+T771)/1000)*X771)/((((W771+T771)/1000)*X771)-((W771/1000)*0.9982))</f>
        <v>45.2465917429422</v>
      </c>
      <c r="Z771" s="3" t="n">
        <f aca="false">(X771*(V771/100)*((W771+T771)/1000))*1000</f>
        <v>0.512561875</v>
      </c>
    </row>
    <row r="772" customFormat="false" ht="15" hidden="false" customHeight="false" outlineLevel="0" collapsed="false">
      <c r="A772" s="0" t="s">
        <v>34</v>
      </c>
      <c r="B772" s="0" t="s">
        <v>35</v>
      </c>
      <c r="C772" s="0" t="s">
        <v>28</v>
      </c>
      <c r="D772" s="0" t="s">
        <v>144</v>
      </c>
      <c r="E772" s="0" t="n">
        <v>17</v>
      </c>
      <c r="F772" s="0" t="n">
        <v>1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3" t="n">
        <v>3</v>
      </c>
      <c r="S772" s="0" t="n">
        <v>11</v>
      </c>
      <c r="T772" s="0" t="n">
        <f aca="false">(S772/32)*5</f>
        <v>1.71875</v>
      </c>
      <c r="V772" s="0" t="n">
        <v>15</v>
      </c>
      <c r="W772" s="0" t="n">
        <v>4</v>
      </c>
      <c r="X772" s="3" t="n">
        <f aca="false">LOOKUP(V772,$AB$3:$AC$123)</f>
        <v>1.0592</v>
      </c>
      <c r="Y772" s="2" t="n">
        <f aca="false">(V772*((W772+T772)/1000)*X772)/((((W772+T772)/1000)*X772)-((W772/1000)*0.9982))</f>
        <v>44.0104141438605</v>
      </c>
      <c r="Z772" s="3" t="n">
        <f aca="false">(X772*(V772/100)*((W772+T772)/1000))*1000</f>
        <v>0.908595</v>
      </c>
    </row>
    <row r="773" customFormat="false" ht="15" hidden="false" customHeight="false" outlineLevel="0" collapsed="false">
      <c r="A773" s="0" t="s">
        <v>36</v>
      </c>
      <c r="B773" s="0" t="s">
        <v>37</v>
      </c>
      <c r="C773" s="0" t="s">
        <v>28</v>
      </c>
      <c r="D773" s="0" t="s">
        <v>144</v>
      </c>
      <c r="E773" s="0" t="n">
        <v>17</v>
      </c>
      <c r="F773" s="0" t="n">
        <v>0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3" t="n">
        <v>2</v>
      </c>
      <c r="S773" s="0" t="n">
        <v>4.9</v>
      </c>
      <c r="T773" s="0" t="n">
        <f aca="false">(S773/32)*5</f>
        <v>0.765625</v>
      </c>
      <c r="V773" s="0" t="n">
        <v>11.5</v>
      </c>
      <c r="W773" s="0" t="n">
        <v>4</v>
      </c>
      <c r="X773" s="3" t="n">
        <f aca="false">LOOKUP(V773,$AB$3:$AC$123)</f>
        <v>1.0444</v>
      </c>
      <c r="Y773" s="2" t="n">
        <f aca="false">(V773*((W773+T773)/1000)*X773)/((((W773+T773)/1000)*X773)-((W773/1000)*0.9982))</f>
        <v>58.1439713790499</v>
      </c>
      <c r="Z773" s="3" t="n">
        <f aca="false">(X773*(V773/100)*((W773+T773)/1000))*1000</f>
        <v>0.57238015625</v>
      </c>
    </row>
    <row r="774" customFormat="false" ht="15" hidden="false" customHeight="false" outlineLevel="0" collapsed="false">
      <c r="A774" s="0" t="s">
        <v>38</v>
      </c>
      <c r="B774" s="0" t="s">
        <v>39</v>
      </c>
      <c r="C774" s="0" t="s">
        <v>28</v>
      </c>
      <c r="D774" s="0" t="s">
        <v>144</v>
      </c>
      <c r="E774" s="0" t="n">
        <v>17</v>
      </c>
      <c r="F774" s="0" t="n">
        <v>1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3" t="n">
        <v>3</v>
      </c>
      <c r="S774" s="0" t="n">
        <v>7.1</v>
      </c>
      <c r="T774" s="0" t="n">
        <f aca="false">(S774/32)*5</f>
        <v>1.109375</v>
      </c>
      <c r="V774" s="0" t="n">
        <v>11</v>
      </c>
      <c r="W774" s="0" t="n">
        <v>4</v>
      </c>
      <c r="X774" s="3" t="n">
        <f aca="false">LOOKUP(V774,$AB$3:$AC$123)</f>
        <v>1.0423</v>
      </c>
      <c r="Y774" s="2" t="n">
        <f aca="false">(V774*((W774+T774)/1000)*X774)/((((W774+T774)/1000)*X774)-((W774/1000)*0.9982))</f>
        <v>43.9562155818362</v>
      </c>
      <c r="Z774" s="3" t="n">
        <f aca="false">(X774*(V774/100)*((W774+T774)/1000))*1000</f>
        <v>0.585805171875</v>
      </c>
    </row>
    <row r="775" customFormat="false" ht="15" hidden="false" customHeight="false" outlineLevel="0" collapsed="false">
      <c r="A775" s="0" t="s">
        <v>40</v>
      </c>
      <c r="B775" s="0" t="s">
        <v>41</v>
      </c>
      <c r="C775" s="0" t="s">
        <v>28</v>
      </c>
      <c r="D775" s="0" t="s">
        <v>144</v>
      </c>
      <c r="E775" s="0" t="n">
        <v>17</v>
      </c>
      <c r="F775" s="0" t="n">
        <v>0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3" t="n">
        <v>2</v>
      </c>
      <c r="S775" s="0" t="n">
        <v>3</v>
      </c>
      <c r="T775" s="0" t="n">
        <f aca="false">(S775/32)*5</f>
        <v>0.46875</v>
      </c>
      <c r="V775" s="0" t="n">
        <v>5</v>
      </c>
      <c r="W775" s="0" t="n">
        <v>4</v>
      </c>
      <c r="X775" s="3" t="n">
        <f aca="false">LOOKUP(V775,$AB$3:$AC$123)</f>
        <v>1.0179</v>
      </c>
      <c r="Y775" s="2" t="n">
        <f aca="false">(V775*((W775+T775)/1000)*X775)/((((W775+T775)/1000)*X775)-((W775/1000)*0.9982))</f>
        <v>40.9103096666124</v>
      </c>
      <c r="Z775" s="3" t="n">
        <f aca="false">(X775*(V775/100)*((W775+T775)/1000))*1000</f>
        <v>0.22743703125</v>
      </c>
    </row>
    <row r="776" customFormat="false" ht="15" hidden="false" customHeight="false" outlineLevel="0" collapsed="false">
      <c r="A776" s="0" t="s">
        <v>42</v>
      </c>
      <c r="B776" s="0" t="s">
        <v>43</v>
      </c>
      <c r="C776" s="0" t="s">
        <v>28</v>
      </c>
      <c r="D776" s="0" t="s">
        <v>144</v>
      </c>
      <c r="E776" s="0" t="n">
        <v>17</v>
      </c>
      <c r="F776" s="0" t="n">
        <v>1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3" t="n">
        <v>3</v>
      </c>
      <c r="S776" s="0" t="n">
        <v>6.5</v>
      </c>
      <c r="T776" s="0" t="n">
        <f aca="false">(S776/32)*5</f>
        <v>1.015625</v>
      </c>
      <c r="V776" s="0" t="n">
        <v>11.5</v>
      </c>
      <c r="W776" s="0" t="n">
        <v>4</v>
      </c>
      <c r="X776" s="3" t="n">
        <f aca="false">LOOKUP(V776,$AB$3:$AC$123)</f>
        <v>1.0444</v>
      </c>
      <c r="Y776" s="2" t="n">
        <f aca="false">(V776*((W776+T776)/1000)*X776)/((((W776+T776)/1000)*X776)-((W776/1000)*0.9982))</f>
        <v>48.3659243387544</v>
      </c>
      <c r="Z776" s="3" t="n">
        <f aca="false">(X776*(V776/100)*((W776+T776)/1000))*1000</f>
        <v>0.60240665625</v>
      </c>
    </row>
    <row r="777" customFormat="false" ht="15" hidden="false" customHeight="false" outlineLevel="0" collapsed="false">
      <c r="A777" s="0" t="s">
        <v>44</v>
      </c>
      <c r="B777" s="0" t="s">
        <v>45</v>
      </c>
      <c r="C777" s="0" t="s">
        <v>28</v>
      </c>
      <c r="D777" s="0" t="s">
        <v>144</v>
      </c>
      <c r="E777" s="0" t="n">
        <v>17</v>
      </c>
      <c r="F777" s="0" t="n">
        <v>1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3" t="n">
        <v>1</v>
      </c>
      <c r="S777" s="0" t="n">
        <v>3.9</v>
      </c>
      <c r="T777" s="0" t="n">
        <f aca="false">(S777/32)*5</f>
        <v>0.609375</v>
      </c>
      <c r="V777" s="0" t="n">
        <v>10.5</v>
      </c>
      <c r="W777" s="0" t="n">
        <v>4</v>
      </c>
      <c r="X777" s="3" t="n">
        <f aca="false">LOOKUP(V777,$AB$3:$AC$123)</f>
        <v>1.0402</v>
      </c>
      <c r="Y777" s="2" t="n">
        <f aca="false">(V777*((W777+T777)/1000)*X777)/((((W777+T777)/1000)*X777)-((W777/1000)*0.9982))</f>
        <v>62.78316556183</v>
      </c>
      <c r="Z777" s="3" t="n">
        <f aca="false">(X777*(V777/100)*((W777+T777)/1000))*1000</f>
        <v>0.503440546875</v>
      </c>
    </row>
    <row r="778" customFormat="false" ht="15" hidden="false" customHeight="false" outlineLevel="0" collapsed="false">
      <c r="A778" s="0" t="s">
        <v>46</v>
      </c>
      <c r="B778" s="0" t="s">
        <v>47</v>
      </c>
      <c r="C778" s="0" t="s">
        <v>28</v>
      </c>
      <c r="D778" s="0" t="s">
        <v>144</v>
      </c>
      <c r="E778" s="0" t="n">
        <v>17</v>
      </c>
      <c r="F778" s="0" t="n">
        <v>0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3" t="n">
        <v>4</v>
      </c>
      <c r="S778" s="0" t="n">
        <v>4.5</v>
      </c>
      <c r="T778" s="0" t="n">
        <f aca="false">(S778/32)*5</f>
        <v>0.703125</v>
      </c>
      <c r="V778" s="0" t="n">
        <v>21</v>
      </c>
      <c r="W778" s="0" t="n">
        <v>4</v>
      </c>
      <c r="X778" s="3" t="n">
        <f aca="false">LOOKUP(V778,$AB$3:$AC$123)</f>
        <v>1.08545</v>
      </c>
      <c r="Y778" s="2" t="n">
        <f aca="false">(V778*((W778+T778)/1000)*X778)/((((W778+T778)/1000)*X778)-((W778/1000)*0.9982))</f>
        <v>96.389561155501</v>
      </c>
      <c r="Z778" s="3" t="n">
        <f aca="false">(X778*(V778/100)*((W778+T778)/1000))*1000</f>
        <v>1.0720514765625</v>
      </c>
    </row>
    <row r="779" customFormat="false" ht="15" hidden="false" customHeight="false" outlineLevel="0" collapsed="false">
      <c r="A779" s="0" t="s">
        <v>48</v>
      </c>
      <c r="B779" s="0" t="s">
        <v>49</v>
      </c>
      <c r="C779" s="0" t="s">
        <v>28</v>
      </c>
      <c r="D779" s="0" t="s">
        <v>144</v>
      </c>
      <c r="E779" s="0" t="n">
        <v>17</v>
      </c>
      <c r="F779" s="0" t="n">
        <v>0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3" t="n">
        <v>5</v>
      </c>
      <c r="S779" s="0" t="n">
        <v>2.9</v>
      </c>
      <c r="T779" s="0" t="n">
        <f aca="false">(S779/32)*5</f>
        <v>0.453125</v>
      </c>
      <c r="V779" s="0" t="n">
        <v>11</v>
      </c>
      <c r="W779" s="0" t="n">
        <v>4</v>
      </c>
      <c r="X779" s="3" t="n">
        <f aca="false">LOOKUP(V779,$AB$3:$AC$123)</f>
        <v>1.0423</v>
      </c>
      <c r="Y779" s="2" t="n">
        <f aca="false">(V779*((W779+T779)/1000)*X779)/((((W779+T779)/1000)*X779)-((W779/1000)*0.9982))</f>
        <v>78.7066886981741</v>
      </c>
      <c r="Z779" s="3" t="n">
        <f aca="false">(X779*(V779/100)*((W779+T779)/1000))*1000</f>
        <v>0.510564140625</v>
      </c>
    </row>
    <row r="780" customFormat="false" ht="15" hidden="false" customHeight="false" outlineLevel="0" collapsed="false">
      <c r="A780" s="0" t="s">
        <v>50</v>
      </c>
      <c r="B780" s="0" t="s">
        <v>51</v>
      </c>
      <c r="C780" s="0" t="s">
        <v>28</v>
      </c>
      <c r="D780" s="0" t="s">
        <v>144</v>
      </c>
      <c r="E780" s="0" t="n">
        <v>17</v>
      </c>
      <c r="F780" s="0" t="n">
        <v>2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3" t="n">
        <v>3</v>
      </c>
      <c r="S780" s="0" t="n">
        <v>4</v>
      </c>
      <c r="T780" s="0" t="n">
        <f aca="false">(S780/32)*5</f>
        <v>0.625</v>
      </c>
      <c r="V780" s="0" t="n">
        <v>7.5</v>
      </c>
      <c r="W780" s="0" t="n">
        <v>4</v>
      </c>
      <c r="X780" s="3" t="n">
        <f aca="false">LOOKUP(V780,$AB$3:$AC$123)</f>
        <v>1.0279</v>
      </c>
      <c r="Y780" s="2" t="n">
        <f aca="false">(V780*((W780+T780)/1000)*X780)/((((W780+T780)/1000)*X780)-((W780/1000)*0.9982))</f>
        <v>46.8385769881279</v>
      </c>
      <c r="Z780" s="3" t="n">
        <f aca="false">(X780*(V780/100)*((W780+T780)/1000))*1000</f>
        <v>0.3565528125</v>
      </c>
    </row>
    <row r="781" customFormat="false" ht="15" hidden="false" customHeight="false" outlineLevel="0" collapsed="false">
      <c r="A781" s="0" t="s">
        <v>52</v>
      </c>
      <c r="B781" s="0" t="s">
        <v>53</v>
      </c>
      <c r="C781" s="0" t="s">
        <v>28</v>
      </c>
      <c r="D781" s="0" t="s">
        <v>144</v>
      </c>
      <c r="E781" s="0" t="n">
        <v>17</v>
      </c>
      <c r="F781" s="0" t="n">
        <v>0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3" t="n">
        <v>3</v>
      </c>
      <c r="S781" s="0" t="n">
        <v>3.7</v>
      </c>
      <c r="T781" s="0" t="n">
        <f aca="false">(S781/32)*5</f>
        <v>0.578125</v>
      </c>
      <c r="V781" s="0" t="n">
        <v>14</v>
      </c>
      <c r="W781" s="0" t="n">
        <v>4</v>
      </c>
      <c r="X781" s="3" t="n">
        <f aca="false">LOOKUP(V781,$AB$3:$AC$123)</f>
        <v>1.0549</v>
      </c>
      <c r="Y781" s="2" t="n">
        <f aca="false">(V781*((W781+T781)/1000)*X781)/((((W781+T781)/1000)*X781)-((W781/1000)*0.9982))</f>
        <v>80.812000784365</v>
      </c>
      <c r="Z781" s="3" t="n">
        <f aca="false">(X781*(V781/100)*((W781+T781)/1000))*1000</f>
        <v>0.67612496875</v>
      </c>
    </row>
    <row r="782" customFormat="false" ht="15" hidden="false" customHeight="false" outlineLevel="0" collapsed="false">
      <c r="A782" s="0" t="s">
        <v>54</v>
      </c>
      <c r="B782" s="0" t="s">
        <v>55</v>
      </c>
      <c r="C782" s="0" t="s">
        <v>56</v>
      </c>
      <c r="D782" s="0" t="s">
        <v>144</v>
      </c>
      <c r="E782" s="0" t="n">
        <v>17</v>
      </c>
      <c r="F782" s="0" t="n">
        <v>0</v>
      </c>
      <c r="G782" s="1"/>
      <c r="H782" s="1"/>
      <c r="I782" s="0" t="n">
        <v>0</v>
      </c>
      <c r="J782" s="0" t="n">
        <f aca="false">(I782/32)*5</f>
        <v>0</v>
      </c>
      <c r="L782" s="0" t="n">
        <v>0</v>
      </c>
      <c r="M782" s="0" t="n">
        <v>0</v>
      </c>
      <c r="N782" s="0" t="n">
        <f aca="false">L782</f>
        <v>0</v>
      </c>
      <c r="O782" s="3" t="n">
        <f aca="false">LOOKUP(L782,$AB$3:$AC$123)</f>
        <v>0.9982</v>
      </c>
      <c r="P782" s="3" t="n">
        <f aca="false">(O782*(N782/100)*(J782/1000))*1000</f>
        <v>0</v>
      </c>
      <c r="Q782" s="3"/>
      <c r="R782" s="1"/>
      <c r="S782" s="1"/>
      <c r="T782" s="1"/>
      <c r="U782" s="1"/>
      <c r="V782" s="1"/>
      <c r="W782" s="1"/>
      <c r="X782" s="1"/>
      <c r="Y782" s="5"/>
      <c r="Z782" s="1"/>
    </row>
    <row r="783" customFormat="false" ht="15" hidden="false" customHeight="false" outlineLevel="0" collapsed="false">
      <c r="A783" s="0" t="s">
        <v>57</v>
      </c>
      <c r="B783" s="0" t="s">
        <v>58</v>
      </c>
      <c r="C783" s="0" t="s">
        <v>56</v>
      </c>
      <c r="D783" s="0" t="s">
        <v>144</v>
      </c>
      <c r="E783" s="0" t="n">
        <v>17</v>
      </c>
      <c r="F783" s="0" t="n">
        <v>1</v>
      </c>
      <c r="G783" s="1"/>
      <c r="H783" s="1"/>
      <c r="I783" s="0" t="n">
        <f aca="false">20.4+32+8.2</f>
        <v>60.6</v>
      </c>
      <c r="J783" s="0" t="n">
        <f aca="false">(I783/32)*5</f>
        <v>9.46875</v>
      </c>
      <c r="L783" s="0" t="n">
        <v>25</v>
      </c>
      <c r="M783" s="0" t="n">
        <v>0</v>
      </c>
      <c r="N783" s="0" t="n">
        <f aca="false">L783</f>
        <v>25</v>
      </c>
      <c r="O783" s="3" t="n">
        <f aca="false">LOOKUP(L783,$AB$3:$AC$123)</f>
        <v>1.10355</v>
      </c>
      <c r="P783" s="3" t="n">
        <f aca="false">(O783*(N783/100)*(J783/1000))*1000</f>
        <v>2.612309765625</v>
      </c>
      <c r="Q783" s="3"/>
      <c r="R783" s="1"/>
      <c r="S783" s="1"/>
      <c r="T783" s="1"/>
      <c r="U783" s="1"/>
      <c r="V783" s="1"/>
      <c r="W783" s="1"/>
      <c r="X783" s="1"/>
      <c r="Y783" s="5"/>
      <c r="Z783" s="1"/>
    </row>
    <row r="784" customFormat="false" ht="15" hidden="false" customHeight="false" outlineLevel="0" collapsed="false">
      <c r="A784" s="0" t="s">
        <v>59</v>
      </c>
      <c r="B784" s="0" t="s">
        <v>60</v>
      </c>
      <c r="C784" s="0" t="s">
        <v>56</v>
      </c>
      <c r="D784" s="0" t="s">
        <v>144</v>
      </c>
      <c r="E784" s="0" t="n">
        <v>17</v>
      </c>
      <c r="F784" s="0" t="n">
        <v>2</v>
      </c>
      <c r="G784" s="1"/>
      <c r="H784" s="1"/>
      <c r="I784" s="0" t="n">
        <f aca="false">9.8+20.6</f>
        <v>30.4</v>
      </c>
      <c r="J784" s="0" t="n">
        <f aca="false">(I784/32)*5</f>
        <v>4.75</v>
      </c>
      <c r="L784" s="0" t="n">
        <v>18</v>
      </c>
      <c r="M784" s="0" t="n">
        <v>0</v>
      </c>
      <c r="N784" s="0" t="n">
        <f aca="false">L784</f>
        <v>18</v>
      </c>
      <c r="O784" s="3" t="n">
        <f aca="false">LOOKUP(L784,$AB$3:$AC$123)</f>
        <v>1.0722</v>
      </c>
      <c r="P784" s="3" t="n">
        <f aca="false">(O784*(N784/100)*(J784/1000))*1000</f>
        <v>0.916731</v>
      </c>
      <c r="Q784" s="3"/>
      <c r="R784" s="1"/>
      <c r="S784" s="1"/>
      <c r="T784" s="1"/>
      <c r="U784" s="1"/>
      <c r="V784" s="1"/>
      <c r="W784" s="1"/>
      <c r="X784" s="1"/>
      <c r="Y784" s="5"/>
      <c r="Z784" s="1"/>
    </row>
    <row r="785" customFormat="false" ht="15" hidden="false" customHeight="false" outlineLevel="0" collapsed="false">
      <c r="A785" s="0" t="s">
        <v>61</v>
      </c>
      <c r="B785" s="0" t="s">
        <v>62</v>
      </c>
      <c r="C785" s="0" t="s">
        <v>56</v>
      </c>
      <c r="D785" s="0" t="s">
        <v>144</v>
      </c>
      <c r="E785" s="0" t="n">
        <v>17</v>
      </c>
      <c r="F785" s="0" t="n">
        <v>1</v>
      </c>
      <c r="G785" s="1"/>
      <c r="H785" s="1"/>
      <c r="I785" s="0" t="n">
        <f aca="false">32+7.3</f>
        <v>39.3</v>
      </c>
      <c r="J785" s="0" t="n">
        <f aca="false">(I785/32)*5</f>
        <v>6.140625</v>
      </c>
      <c r="L785" s="0" t="n">
        <v>15</v>
      </c>
      <c r="M785" s="0" t="n">
        <v>0</v>
      </c>
      <c r="N785" s="0" t="n">
        <f aca="false">L785</f>
        <v>15</v>
      </c>
      <c r="O785" s="3" t="n">
        <f aca="false">LOOKUP(L785,$AB$3:$AC$123)</f>
        <v>1.0592</v>
      </c>
      <c r="P785" s="3" t="n">
        <f aca="false">(O785*(N785/100)*(J785/1000))*1000</f>
        <v>0.9756225</v>
      </c>
      <c r="Q785" s="3"/>
      <c r="R785" s="1"/>
      <c r="S785" s="1"/>
      <c r="T785" s="1"/>
      <c r="U785" s="1"/>
      <c r="V785" s="1"/>
      <c r="W785" s="1"/>
      <c r="X785" s="1"/>
      <c r="Y785" s="5"/>
      <c r="Z785" s="1"/>
    </row>
    <row r="786" customFormat="false" ht="15" hidden="false" customHeight="false" outlineLevel="0" collapsed="false">
      <c r="A786" s="0" t="s">
        <v>63</v>
      </c>
      <c r="B786" s="0" t="s">
        <v>64</v>
      </c>
      <c r="C786" s="0" t="s">
        <v>56</v>
      </c>
      <c r="D786" s="0" t="s">
        <v>144</v>
      </c>
      <c r="E786" s="0" t="n">
        <v>17</v>
      </c>
      <c r="F786" s="0" t="n">
        <v>0</v>
      </c>
      <c r="G786" s="1"/>
      <c r="H786" s="1"/>
      <c r="I786" s="0" t="n">
        <v>0</v>
      </c>
      <c r="J786" s="0" t="n">
        <f aca="false">(I786/32)*5</f>
        <v>0</v>
      </c>
      <c r="L786" s="0" t="n">
        <v>0</v>
      </c>
      <c r="M786" s="0" t="n">
        <v>0</v>
      </c>
      <c r="N786" s="0" t="n">
        <f aca="false">L786</f>
        <v>0</v>
      </c>
      <c r="O786" s="3" t="n">
        <v>0</v>
      </c>
      <c r="P786" s="3" t="n">
        <f aca="false">(O786*(N786/100)*(J786/1000))*1000</f>
        <v>0</v>
      </c>
      <c r="Q786" s="3"/>
      <c r="R786" s="1"/>
      <c r="S786" s="1"/>
      <c r="T786" s="1"/>
      <c r="U786" s="1"/>
      <c r="V786" s="1"/>
      <c r="W786" s="1"/>
      <c r="X786" s="1"/>
      <c r="Y786" s="5"/>
      <c r="Z786" s="1"/>
    </row>
    <row r="787" customFormat="false" ht="15" hidden="false" customHeight="false" outlineLevel="0" collapsed="false">
      <c r="A787" s="0" t="s">
        <v>65</v>
      </c>
      <c r="B787" s="0" t="s">
        <v>66</v>
      </c>
      <c r="C787" s="0" t="s">
        <v>56</v>
      </c>
      <c r="D787" s="0" t="s">
        <v>144</v>
      </c>
      <c r="E787" s="0" t="n">
        <v>17</v>
      </c>
      <c r="F787" s="0" t="n">
        <v>0</v>
      </c>
      <c r="G787" s="1"/>
      <c r="H787" s="1"/>
      <c r="I787" s="0" t="n">
        <v>0</v>
      </c>
      <c r="J787" s="0" t="n">
        <f aca="false">(I787/32)*5</f>
        <v>0</v>
      </c>
      <c r="L787" s="0" t="n">
        <v>0</v>
      </c>
      <c r="M787" s="0" t="n">
        <v>0</v>
      </c>
      <c r="N787" s="0" t="n">
        <f aca="false">L787</f>
        <v>0</v>
      </c>
      <c r="O787" s="3" t="n">
        <v>0</v>
      </c>
      <c r="P787" s="3" t="n">
        <f aca="false">(O787*(N787/100)*(J787/1000))*1000</f>
        <v>0</v>
      </c>
      <c r="Q787" s="3"/>
      <c r="R787" s="1"/>
      <c r="S787" s="1"/>
      <c r="T787" s="1"/>
      <c r="U787" s="1"/>
      <c r="V787" s="1"/>
      <c r="W787" s="1"/>
      <c r="X787" s="1"/>
      <c r="Y787" s="5"/>
      <c r="Z787" s="1"/>
    </row>
    <row r="788" customFormat="false" ht="15" hidden="false" customHeight="false" outlineLevel="0" collapsed="false">
      <c r="A788" s="0" t="s">
        <v>67</v>
      </c>
      <c r="B788" s="0" t="s">
        <v>68</v>
      </c>
      <c r="C788" s="0" t="s">
        <v>56</v>
      </c>
      <c r="D788" s="0" t="s">
        <v>144</v>
      </c>
      <c r="E788" s="0" t="n">
        <v>17</v>
      </c>
      <c r="F788" s="0" t="n">
        <v>0</v>
      </c>
      <c r="G788" s="1"/>
      <c r="H788" s="1"/>
      <c r="I788" s="0" t="n">
        <v>0</v>
      </c>
      <c r="J788" s="0" t="n">
        <f aca="false">(I788/32)*5</f>
        <v>0</v>
      </c>
      <c r="L788" s="0" t="n">
        <v>0</v>
      </c>
      <c r="M788" s="0" t="n">
        <v>0</v>
      </c>
      <c r="N788" s="0" t="n">
        <f aca="false">L788</f>
        <v>0</v>
      </c>
      <c r="O788" s="3" t="n">
        <v>0</v>
      </c>
      <c r="P788" s="3" t="n">
        <f aca="false">(O788*(N788/100)*(J788/1000))*1000</f>
        <v>0</v>
      </c>
      <c r="Q788" s="3"/>
      <c r="R788" s="1"/>
      <c r="S788" s="1"/>
      <c r="T788" s="1"/>
      <c r="U788" s="1"/>
      <c r="V788" s="1"/>
      <c r="W788" s="1"/>
      <c r="X788" s="1"/>
      <c r="Y788" s="5"/>
      <c r="Z788" s="1"/>
    </row>
    <row r="789" customFormat="false" ht="15" hidden="false" customHeight="false" outlineLevel="0" collapsed="false">
      <c r="A789" s="0" t="s">
        <v>69</v>
      </c>
      <c r="B789" s="0" t="s">
        <v>70</v>
      </c>
      <c r="C789" s="0" t="s">
        <v>56</v>
      </c>
      <c r="D789" s="0" t="s">
        <v>144</v>
      </c>
      <c r="E789" s="0" t="n">
        <v>17</v>
      </c>
      <c r="F789" s="0" t="n">
        <v>0</v>
      </c>
      <c r="G789" s="1"/>
      <c r="H789" s="1"/>
      <c r="I789" s="0" t="n">
        <v>0</v>
      </c>
      <c r="J789" s="0" t="n">
        <f aca="false">(I789/32)*5</f>
        <v>0</v>
      </c>
      <c r="L789" s="0" t="n">
        <v>0</v>
      </c>
      <c r="M789" s="0" t="n">
        <v>0</v>
      </c>
      <c r="N789" s="0" t="n">
        <f aca="false">L789</f>
        <v>0</v>
      </c>
      <c r="O789" s="3" t="n">
        <v>0</v>
      </c>
      <c r="P789" s="3" t="n">
        <f aca="false">(O789*(N789/100)*(J789/1000))*1000</f>
        <v>0</v>
      </c>
      <c r="Q789" s="3"/>
      <c r="R789" s="1"/>
      <c r="S789" s="1"/>
      <c r="T789" s="1"/>
      <c r="U789" s="1"/>
      <c r="V789" s="1"/>
      <c r="W789" s="1"/>
      <c r="X789" s="1"/>
      <c r="Y789" s="5"/>
      <c r="Z789" s="1"/>
    </row>
    <row r="790" customFormat="false" ht="15" hidden="false" customHeight="false" outlineLevel="0" collapsed="false">
      <c r="A790" s="0" t="s">
        <v>71</v>
      </c>
      <c r="B790" s="0" t="s">
        <v>72</v>
      </c>
      <c r="C790" s="0" t="s">
        <v>56</v>
      </c>
      <c r="D790" s="0" t="s">
        <v>144</v>
      </c>
      <c r="E790" s="0" t="n">
        <v>17</v>
      </c>
      <c r="F790" s="0" t="n">
        <v>1</v>
      </c>
      <c r="G790" s="1"/>
      <c r="H790" s="1"/>
      <c r="I790" s="0" t="n">
        <v>44.2</v>
      </c>
      <c r="J790" s="0" t="n">
        <f aca="false">(I790/32)*5</f>
        <v>6.90625</v>
      </c>
      <c r="L790" s="0" t="n">
        <v>24</v>
      </c>
      <c r="M790" s="0" t="n">
        <v>0</v>
      </c>
      <c r="N790" s="0" t="n">
        <f aca="false">L790</f>
        <v>24</v>
      </c>
      <c r="O790" s="3" t="n">
        <f aca="false">LOOKUP(L790,$AB$3:$AC$123)</f>
        <v>1.099</v>
      </c>
      <c r="P790" s="3" t="n">
        <f aca="false">(O790*(N790/100)*(J790/1000))*1000</f>
        <v>1.8215925</v>
      </c>
      <c r="Q790" s="3"/>
      <c r="R790" s="1"/>
      <c r="S790" s="1"/>
      <c r="T790" s="1"/>
      <c r="U790" s="1"/>
      <c r="V790" s="1"/>
      <c r="W790" s="1"/>
      <c r="X790" s="1"/>
      <c r="Y790" s="5"/>
      <c r="Z790" s="1"/>
    </row>
    <row r="791" customFormat="false" ht="15" hidden="false" customHeight="false" outlineLevel="0" collapsed="false">
      <c r="A791" s="0" t="s">
        <v>73</v>
      </c>
      <c r="B791" s="0" t="s">
        <v>74</v>
      </c>
      <c r="C791" s="0" t="s">
        <v>56</v>
      </c>
      <c r="D791" s="0" t="s">
        <v>144</v>
      </c>
      <c r="E791" s="0" t="n">
        <v>17</v>
      </c>
      <c r="F791" s="0" t="n">
        <v>1</v>
      </c>
      <c r="G791" s="1"/>
      <c r="H791" s="1"/>
      <c r="I791" s="0" t="n">
        <f aca="false">64+4.4</f>
        <v>68.4</v>
      </c>
      <c r="J791" s="0" t="n">
        <f aca="false">(I791/32)*5</f>
        <v>10.6875</v>
      </c>
      <c r="L791" s="0" t="n">
        <v>22</v>
      </c>
      <c r="M791" s="0" t="n">
        <v>0</v>
      </c>
      <c r="N791" s="0" t="n">
        <f aca="false">L791</f>
        <v>22</v>
      </c>
      <c r="O791" s="3" t="n">
        <f aca="false">LOOKUP(L791,$AB$3:$AC$123)</f>
        <v>1.0899</v>
      </c>
      <c r="P791" s="3" t="n">
        <f aca="false">(O791*(N791/100)*(J791/1000))*1000</f>
        <v>2.562627375</v>
      </c>
      <c r="Q791" s="3"/>
      <c r="R791" s="1"/>
      <c r="S791" s="1"/>
      <c r="T791" s="1"/>
      <c r="U791" s="1"/>
      <c r="V791" s="1"/>
      <c r="W791" s="1"/>
      <c r="X791" s="1"/>
      <c r="Y791" s="5"/>
      <c r="Z791" s="1"/>
    </row>
    <row r="792" customFormat="false" ht="15" hidden="false" customHeight="false" outlineLevel="0" collapsed="false">
      <c r="A792" s="0" t="s">
        <v>75</v>
      </c>
      <c r="B792" s="0" t="s">
        <v>76</v>
      </c>
      <c r="C792" s="0" t="s">
        <v>56</v>
      </c>
      <c r="D792" s="0" t="s">
        <v>144</v>
      </c>
      <c r="E792" s="0" t="n">
        <v>17</v>
      </c>
      <c r="F792" s="0" t="n">
        <v>0</v>
      </c>
      <c r="G792" s="1"/>
      <c r="H792" s="1"/>
      <c r="I792" s="0" t="n">
        <v>0</v>
      </c>
      <c r="J792" s="0" t="n">
        <f aca="false">(I792/32)*5</f>
        <v>0</v>
      </c>
      <c r="L792" s="0" t="n">
        <v>0</v>
      </c>
      <c r="M792" s="0" t="n">
        <v>0</v>
      </c>
      <c r="N792" s="0" t="n">
        <f aca="false">L792</f>
        <v>0</v>
      </c>
      <c r="O792" s="3" t="n">
        <v>0</v>
      </c>
      <c r="P792" s="3" t="n">
        <f aca="false">(O792*(N792/100)*(J792/1000))*1000</f>
        <v>0</v>
      </c>
      <c r="Q792" s="3"/>
      <c r="R792" s="1"/>
      <c r="S792" s="1"/>
      <c r="T792" s="1"/>
      <c r="U792" s="1"/>
      <c r="V792" s="1"/>
      <c r="W792" s="1"/>
      <c r="X792" s="1"/>
      <c r="Y792" s="5"/>
      <c r="Z792" s="1"/>
    </row>
    <row r="793" customFormat="false" ht="15" hidden="false" customHeight="false" outlineLevel="0" collapsed="false">
      <c r="A793" s="0" t="s">
        <v>77</v>
      </c>
      <c r="B793" s="0" t="s">
        <v>78</v>
      </c>
      <c r="C793" s="0" t="s">
        <v>56</v>
      </c>
      <c r="D793" s="0" t="s">
        <v>144</v>
      </c>
      <c r="E793" s="0" t="n">
        <v>17</v>
      </c>
      <c r="F793" s="0" t="n">
        <v>1</v>
      </c>
      <c r="G793" s="1"/>
      <c r="H793" s="1"/>
      <c r="I793" s="0" t="n">
        <f aca="false">32*3</f>
        <v>96</v>
      </c>
      <c r="J793" s="0" t="n">
        <f aca="false">(I793/32)*5</f>
        <v>15</v>
      </c>
      <c r="L793" s="0" t="n">
        <v>20</v>
      </c>
      <c r="M793" s="0" t="n">
        <v>0</v>
      </c>
      <c r="N793" s="0" t="n">
        <f aca="false">L793</f>
        <v>20</v>
      </c>
      <c r="O793" s="3" t="n">
        <f aca="false">LOOKUP(L793,$AB$3:$AC$123)</f>
        <v>1.081</v>
      </c>
      <c r="P793" s="3" t="n">
        <f aca="false">(O793*(N793/100)*(J793/1000))*1000</f>
        <v>3.243</v>
      </c>
      <c r="Q793" s="3"/>
      <c r="R793" s="1"/>
      <c r="S793" s="1"/>
      <c r="T793" s="1"/>
      <c r="U793" s="1"/>
      <c r="V793" s="1"/>
      <c r="W793" s="1"/>
      <c r="X793" s="1"/>
      <c r="Y793" s="5"/>
      <c r="Z793" s="1"/>
    </row>
    <row r="794" customFormat="false" ht="15" hidden="false" customHeight="false" outlineLevel="0" collapsed="false">
      <c r="A794" s="0" t="s">
        <v>79</v>
      </c>
      <c r="B794" s="0" t="s">
        <v>80</v>
      </c>
      <c r="C794" s="0" t="s">
        <v>81</v>
      </c>
      <c r="D794" s="0" t="s">
        <v>144</v>
      </c>
      <c r="E794" s="0" t="n">
        <v>17</v>
      </c>
      <c r="F794" s="0" t="n">
        <v>0</v>
      </c>
      <c r="G794" s="1"/>
      <c r="H794" s="1"/>
      <c r="I794" s="0" t="n">
        <v>0</v>
      </c>
      <c r="J794" s="0" t="n">
        <f aca="false">(I794/32)*5</f>
        <v>0</v>
      </c>
      <c r="L794" s="0" t="n">
        <v>0</v>
      </c>
      <c r="M794" s="0" t="n">
        <v>0</v>
      </c>
      <c r="N794" s="0" t="n">
        <f aca="false">L794</f>
        <v>0</v>
      </c>
      <c r="O794" s="3" t="n">
        <v>0</v>
      </c>
      <c r="P794" s="3" t="n">
        <f aca="false">(O794*(N794/100)*(J794/1000))*1000</f>
        <v>0</v>
      </c>
      <c r="Q794" s="3"/>
      <c r="R794" s="0" t="n">
        <v>2</v>
      </c>
      <c r="S794" s="0" t="n">
        <v>1.2</v>
      </c>
      <c r="T794" s="0" t="n">
        <f aca="false">(S794/32)*5</f>
        <v>0.1875</v>
      </c>
      <c r="V794" s="0" t="n">
        <v>1</v>
      </c>
      <c r="W794" s="0" t="n">
        <v>2</v>
      </c>
      <c r="X794" s="3" t="n">
        <f aca="false">LOOKUP(V794,$AB$3:$AC$123)</f>
        <v>1.0021</v>
      </c>
      <c r="Y794" s="2" t="n">
        <f aca="false">(V794*((W794+T794)/1000)*X794)/((((W794+T794)/1000)*X794)-((W794/1000)*0.9982))</f>
        <v>11.2016543706685</v>
      </c>
      <c r="Z794" s="3" t="n">
        <f aca="false">(X794*(V794/100)*((W794+T794)/1000))*1000</f>
        <v>0.0219209375</v>
      </c>
    </row>
    <row r="795" customFormat="false" ht="15" hidden="false" customHeight="false" outlineLevel="0" collapsed="false">
      <c r="A795" s="0" t="s">
        <v>82</v>
      </c>
      <c r="B795" s="0" t="s">
        <v>83</v>
      </c>
      <c r="C795" s="0" t="s">
        <v>81</v>
      </c>
      <c r="D795" s="0" t="s">
        <v>144</v>
      </c>
      <c r="E795" s="0" t="n">
        <v>17</v>
      </c>
      <c r="F795" s="0" t="n">
        <v>0</v>
      </c>
      <c r="G795" s="1"/>
      <c r="H795" s="1"/>
      <c r="I795" s="0" t="n">
        <v>0</v>
      </c>
      <c r="J795" s="0" t="n">
        <f aca="false">(I795/32)*5</f>
        <v>0</v>
      </c>
      <c r="L795" s="0" t="n">
        <v>0</v>
      </c>
      <c r="M795" s="0" t="n">
        <v>0</v>
      </c>
      <c r="N795" s="0" t="n">
        <f aca="false">L795</f>
        <v>0</v>
      </c>
      <c r="O795" s="3" t="n">
        <v>0</v>
      </c>
      <c r="P795" s="3" t="n">
        <f aca="false">(O795*(N795/100)*(J795/1000))*1000</f>
        <v>0</v>
      </c>
      <c r="Q795" s="3"/>
      <c r="R795" s="0" t="n">
        <v>4</v>
      </c>
      <c r="S795" s="0" t="n">
        <v>4.9</v>
      </c>
      <c r="T795" s="0" t="n">
        <f aca="false">(S795/32)*5</f>
        <v>0.765625</v>
      </c>
      <c r="V795" s="0" t="n">
        <v>1.1</v>
      </c>
      <c r="W795" s="0" t="n">
        <v>4</v>
      </c>
      <c r="X795" s="3" t="n">
        <f aca="false">LOOKUP(V795,$AB$3:$AC$123)</f>
        <v>1.0021</v>
      </c>
      <c r="Y795" s="2" t="n">
        <f aca="false">(V795*((W795+T795)/1000)*X795)/((((W795+T795)/1000)*X795)-((W795/1000)*0.9982))</f>
        <v>6.71049553604398</v>
      </c>
      <c r="Z795" s="3" t="n">
        <f aca="false">(X795*(V795/100)*((W795+T795)/1000))*1000</f>
        <v>0.0525319609375</v>
      </c>
    </row>
    <row r="796" customFormat="false" ht="15" hidden="false" customHeight="false" outlineLevel="0" collapsed="false">
      <c r="A796" s="0" t="s">
        <v>84</v>
      </c>
      <c r="B796" s="0" t="s">
        <v>85</v>
      </c>
      <c r="C796" s="0" t="s">
        <v>81</v>
      </c>
      <c r="D796" s="0" t="s">
        <v>144</v>
      </c>
      <c r="E796" s="0" t="n">
        <v>17</v>
      </c>
      <c r="F796" s="0" t="n">
        <v>0</v>
      </c>
      <c r="G796" s="1"/>
      <c r="H796" s="1"/>
      <c r="I796" s="0" t="n">
        <v>0</v>
      </c>
      <c r="J796" s="0" t="n">
        <f aca="false">(I796/32)*5</f>
        <v>0</v>
      </c>
      <c r="L796" s="0" t="n">
        <v>0</v>
      </c>
      <c r="M796" s="0" t="n">
        <v>0</v>
      </c>
      <c r="N796" s="0" t="n">
        <f aca="false">L796</f>
        <v>0</v>
      </c>
      <c r="O796" s="3" t="n">
        <v>0</v>
      </c>
      <c r="P796" s="3" t="n">
        <f aca="false">(O796*(N796/100)*(J796/1000))*1000</f>
        <v>0</v>
      </c>
      <c r="Q796" s="3"/>
      <c r="R796" s="0" t="n">
        <v>3</v>
      </c>
      <c r="S796" s="0" t="n">
        <v>4.8</v>
      </c>
      <c r="T796" s="0" t="n">
        <f aca="false">(S796/32)*5</f>
        <v>0.75</v>
      </c>
      <c r="V796" s="0" t="n">
        <v>4.5</v>
      </c>
      <c r="W796" s="0" t="n">
        <v>4</v>
      </c>
      <c r="X796" s="3" t="n">
        <f aca="false">LOOKUP(V796,$AB$3:$AC$123)</f>
        <v>1.0159</v>
      </c>
      <c r="Y796" s="2" t="n">
        <f aca="false">(V796*((W796+T796)/1000)*X796)/((((W796+T796)/1000)*X796)-((W796/1000)*0.9982))</f>
        <v>26.0768711159146</v>
      </c>
      <c r="Z796" s="3" t="n">
        <f aca="false">(X796*(V796/100)*((W796+T796)/1000))*1000</f>
        <v>0.217148625</v>
      </c>
    </row>
    <row r="797" customFormat="false" ht="15" hidden="false" customHeight="false" outlineLevel="0" collapsed="false">
      <c r="A797" s="0" t="s">
        <v>86</v>
      </c>
      <c r="B797" s="0" t="s">
        <v>87</v>
      </c>
      <c r="C797" s="0" t="s">
        <v>81</v>
      </c>
      <c r="D797" s="0" t="s">
        <v>144</v>
      </c>
      <c r="E797" s="0" t="n">
        <v>17</v>
      </c>
      <c r="F797" s="0" t="n">
        <v>1</v>
      </c>
      <c r="G797" s="1"/>
      <c r="H797" s="1"/>
      <c r="I797" s="0" t="n">
        <v>42.1</v>
      </c>
      <c r="J797" s="0" t="n">
        <f aca="false">(I797/32)*5</f>
        <v>6.578125</v>
      </c>
      <c r="L797" s="0" t="n">
        <v>16.5</v>
      </c>
      <c r="M797" s="0" t="n">
        <v>0</v>
      </c>
      <c r="N797" s="0" t="n">
        <f aca="false">L797</f>
        <v>16.5</v>
      </c>
      <c r="O797" s="3" t="n">
        <f aca="false">LOOKUP(L797,$AB$3:$AC$123)</f>
        <v>1.06565</v>
      </c>
      <c r="P797" s="3" t="n">
        <f aca="false">(O797*(N797/100)*(J797/1000))*1000</f>
        <v>1.15664651953125</v>
      </c>
      <c r="Q797" s="3"/>
      <c r="R797" s="0" t="n">
        <v>5</v>
      </c>
      <c r="S797" s="0" t="n">
        <v>4.8</v>
      </c>
      <c r="T797" s="0" t="n">
        <f aca="false">(S797/32)*5</f>
        <v>0.75</v>
      </c>
      <c r="V797" s="0" t="n">
        <v>6.5</v>
      </c>
      <c r="W797" s="0" t="n">
        <v>4</v>
      </c>
      <c r="X797" s="3" t="n">
        <f aca="false">LOOKUP(V797,$AB$3:$AC$123)</f>
        <v>1.02385</v>
      </c>
      <c r="Y797" s="2" t="n">
        <f aca="false">(V797*((W797+T797)/1000)*X797)/((((W797+T797)/1000)*X797)-((W797/1000)*0.9982))</f>
        <v>36.3145579344908</v>
      </c>
      <c r="Z797" s="3" t="n">
        <f aca="false">(X797*(V797/100)*((W797+T797)/1000))*1000</f>
        <v>0.3161136875</v>
      </c>
    </row>
    <row r="798" customFormat="false" ht="15" hidden="false" customHeight="false" outlineLevel="0" collapsed="false">
      <c r="A798" s="0" t="s">
        <v>88</v>
      </c>
      <c r="B798" s="0" t="s">
        <v>89</v>
      </c>
      <c r="C798" s="0" t="s">
        <v>81</v>
      </c>
      <c r="D798" s="0" t="s">
        <v>144</v>
      </c>
      <c r="E798" s="0" t="n">
        <v>17</v>
      </c>
      <c r="F798" s="0" t="n">
        <v>1</v>
      </c>
      <c r="G798" s="1"/>
      <c r="H798" s="1"/>
      <c r="I798" s="0" t="n">
        <v>21</v>
      </c>
      <c r="J798" s="0" t="n">
        <f aca="false">(I798/32)*5</f>
        <v>3.28125</v>
      </c>
      <c r="L798" s="0" t="n">
        <v>25.5</v>
      </c>
      <c r="M798" s="0" t="n">
        <v>0</v>
      </c>
      <c r="N798" s="0" t="n">
        <f aca="false">L798</f>
        <v>25.5</v>
      </c>
      <c r="O798" s="3" t="n">
        <f aca="false">LOOKUP(L798,$AB$3:$AC$123)</f>
        <v>1.105825</v>
      </c>
      <c r="P798" s="3" t="n">
        <f aca="false">(O798*(N798/100)*(J798/1000))*1000</f>
        <v>0.92526451171875</v>
      </c>
      <c r="Q798" s="3"/>
      <c r="R798" s="0" t="n">
        <v>4</v>
      </c>
      <c r="S798" s="0" t="n">
        <v>7.1</v>
      </c>
      <c r="T798" s="0" t="n">
        <f aca="false">(S798/32)*5</f>
        <v>1.109375</v>
      </c>
      <c r="V798" s="0" t="n">
        <v>8</v>
      </c>
      <c r="W798" s="0" t="n">
        <v>4</v>
      </c>
      <c r="X798" s="3" t="n">
        <f aca="false">LOOKUP(V798,$AB$3:$AC$123)</f>
        <v>1.0299</v>
      </c>
      <c r="Y798" s="2" t="n">
        <f aca="false">(V798*((W798+T798)/1000)*X798)/((((W798+T798)/1000)*X798)-((W798/1000)*0.9982))</f>
        <v>33.1644683959866</v>
      </c>
      <c r="Z798" s="3" t="n">
        <f aca="false">(X798*(V798/100)*((W798+T798)/1000))*1000</f>
        <v>0.420971625</v>
      </c>
    </row>
    <row r="799" customFormat="false" ht="15" hidden="false" customHeight="false" outlineLevel="0" collapsed="false">
      <c r="A799" s="0" t="s">
        <v>90</v>
      </c>
      <c r="B799" s="0" t="s">
        <v>91</v>
      </c>
      <c r="C799" s="0" t="s">
        <v>81</v>
      </c>
      <c r="D799" s="0" t="s">
        <v>144</v>
      </c>
      <c r="E799" s="0" t="n">
        <v>17</v>
      </c>
      <c r="F799" s="0" t="n">
        <v>1</v>
      </c>
      <c r="G799" s="1"/>
      <c r="H799" s="1"/>
      <c r="I799" s="0" t="n">
        <f aca="false">64+4.3</f>
        <v>68.3</v>
      </c>
      <c r="J799" s="0" t="n">
        <f aca="false">(I799/32)*5</f>
        <v>10.671875</v>
      </c>
      <c r="L799" s="0" t="n">
        <v>10</v>
      </c>
      <c r="M799" s="0" t="n">
        <v>0</v>
      </c>
      <c r="N799" s="0" t="n">
        <f aca="false">L799</f>
        <v>10</v>
      </c>
      <c r="O799" s="3" t="n">
        <f aca="false">LOOKUP(L799,$AB$3:$AC$123)</f>
        <v>1.0381</v>
      </c>
      <c r="P799" s="3" t="n">
        <f aca="false">(O799*(N799/100)*(J799/1000))*1000</f>
        <v>1.10784734375</v>
      </c>
      <c r="Q799" s="3"/>
      <c r="R799" s="0" t="n">
        <v>4</v>
      </c>
      <c r="S799" s="0" t="n">
        <v>7.7</v>
      </c>
      <c r="T799" s="0" t="n">
        <f aca="false">(S799/32)*5</f>
        <v>1.203125</v>
      </c>
      <c r="V799" s="0" t="n">
        <v>5</v>
      </c>
      <c r="W799" s="0" t="n">
        <v>4</v>
      </c>
      <c r="X799" s="3" t="n">
        <f aca="false">LOOKUP(V799,$AB$3:$AC$123)</f>
        <v>1.0179</v>
      </c>
      <c r="Y799" s="2" t="n">
        <f aca="false">(V799*((W799+T799)/1000)*X799)/((((W799+T799)/1000)*X799)-((W799/1000)*0.9982))</f>
        <v>20.3161475159282</v>
      </c>
      <c r="Z799" s="3" t="n">
        <f aca="false">(X799*(V799/100)*((W799+T799)/1000))*1000</f>
        <v>0.264813046875</v>
      </c>
    </row>
    <row r="800" customFormat="false" ht="15" hidden="false" customHeight="false" outlineLevel="0" collapsed="false">
      <c r="A800" s="0" t="s">
        <v>92</v>
      </c>
      <c r="B800" s="0" t="s">
        <v>93</v>
      </c>
      <c r="C800" s="0" t="s">
        <v>81</v>
      </c>
      <c r="D800" s="0" t="s">
        <v>144</v>
      </c>
      <c r="E800" s="0" t="n">
        <v>17</v>
      </c>
      <c r="F800" s="0" t="n">
        <v>1</v>
      </c>
      <c r="G800" s="1"/>
      <c r="H800" s="1"/>
      <c r="I800" s="0" t="n">
        <f aca="false">64+6.3</f>
        <v>70.3</v>
      </c>
      <c r="J800" s="0" t="n">
        <f aca="false">(I800/32)*5</f>
        <v>10.984375</v>
      </c>
      <c r="L800" s="0" t="n">
        <v>22.5</v>
      </c>
      <c r="M800" s="0" t="n">
        <v>0</v>
      </c>
      <c r="N800" s="0" t="n">
        <f aca="false">L800</f>
        <v>22.5</v>
      </c>
      <c r="O800" s="3" t="n">
        <f aca="false">LOOKUP(L800,$AB$3:$AC$123)</f>
        <v>1.092175</v>
      </c>
      <c r="P800" s="3" t="n">
        <f aca="false">(O800*(N800/100)*(J800/1000))*1000</f>
        <v>2.69929344726563</v>
      </c>
      <c r="Q800" s="3"/>
      <c r="R800" s="0" t="n">
        <v>4</v>
      </c>
      <c r="S800" s="0" t="n">
        <v>8.7</v>
      </c>
      <c r="T800" s="0" t="n">
        <f aca="false">(S800/32)*5</f>
        <v>1.359375</v>
      </c>
      <c r="V800" s="0" t="n">
        <v>12</v>
      </c>
      <c r="W800" s="0" t="n">
        <v>4</v>
      </c>
      <c r="X800" s="3" t="n">
        <f aca="false">LOOKUP(V800,$AB$3:$AC$123)</f>
        <v>1.0465</v>
      </c>
      <c r="Y800" s="2" t="n">
        <f aca="false">(V800*((W800+T800)/1000)*X800)/((((W800+T800)/1000)*X800)-((W800/1000)*0.9982))</f>
        <v>41.6534329752452</v>
      </c>
      <c r="Z800" s="3" t="n">
        <f aca="false">(X800*(V800/100)*((W800+T800)/1000))*1000</f>
        <v>0.6730303125</v>
      </c>
    </row>
    <row r="801" customFormat="false" ht="15" hidden="false" customHeight="false" outlineLevel="0" collapsed="false">
      <c r="A801" s="0" t="s">
        <v>94</v>
      </c>
      <c r="B801" s="0" t="s">
        <v>95</v>
      </c>
      <c r="C801" s="0" t="s">
        <v>81</v>
      </c>
      <c r="D801" s="0" t="s">
        <v>144</v>
      </c>
      <c r="E801" s="0" t="n">
        <v>17</v>
      </c>
      <c r="F801" s="0" t="n">
        <v>2</v>
      </c>
      <c r="G801" s="1"/>
      <c r="H801" s="1"/>
      <c r="I801" s="0" t="n">
        <f aca="false">96+7.4</f>
        <v>103.4</v>
      </c>
      <c r="J801" s="0" t="n">
        <f aca="false">(I801/32)*5</f>
        <v>16.15625</v>
      </c>
      <c r="L801" s="0" t="n">
        <v>21.5</v>
      </c>
      <c r="M801" s="0" t="n">
        <v>0</v>
      </c>
      <c r="N801" s="0" t="n">
        <f aca="false">L801</f>
        <v>21.5</v>
      </c>
      <c r="O801" s="3" t="n">
        <f aca="false">LOOKUP(L801,$AB$3:$AC$123)</f>
        <v>1.087675</v>
      </c>
      <c r="P801" s="3" t="n">
        <f aca="false">(O801*(N801/100)*(J801/1000))*1000</f>
        <v>3.77814108203125</v>
      </c>
      <c r="Q801" s="3"/>
      <c r="R801" s="0" t="n">
        <v>6</v>
      </c>
      <c r="S801" s="0" t="n">
        <v>18.5</v>
      </c>
      <c r="T801" s="0" t="n">
        <f aca="false">(S801/32)*5</f>
        <v>2.890625</v>
      </c>
      <c r="V801" s="0" t="n">
        <v>32</v>
      </c>
      <c r="W801" s="0" t="n">
        <v>4</v>
      </c>
      <c r="X801" s="3" t="n">
        <f aca="false">LOOKUP(V801,$AB$3:$AC$123)</f>
        <v>1.1366</v>
      </c>
      <c r="Y801" s="2" t="n">
        <f aca="false">(V801*((W801+T801)/1000)*X801)/((((W801+T801)/1000)*X801)-((W801/1000)*0.9982))</f>
        <v>65.281269052598</v>
      </c>
      <c r="Z801" s="3" t="n">
        <f aca="false">(X801*(V801/100)*((W801+T801)/1000))*1000</f>
        <v>2.506203</v>
      </c>
    </row>
    <row r="802" customFormat="false" ht="15" hidden="false" customHeight="false" outlineLevel="0" collapsed="false">
      <c r="A802" s="0" t="s">
        <v>96</v>
      </c>
      <c r="B802" s="0" t="s">
        <v>97</v>
      </c>
      <c r="C802" s="0" t="s">
        <v>81</v>
      </c>
      <c r="D802" s="0" t="s">
        <v>144</v>
      </c>
      <c r="E802" s="0" t="n">
        <v>17</v>
      </c>
      <c r="F802" s="0" t="n">
        <v>0</v>
      </c>
      <c r="G802" s="1"/>
      <c r="H802" s="1"/>
      <c r="I802" s="0" t="n">
        <v>0</v>
      </c>
      <c r="J802" s="0" t="n">
        <f aca="false">(I802/32)*5</f>
        <v>0</v>
      </c>
      <c r="L802" s="0" t="n">
        <v>0</v>
      </c>
      <c r="M802" s="0" t="n">
        <v>0</v>
      </c>
      <c r="N802" s="0" t="n">
        <f aca="false">L802</f>
        <v>0</v>
      </c>
      <c r="O802" s="3" t="n">
        <v>0</v>
      </c>
      <c r="P802" s="3" t="n">
        <f aca="false">(O802*(N802/100)*(J802/1000))*1000</f>
        <v>0</v>
      </c>
      <c r="Q802" s="3"/>
      <c r="R802" s="0" t="n">
        <v>1</v>
      </c>
      <c r="S802" s="0" t="n">
        <v>1.7</v>
      </c>
      <c r="T802" s="0" t="n">
        <f aca="false">(S802/32)*5</f>
        <v>0.265625</v>
      </c>
      <c r="V802" s="0" t="n">
        <v>5</v>
      </c>
      <c r="W802" s="0" t="n">
        <v>2</v>
      </c>
      <c r="X802" s="3" t="n">
        <f aca="false">LOOKUP(V802,$AB$3:$AC$123)</f>
        <v>1.0179</v>
      </c>
      <c r="Y802" s="2" t="n">
        <f aca="false">(V802*((W802+T802)/1000)*X802)/((((W802+T802)/1000)*X802)-((W802/1000)*0.9982))</f>
        <v>37.2229003475252</v>
      </c>
      <c r="Z802" s="3" t="n">
        <f aca="false">(X802*(V802/100)*((W802+T802)/1000))*1000</f>
        <v>0.115308984375</v>
      </c>
    </row>
    <row r="803" customFormat="false" ht="15" hidden="false" customHeight="false" outlineLevel="0" collapsed="false">
      <c r="A803" s="0" t="s">
        <v>98</v>
      </c>
      <c r="B803" s="0" t="s">
        <v>99</v>
      </c>
      <c r="C803" s="0" t="s">
        <v>81</v>
      </c>
      <c r="D803" s="0" t="s">
        <v>144</v>
      </c>
      <c r="E803" s="0" t="n">
        <v>17</v>
      </c>
      <c r="F803" s="0" t="n">
        <v>0</v>
      </c>
      <c r="G803" s="1"/>
      <c r="H803" s="1"/>
      <c r="I803" s="0" t="n">
        <v>0</v>
      </c>
      <c r="J803" s="0" t="n">
        <f aca="false">(I803/32)*5</f>
        <v>0</v>
      </c>
      <c r="L803" s="0" t="n">
        <v>0</v>
      </c>
      <c r="M803" s="0" t="n">
        <v>0</v>
      </c>
      <c r="N803" s="0" t="n">
        <f aca="false">L803</f>
        <v>0</v>
      </c>
      <c r="O803" s="3" t="n">
        <v>0</v>
      </c>
      <c r="P803" s="3" t="n">
        <f aca="false">(O803*(N803/100)*(J803/1000))*1000</f>
        <v>0</v>
      </c>
      <c r="Q803" s="3"/>
      <c r="R803" s="0" t="n">
        <v>5</v>
      </c>
      <c r="S803" s="0" t="n">
        <v>7</v>
      </c>
      <c r="T803" s="0" t="n">
        <f aca="false">(S803/32)*5</f>
        <v>1.09375</v>
      </c>
      <c r="V803" s="0" t="n">
        <v>5</v>
      </c>
      <c r="W803" s="0" t="n">
        <v>4</v>
      </c>
      <c r="X803" s="3" t="n">
        <f aca="false">LOOKUP(V803,$AB$3:$AC$123)</f>
        <v>1.0179</v>
      </c>
      <c r="Y803" s="2" t="n">
        <f aca="false">(V803*((W803+T803)/1000)*X803)/((((W803+T803)/1000)*X803)-((W803/1000)*0.9982))</f>
        <v>21.7465221072609</v>
      </c>
      <c r="Z803" s="3" t="n">
        <f aca="false">(X803*(V803/100)*((W803+T803)/1000))*1000</f>
        <v>0.25924640625</v>
      </c>
    </row>
    <row r="804" customFormat="false" ht="15" hidden="false" customHeight="false" outlineLevel="0" collapsed="false">
      <c r="A804" s="0" t="s">
        <v>100</v>
      </c>
      <c r="B804" s="0" t="s">
        <v>101</v>
      </c>
      <c r="C804" s="0" t="s">
        <v>81</v>
      </c>
      <c r="D804" s="0" t="s">
        <v>144</v>
      </c>
      <c r="E804" s="0" t="n">
        <v>17</v>
      </c>
      <c r="F804" s="0" t="n">
        <v>0</v>
      </c>
      <c r="G804" s="1"/>
      <c r="H804" s="1"/>
      <c r="I804" s="0" t="n">
        <v>0</v>
      </c>
      <c r="J804" s="0" t="n">
        <f aca="false">(I804/32)*5</f>
        <v>0</v>
      </c>
      <c r="L804" s="0" t="n">
        <v>0</v>
      </c>
      <c r="M804" s="0" t="n">
        <v>0</v>
      </c>
      <c r="N804" s="0" t="n">
        <f aca="false">L804</f>
        <v>0</v>
      </c>
      <c r="O804" s="3" t="n">
        <v>0</v>
      </c>
      <c r="P804" s="3" t="n">
        <f aca="false">(O804*(N804/100)*(J804/1000))*1000</f>
        <v>0</v>
      </c>
      <c r="Q804" s="3"/>
      <c r="R804" s="0" t="n">
        <v>2</v>
      </c>
      <c r="S804" s="0" t="n">
        <v>3.1</v>
      </c>
      <c r="T804" s="0" t="n">
        <f aca="false">(S804/32)*5</f>
        <v>0.484375</v>
      </c>
      <c r="V804" s="0" t="n">
        <v>2</v>
      </c>
      <c r="W804" s="0" t="n">
        <v>4</v>
      </c>
      <c r="X804" s="3" t="n">
        <f aca="false">LOOKUP(V804,$AB$3:$AC$123)</f>
        <v>1.006</v>
      </c>
      <c r="Y804" s="2" t="n">
        <f aca="false">(V804*((W804+T804)/1000)*X804)/((((W804+T804)/1000)*X804)-((W804/1000)*0.9982))</f>
        <v>17.4019070120665</v>
      </c>
      <c r="Z804" s="3" t="n">
        <f aca="false">(X804*(V804/100)*((W804+T804)/1000))*1000</f>
        <v>0.090225625</v>
      </c>
    </row>
    <row r="805" customFormat="false" ht="15" hidden="false" customHeight="false" outlineLevel="0" collapsed="false">
      <c r="A805" s="0" t="s">
        <v>102</v>
      </c>
      <c r="B805" s="0" t="s">
        <v>103</v>
      </c>
      <c r="C805" s="0" t="s">
        <v>81</v>
      </c>
      <c r="D805" s="0" t="s">
        <v>144</v>
      </c>
      <c r="E805" s="0" t="n">
        <v>17</v>
      </c>
      <c r="F805" s="0" t="n">
        <v>2</v>
      </c>
      <c r="G805" s="1"/>
      <c r="H805" s="1"/>
      <c r="I805" s="0" t="n">
        <f aca="false">64+12.9+25.6</f>
        <v>102.5</v>
      </c>
      <c r="J805" s="0" t="n">
        <f aca="false">(I805/32)*5</f>
        <v>16.015625</v>
      </c>
      <c r="L805" s="0" t="n">
        <v>26</v>
      </c>
      <c r="M805" s="0" t="n">
        <v>0</v>
      </c>
      <c r="N805" s="0" t="n">
        <f aca="false">L805</f>
        <v>26</v>
      </c>
      <c r="O805" s="3" t="n">
        <f aca="false">LOOKUP(L805,$AB$3:$AC$123)</f>
        <v>1.1081</v>
      </c>
      <c r="P805" s="3" t="n">
        <f aca="false">(O805*(N805/100)*(J805/1000))*1000</f>
        <v>4.61419765625</v>
      </c>
      <c r="Q805" s="3"/>
      <c r="R805" s="0" t="n">
        <v>3</v>
      </c>
      <c r="S805" s="0" t="n">
        <v>8.8</v>
      </c>
      <c r="T805" s="0" t="n">
        <f aca="false">(S805/32)*5</f>
        <v>1.375</v>
      </c>
      <c r="V805" s="0" t="n">
        <v>12</v>
      </c>
      <c r="W805" s="0" t="n">
        <v>4</v>
      </c>
      <c r="X805" s="3" t="n">
        <f aca="false">LOOKUP(V805,$AB$3:$AC$123)</f>
        <v>1.0465</v>
      </c>
      <c r="Y805" s="2" t="n">
        <f aca="false">(V805*((W805+T805)/1000)*X805)/((((W805+T805)/1000)*X805)-((W805/1000)*0.9982))</f>
        <v>41.3563501849569</v>
      </c>
      <c r="Z805" s="3" t="n">
        <f aca="false">(X805*(V805/100)*((W805+T805)/1000))*1000</f>
        <v>0.6749925</v>
      </c>
    </row>
    <row r="806" customFormat="false" ht="15" hidden="false" customHeight="false" outlineLevel="0" collapsed="false">
      <c r="A806" s="0" t="s">
        <v>104</v>
      </c>
      <c r="B806" s="0" t="s">
        <v>105</v>
      </c>
      <c r="C806" s="0" t="s">
        <v>106</v>
      </c>
      <c r="D806" s="0" t="s">
        <v>144</v>
      </c>
      <c r="E806" s="0" t="n">
        <v>17</v>
      </c>
      <c r="F806" s="0" t="n">
        <v>1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0" t="n">
        <v>9</v>
      </c>
      <c r="S806" s="1"/>
      <c r="T806" s="1"/>
      <c r="U806" s="1"/>
      <c r="V806" s="1"/>
      <c r="W806" s="1"/>
      <c r="X806" s="1"/>
      <c r="Y806" s="5"/>
      <c r="Z806" s="1"/>
    </row>
    <row r="807" customFormat="false" ht="15" hidden="false" customHeight="false" outlineLevel="0" collapsed="false">
      <c r="A807" s="0" t="s">
        <v>107</v>
      </c>
      <c r="B807" s="0" t="s">
        <v>37</v>
      </c>
      <c r="C807" s="0" t="s">
        <v>106</v>
      </c>
      <c r="D807" s="0" t="s">
        <v>144</v>
      </c>
      <c r="E807" s="0" t="n">
        <v>17</v>
      </c>
      <c r="F807" s="0" t="n">
        <v>0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0" t="n">
        <v>6</v>
      </c>
      <c r="S807" s="1"/>
      <c r="T807" s="1"/>
      <c r="U807" s="1"/>
      <c r="V807" s="1"/>
      <c r="W807" s="1"/>
      <c r="X807" s="1"/>
      <c r="Y807" s="5"/>
      <c r="Z807" s="1"/>
    </row>
    <row r="808" customFormat="false" ht="15" hidden="false" customHeight="false" outlineLevel="0" collapsed="false">
      <c r="A808" s="0" t="s">
        <v>108</v>
      </c>
      <c r="B808" s="0" t="s">
        <v>109</v>
      </c>
      <c r="C808" s="0" t="s">
        <v>106</v>
      </c>
      <c r="D808" s="0" t="s">
        <v>144</v>
      </c>
      <c r="E808" s="0" t="n">
        <v>17</v>
      </c>
      <c r="F808" s="0" t="n">
        <v>0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0" t="n">
        <v>10</v>
      </c>
      <c r="S808" s="1"/>
      <c r="T808" s="1"/>
      <c r="U808" s="1"/>
      <c r="V808" s="1"/>
      <c r="W808" s="1"/>
      <c r="X808" s="1"/>
      <c r="Y808" s="5"/>
      <c r="Z808" s="1"/>
    </row>
    <row r="809" customFormat="false" ht="15" hidden="false" customHeight="false" outlineLevel="0" collapsed="false">
      <c r="A809" s="0" t="s">
        <v>110</v>
      </c>
      <c r="B809" s="0" t="s">
        <v>111</v>
      </c>
      <c r="C809" s="0" t="s">
        <v>106</v>
      </c>
      <c r="D809" s="0" t="s">
        <v>144</v>
      </c>
      <c r="E809" s="0" t="n">
        <v>17</v>
      </c>
      <c r="F809" s="0" t="n">
        <v>0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0" t="n">
        <v>8</v>
      </c>
      <c r="S809" s="1"/>
      <c r="T809" s="1"/>
      <c r="U809" s="1"/>
      <c r="V809" s="1"/>
      <c r="W809" s="1"/>
      <c r="X809" s="1"/>
      <c r="Y809" s="5"/>
      <c r="Z809" s="1"/>
    </row>
    <row r="810" customFormat="false" ht="15" hidden="false" customHeight="false" outlineLevel="0" collapsed="false">
      <c r="A810" s="0" t="s">
        <v>112</v>
      </c>
      <c r="B810" s="0" t="s">
        <v>113</v>
      </c>
      <c r="C810" s="0" t="s">
        <v>106</v>
      </c>
      <c r="D810" s="0" t="s">
        <v>144</v>
      </c>
      <c r="E810" s="0" t="n">
        <v>17</v>
      </c>
      <c r="F810" s="0" t="n">
        <v>0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0" t="n">
        <v>8</v>
      </c>
      <c r="S810" s="1"/>
      <c r="T810" s="1"/>
      <c r="U810" s="1"/>
      <c r="V810" s="1"/>
      <c r="W810" s="1"/>
      <c r="X810" s="1"/>
      <c r="Y810" s="5"/>
      <c r="Z810" s="1"/>
    </row>
    <row r="811" customFormat="false" ht="15" hidden="false" customHeight="false" outlineLevel="0" collapsed="false">
      <c r="A811" s="0" t="s">
        <v>114</v>
      </c>
      <c r="B811" s="0" t="s">
        <v>115</v>
      </c>
      <c r="C811" s="0" t="s">
        <v>106</v>
      </c>
      <c r="D811" s="0" t="s">
        <v>144</v>
      </c>
      <c r="E811" s="0" t="n">
        <v>17</v>
      </c>
      <c r="F811" s="0" t="n">
        <v>0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0" t="n">
        <v>10</v>
      </c>
      <c r="S811" s="1"/>
      <c r="T811" s="1"/>
      <c r="U811" s="1"/>
      <c r="V811" s="1"/>
      <c r="W811" s="1"/>
      <c r="X811" s="1"/>
      <c r="Y811" s="5"/>
      <c r="Z811" s="1"/>
    </row>
    <row r="812" customFormat="false" ht="15" hidden="false" customHeight="false" outlineLevel="0" collapsed="false">
      <c r="A812" s="0" t="s">
        <v>116</v>
      </c>
      <c r="B812" s="0" t="s">
        <v>117</v>
      </c>
      <c r="C812" s="0" t="s">
        <v>106</v>
      </c>
      <c r="D812" s="0" t="s">
        <v>144</v>
      </c>
      <c r="E812" s="0" t="n">
        <v>17</v>
      </c>
      <c r="F812" s="0" t="n">
        <v>1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0" t="n">
        <v>6</v>
      </c>
      <c r="S812" s="1"/>
      <c r="T812" s="1"/>
      <c r="U812" s="1"/>
      <c r="V812" s="1"/>
      <c r="W812" s="1"/>
      <c r="X812" s="1"/>
      <c r="Y812" s="5"/>
      <c r="Z812" s="1"/>
    </row>
    <row r="813" customFormat="false" ht="15" hidden="false" customHeight="false" outlineLevel="0" collapsed="false">
      <c r="A813" s="0" t="s">
        <v>118</v>
      </c>
      <c r="B813" s="0" t="s">
        <v>119</v>
      </c>
      <c r="C813" s="0" t="s">
        <v>106</v>
      </c>
      <c r="D813" s="0" t="s">
        <v>144</v>
      </c>
      <c r="E813" s="0" t="n">
        <v>17</v>
      </c>
      <c r="F813" s="0" t="n">
        <v>0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0" t="n">
        <v>7</v>
      </c>
      <c r="S813" s="1"/>
      <c r="T813" s="1"/>
      <c r="U813" s="1"/>
      <c r="V813" s="1"/>
      <c r="W813" s="1"/>
      <c r="X813" s="1"/>
      <c r="Y813" s="5"/>
      <c r="Z813" s="1"/>
    </row>
    <row r="814" customFormat="false" ht="15" hidden="false" customHeight="false" outlineLevel="0" collapsed="false">
      <c r="A814" s="0" t="s">
        <v>120</v>
      </c>
      <c r="B814" s="0" t="s">
        <v>121</v>
      </c>
      <c r="C814" s="0" t="s">
        <v>106</v>
      </c>
      <c r="D814" s="0" t="s">
        <v>144</v>
      </c>
      <c r="E814" s="0" t="n">
        <v>17</v>
      </c>
      <c r="F814" s="0" t="n">
        <v>0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0" t="n">
        <v>13</v>
      </c>
      <c r="S814" s="1"/>
      <c r="T814" s="1"/>
      <c r="U814" s="1"/>
      <c r="V814" s="1"/>
      <c r="W814" s="1"/>
      <c r="X814" s="1"/>
      <c r="Y814" s="5"/>
      <c r="Z814" s="1"/>
    </row>
    <row r="815" customFormat="false" ht="15" hidden="false" customHeight="false" outlineLevel="0" collapsed="false">
      <c r="A815" s="0" t="s">
        <v>122</v>
      </c>
      <c r="B815" s="0" t="s">
        <v>123</v>
      </c>
      <c r="C815" s="0" t="s">
        <v>106</v>
      </c>
      <c r="D815" s="0" t="s">
        <v>144</v>
      </c>
      <c r="E815" s="0" t="n">
        <v>17</v>
      </c>
      <c r="F815" s="0" t="n">
        <v>0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0" t="n">
        <v>7</v>
      </c>
      <c r="S815" s="1"/>
      <c r="T815" s="1"/>
      <c r="U815" s="1"/>
      <c r="V815" s="1"/>
      <c r="W815" s="1"/>
      <c r="X815" s="1"/>
      <c r="Y815" s="5"/>
      <c r="Z815" s="1"/>
    </row>
    <row r="816" customFormat="false" ht="15" hidden="false" customHeight="false" outlineLevel="0" collapsed="false">
      <c r="A816" s="0" t="s">
        <v>124</v>
      </c>
      <c r="B816" s="0" t="s">
        <v>125</v>
      </c>
      <c r="C816" s="0" t="s">
        <v>106</v>
      </c>
      <c r="D816" s="0" t="s">
        <v>144</v>
      </c>
      <c r="E816" s="0" t="n">
        <v>17</v>
      </c>
      <c r="F816" s="0" t="n">
        <v>0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0" t="n">
        <v>11</v>
      </c>
      <c r="S816" s="1"/>
      <c r="T816" s="1"/>
      <c r="U816" s="1"/>
      <c r="V816" s="1"/>
      <c r="W816" s="1"/>
      <c r="X816" s="1"/>
      <c r="Y816" s="5"/>
      <c r="Z816" s="1"/>
    </row>
    <row r="817" customFormat="false" ht="15" hidden="false" customHeight="false" outlineLevel="0" collapsed="false">
      <c r="A817" s="0" t="s">
        <v>126</v>
      </c>
      <c r="B817" s="0" t="s">
        <v>127</v>
      </c>
      <c r="C817" s="0" t="s">
        <v>106</v>
      </c>
      <c r="D817" s="0" t="s">
        <v>144</v>
      </c>
      <c r="E817" s="0" t="n">
        <v>17</v>
      </c>
      <c r="F817" s="0" t="n">
        <v>1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0" t="n">
        <v>14</v>
      </c>
      <c r="S817" s="1"/>
      <c r="T817" s="1"/>
      <c r="U817" s="1"/>
      <c r="V817" s="1"/>
      <c r="W817" s="1"/>
      <c r="X817" s="1"/>
      <c r="Y817" s="5"/>
      <c r="Z817" s="1"/>
    </row>
    <row r="818" customFormat="false" ht="15" hidden="false" customHeight="false" outlineLevel="0" collapsed="false">
      <c r="A818" s="0" t="s">
        <v>26</v>
      </c>
      <c r="B818" s="0" t="s">
        <v>27</v>
      </c>
      <c r="C818" s="0" t="s">
        <v>28</v>
      </c>
      <c r="D818" s="0" t="s">
        <v>145</v>
      </c>
      <c r="E818" s="0" t="n">
        <v>18</v>
      </c>
      <c r="F818" s="0" t="n">
        <v>2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3" t="n">
        <v>2</v>
      </c>
      <c r="S818" s="0" t="n">
        <v>3.8</v>
      </c>
      <c r="T818" s="0" t="n">
        <f aca="false">(S818/32)*5</f>
        <v>0.59375</v>
      </c>
      <c r="V818" s="0" t="n">
        <v>10</v>
      </c>
      <c r="W818" s="0" t="n">
        <v>4</v>
      </c>
      <c r="X818" s="3" t="n">
        <f aca="false">LOOKUP(V818,$AB$3:$AC$123)</f>
        <v>1.0381</v>
      </c>
      <c r="Y818" s="2" t="n">
        <f aca="false">(V818*((W818+T818)/1000)*X818)/((((W818+T818)/1000)*X818)-((W818/1000)*0.9982))</f>
        <v>61.4554731767825</v>
      </c>
      <c r="Z818" s="3" t="n">
        <f aca="false">(X818*(V818/100)*((W818+T818)/1000))*1000</f>
        <v>0.4768771875</v>
      </c>
    </row>
    <row r="819" customFormat="false" ht="15" hidden="false" customHeight="false" outlineLevel="0" collapsed="false">
      <c r="A819" s="0" t="s">
        <v>32</v>
      </c>
      <c r="B819" s="0" t="s">
        <v>33</v>
      </c>
      <c r="C819" s="0" t="s">
        <v>28</v>
      </c>
      <c r="D819" s="0" t="s">
        <v>145</v>
      </c>
      <c r="E819" s="0" t="n">
        <v>18</v>
      </c>
      <c r="F819" s="0" t="n">
        <v>1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3" t="n">
        <v>2</v>
      </c>
      <c r="S819" s="0" t="n">
        <v>3.6</v>
      </c>
      <c r="T819" s="0" t="n">
        <f aca="false">(S819/32)*5</f>
        <v>0.5625</v>
      </c>
      <c r="V819" s="0" t="n">
        <v>13</v>
      </c>
      <c r="W819" s="0" t="n">
        <v>4</v>
      </c>
      <c r="X819" s="3" t="n">
        <f aca="false">LOOKUP(V819,$AB$3:$AC$123)</f>
        <v>1.0507</v>
      </c>
      <c r="Y819" s="2" t="n">
        <f aca="false">(V819*((W819+T819)/1000)*X819)/((((W819+T819)/1000)*X819)-((W819/1000)*0.9982))</f>
        <v>77.8004806379377</v>
      </c>
      <c r="Z819" s="3" t="n">
        <f aca="false">(X819*(V819/100)*((W819+T819)/1000))*1000</f>
        <v>0.6231964375</v>
      </c>
    </row>
    <row r="820" customFormat="false" ht="15" hidden="false" customHeight="false" outlineLevel="0" collapsed="false">
      <c r="A820" s="0" t="s">
        <v>34</v>
      </c>
      <c r="B820" s="0" t="s">
        <v>35</v>
      </c>
      <c r="C820" s="0" t="s">
        <v>28</v>
      </c>
      <c r="D820" s="0" t="s">
        <v>145</v>
      </c>
      <c r="E820" s="0" t="n">
        <v>18</v>
      </c>
      <c r="F820" s="0" t="n">
        <v>3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0" t="n">
        <v>3</v>
      </c>
      <c r="S820" s="0" t="n">
        <v>2.4</v>
      </c>
      <c r="T820" s="0" t="n">
        <f aca="false">(S820/32)*5</f>
        <v>0.375</v>
      </c>
      <c r="V820" s="0" t="n">
        <v>11.5</v>
      </c>
      <c r="W820" s="0" t="n">
        <v>4</v>
      </c>
      <c r="X820" s="3" t="n">
        <f aca="false">LOOKUP(V820,$AB$3:$AC$123)</f>
        <v>1.0444</v>
      </c>
      <c r="Y820" s="2" t="n">
        <f aca="false">(V820*((W820+T820)/1000)*X820)/((((W820+T820)/1000)*X820)-((W820/1000)*0.9982))</f>
        <v>91.1551305403765</v>
      </c>
      <c r="Z820" s="3" t="n">
        <f aca="false">(X820*(V820/100)*((W820+T820)/1000))*1000</f>
        <v>0.52546375</v>
      </c>
    </row>
    <row r="821" customFormat="false" ht="15" hidden="false" customHeight="false" outlineLevel="0" collapsed="false">
      <c r="A821" s="0" t="s">
        <v>36</v>
      </c>
      <c r="B821" s="0" t="s">
        <v>37</v>
      </c>
      <c r="C821" s="0" t="s">
        <v>28</v>
      </c>
      <c r="D821" s="0" t="s">
        <v>145</v>
      </c>
      <c r="E821" s="0" t="n">
        <v>18</v>
      </c>
      <c r="F821" s="0" t="n">
        <v>1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0" t="n">
        <v>2</v>
      </c>
      <c r="S821" s="0" t="n">
        <v>4.8</v>
      </c>
      <c r="T821" s="0" t="n">
        <f aca="false">(S821/32)*5</f>
        <v>0.75</v>
      </c>
      <c r="V821" s="0" t="n">
        <v>9.5</v>
      </c>
      <c r="W821" s="0" t="n">
        <v>4</v>
      </c>
      <c r="X821" s="3" t="n">
        <f aca="false">LOOKUP(V821,$AB$3:$AC$123)</f>
        <v>1.0361</v>
      </c>
      <c r="Y821" s="2" t="n">
        <f aca="false">(V821*((W821+T821)/1000)*X821)/((((W821+T821)/1000)*X821)-((W821/1000)*0.9982))</f>
        <v>50.3448596118126</v>
      </c>
      <c r="Z821" s="3" t="n">
        <f aca="false">(X821*(V821/100)*((W821+T821)/1000))*1000</f>
        <v>0.467540125</v>
      </c>
    </row>
    <row r="822" customFormat="false" ht="15" hidden="false" customHeight="false" outlineLevel="0" collapsed="false">
      <c r="A822" s="0" t="s">
        <v>38</v>
      </c>
      <c r="B822" s="0" t="s">
        <v>39</v>
      </c>
      <c r="C822" s="0" t="s">
        <v>28</v>
      </c>
      <c r="D822" s="0" t="s">
        <v>145</v>
      </c>
      <c r="E822" s="0" t="n">
        <v>18</v>
      </c>
      <c r="F822" s="0" t="n">
        <v>2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0" t="n">
        <v>2</v>
      </c>
      <c r="S822" s="0" t="n">
        <v>1.4</v>
      </c>
      <c r="T822" s="0" t="n">
        <f aca="false">(S822/32)*5</f>
        <v>0.21875</v>
      </c>
      <c r="V822" s="0" t="n">
        <v>2.5</v>
      </c>
      <c r="W822" s="0" t="n">
        <v>4</v>
      </c>
      <c r="X822" s="3" t="n">
        <f aca="false">LOOKUP(V822,$AB$3:$AC$123)</f>
        <v>1.00795</v>
      </c>
      <c r="Y822" s="2" t="n">
        <f aca="false">(V822*((W822+T822)/1000)*X822)/((((W822+T822)/1000)*X822)-((W822/1000)*0.9982))</f>
        <v>40.967902669308</v>
      </c>
      <c r="Z822" s="3" t="n">
        <f aca="false">(X822*(V822/100)*((W822+T822)/1000))*1000</f>
        <v>0.1063072265625</v>
      </c>
    </row>
    <row r="823" customFormat="false" ht="15" hidden="false" customHeight="false" outlineLevel="0" collapsed="false">
      <c r="A823" s="0" t="s">
        <v>40</v>
      </c>
      <c r="B823" s="0" t="s">
        <v>41</v>
      </c>
      <c r="C823" s="0" t="s">
        <v>28</v>
      </c>
      <c r="D823" s="0" t="s">
        <v>145</v>
      </c>
      <c r="E823" s="0" t="n">
        <v>18</v>
      </c>
      <c r="F823" s="0" t="n">
        <v>1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3" t="n">
        <v>2</v>
      </c>
      <c r="S823" s="0" t="n">
        <v>1.7</v>
      </c>
      <c r="T823" s="0" t="n">
        <f aca="false">(S823/32)*5</f>
        <v>0.265625</v>
      </c>
      <c r="V823" s="0" t="n">
        <v>3</v>
      </c>
      <c r="W823" s="0" t="n">
        <v>4</v>
      </c>
      <c r="X823" s="3" t="n">
        <f aca="false">LOOKUP(V823,$AB$3:$AC$123)</f>
        <v>1.0099</v>
      </c>
      <c r="Y823" s="2" t="n">
        <f aca="false">(V823*((W823+T823)/1000)*X823)/((((W823+T823)/1000)*X823)-((W823/1000)*0.9982))</f>
        <v>41.0200659607707</v>
      </c>
      <c r="Z823" s="3" t="n">
        <f aca="false">(X823*(V823/100)*((W823+T823)/1000))*1000</f>
        <v>0.129235640625</v>
      </c>
    </row>
    <row r="824" customFormat="false" ht="15" hidden="false" customHeight="false" outlineLevel="0" collapsed="false">
      <c r="A824" s="0" t="s">
        <v>42</v>
      </c>
      <c r="B824" s="0" t="s">
        <v>43</v>
      </c>
      <c r="C824" s="0" t="s">
        <v>28</v>
      </c>
      <c r="D824" s="0" t="s">
        <v>145</v>
      </c>
      <c r="E824" s="0" t="n">
        <v>18</v>
      </c>
      <c r="F824" s="0" t="n">
        <v>0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3" t="n">
        <v>3</v>
      </c>
      <c r="S824" s="0" t="n">
        <v>9.7</v>
      </c>
      <c r="T824" s="0" t="n">
        <f aca="false">(S824/32)*5</f>
        <v>1.515625</v>
      </c>
      <c r="V824" s="0" t="n">
        <v>24</v>
      </c>
      <c r="W824" s="0" t="n">
        <v>4</v>
      </c>
      <c r="X824" s="3" t="n">
        <f aca="false">LOOKUP(V824,$AB$3:$AC$123)</f>
        <v>1.099</v>
      </c>
      <c r="Y824" s="2" t="n">
        <f aca="false">(V824*((W824+T824)/1000)*X824)/((((W824+T824)/1000)*X824)-((W824/1000)*0.9982))</f>
        <v>70.3185763980672</v>
      </c>
      <c r="Z824" s="3" t="n">
        <f aca="false">(X824*(V824/100)*((W824+T824)/1000))*1000</f>
        <v>1.45480125</v>
      </c>
    </row>
    <row r="825" customFormat="false" ht="15" hidden="false" customHeight="false" outlineLevel="0" collapsed="false">
      <c r="A825" s="0" t="s">
        <v>44</v>
      </c>
      <c r="B825" s="0" t="s">
        <v>45</v>
      </c>
      <c r="C825" s="0" t="s">
        <v>28</v>
      </c>
      <c r="D825" s="0" t="s">
        <v>145</v>
      </c>
      <c r="E825" s="0" t="n">
        <v>18</v>
      </c>
      <c r="F825" s="0" t="n">
        <v>0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3" t="n">
        <v>3</v>
      </c>
      <c r="S825" s="0" t="n">
        <v>5.1</v>
      </c>
      <c r="T825" s="0" t="n">
        <f aca="false">(S825/32)*5</f>
        <v>0.796875</v>
      </c>
      <c r="V825" s="0" t="n">
        <v>16</v>
      </c>
      <c r="W825" s="0" t="n">
        <v>4</v>
      </c>
      <c r="X825" s="3" t="n">
        <f aca="false">LOOKUP(V825,$AB$3:$AC$123)</f>
        <v>1.0635</v>
      </c>
      <c r="Y825" s="2" t="n">
        <f aca="false">(V825*((W825+T825)/1000)*X825)/((((W825+T825)/1000)*X825)-((W825/1000)*0.9982))</f>
        <v>73.6225764671561</v>
      </c>
      <c r="Z825" s="3" t="n">
        <f aca="false">(X825*(V825/100)*((W825+T825)/1000))*1000</f>
        <v>0.81623625</v>
      </c>
    </row>
    <row r="826" customFormat="false" ht="15" hidden="false" customHeight="false" outlineLevel="0" collapsed="false">
      <c r="A826" s="0" t="s">
        <v>46</v>
      </c>
      <c r="B826" s="0" t="s">
        <v>47</v>
      </c>
      <c r="C826" s="0" t="s">
        <v>28</v>
      </c>
      <c r="D826" s="0" t="s">
        <v>145</v>
      </c>
      <c r="E826" s="0" t="n">
        <v>18</v>
      </c>
      <c r="F826" s="0" t="n">
        <v>1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3" t="n">
        <v>2</v>
      </c>
      <c r="S826" s="0" t="n">
        <v>8.4</v>
      </c>
      <c r="T826" s="0" t="n">
        <f aca="false">(S826/32)*5</f>
        <v>1.3125</v>
      </c>
      <c r="V826" s="0" t="n">
        <v>23</v>
      </c>
      <c r="W826" s="0" t="n">
        <v>4</v>
      </c>
      <c r="X826" s="3" t="n">
        <f aca="false">LOOKUP(V826,$AB$3:$AC$123)</f>
        <v>1.09445</v>
      </c>
      <c r="Y826" s="2" t="n">
        <f aca="false">(V826*((W826+T826)/1000)*X826)/((((W826+T826)/1000)*X826)-((W826/1000)*0.9982))</f>
        <v>73.4178606170512</v>
      </c>
      <c r="Z826" s="3" t="n">
        <f aca="false">(X826*(V826/100)*((W826+T826)/1000))*1000</f>
        <v>1.33728109375</v>
      </c>
    </row>
    <row r="827" customFormat="false" ht="15" hidden="false" customHeight="false" outlineLevel="0" collapsed="false">
      <c r="A827" s="0" t="s">
        <v>48</v>
      </c>
      <c r="B827" s="0" t="s">
        <v>49</v>
      </c>
      <c r="C827" s="0" t="s">
        <v>28</v>
      </c>
      <c r="D827" s="0" t="s">
        <v>145</v>
      </c>
      <c r="E827" s="0" t="n">
        <v>18</v>
      </c>
      <c r="F827" s="0" t="n">
        <v>2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3" t="n">
        <v>2</v>
      </c>
      <c r="S827" s="0" t="n">
        <v>7.3</v>
      </c>
      <c r="T827" s="0" t="n">
        <f aca="false">(S827/32)*5</f>
        <v>1.140625</v>
      </c>
      <c r="V827" s="0" t="n">
        <v>18</v>
      </c>
      <c r="W827" s="0" t="n">
        <v>4</v>
      </c>
      <c r="X827" s="3" t="n">
        <f aca="false">LOOKUP(V827,$AB$3:$AC$123)</f>
        <v>1.0722</v>
      </c>
      <c r="Y827" s="2" t="n">
        <f aca="false">(V827*((W827+T827)/1000)*X827)/((((W827+T827)/1000)*X827)-((W827/1000)*0.9982))</f>
        <v>65.3149670934201</v>
      </c>
      <c r="Z827" s="3" t="n">
        <f aca="false">(X827*(V827/100)*((W827+T827)/1000))*1000</f>
        <v>0.9921200625</v>
      </c>
    </row>
    <row r="828" customFormat="false" ht="15" hidden="false" customHeight="false" outlineLevel="0" collapsed="false">
      <c r="A828" s="0" t="s">
        <v>50</v>
      </c>
      <c r="B828" s="0" t="s">
        <v>51</v>
      </c>
      <c r="C828" s="0" t="s">
        <v>28</v>
      </c>
      <c r="D828" s="0" t="s">
        <v>145</v>
      </c>
      <c r="E828" s="0" t="n">
        <v>18</v>
      </c>
      <c r="F828" s="0" t="n">
        <v>2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3" t="n">
        <v>2</v>
      </c>
      <c r="S828" s="0" t="n">
        <v>4.7</v>
      </c>
      <c r="T828" s="0" t="n">
        <f aca="false">(S828/32)*5</f>
        <v>0.734375</v>
      </c>
      <c r="V828" s="0" t="n">
        <v>16</v>
      </c>
      <c r="W828" s="0" t="n">
        <v>4</v>
      </c>
      <c r="X828" s="3" t="n">
        <f aca="false">LOOKUP(V828,$AB$3:$AC$123)</f>
        <v>1.0635</v>
      </c>
      <c r="Y828" s="2" t="n">
        <f aca="false">(V828*((W828+T828)/1000)*X828)/((((W828+T828)/1000)*X828)-((W828/1000)*0.9982))</f>
        <v>77.2975639155459</v>
      </c>
      <c r="Z828" s="3" t="n">
        <f aca="false">(X828*(V828/100)*((W828+T828)/1000))*1000</f>
        <v>0.80560125</v>
      </c>
    </row>
    <row r="829" customFormat="false" ht="15" hidden="false" customHeight="false" outlineLevel="0" collapsed="false">
      <c r="A829" s="0" t="s">
        <v>52</v>
      </c>
      <c r="B829" s="0" t="s">
        <v>53</v>
      </c>
      <c r="C829" s="0" t="s">
        <v>28</v>
      </c>
      <c r="D829" s="0" t="s">
        <v>145</v>
      </c>
      <c r="E829" s="0" t="n">
        <v>18</v>
      </c>
      <c r="F829" s="0" t="n">
        <v>1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3" t="n">
        <v>3</v>
      </c>
      <c r="S829" s="0" t="n">
        <v>8.5</v>
      </c>
      <c r="T829" s="0" t="n">
        <f aca="false">(S829/32)*5</f>
        <v>1.328125</v>
      </c>
      <c r="V829" s="0" t="n">
        <v>10</v>
      </c>
      <c r="W829" s="0" t="n">
        <v>4</v>
      </c>
      <c r="X829" s="3" t="n">
        <f aca="false">LOOKUP(V829,$AB$3:$AC$123)</f>
        <v>1.0381</v>
      </c>
      <c r="Y829" s="2" t="n">
        <f aca="false">(V829*((W829+T829)/1000)*X829)/((((W829+T829)/1000)*X829)-((W829/1000)*0.9982))</f>
        <v>35.9554771875689</v>
      </c>
      <c r="Z829" s="3" t="n">
        <f aca="false">(X829*(V829/100)*((W829+T829)/1000))*1000</f>
        <v>0.55311265625</v>
      </c>
    </row>
    <row r="830" customFormat="false" ht="15" hidden="false" customHeight="false" outlineLevel="0" collapsed="false">
      <c r="A830" s="0" t="s">
        <v>54</v>
      </c>
      <c r="B830" s="0" t="s">
        <v>55</v>
      </c>
      <c r="C830" s="0" t="s">
        <v>56</v>
      </c>
      <c r="D830" s="0" t="s">
        <v>145</v>
      </c>
      <c r="E830" s="0" t="n">
        <v>18</v>
      </c>
      <c r="F830" s="0" t="n">
        <v>1</v>
      </c>
      <c r="G830" s="1"/>
      <c r="H830" s="1"/>
      <c r="I830" s="0" t="n">
        <f aca="false">32*3</f>
        <v>96</v>
      </c>
      <c r="J830" s="0" t="n">
        <f aca="false">(I830/32)*5</f>
        <v>15</v>
      </c>
      <c r="L830" s="0" t="n">
        <v>17.5</v>
      </c>
      <c r="M830" s="0" t="n">
        <v>0</v>
      </c>
      <c r="N830" s="0" t="n">
        <f aca="false">L830</f>
        <v>17.5</v>
      </c>
      <c r="O830" s="3" t="n">
        <f aca="false">LOOKUP(L830,$AB$3:$AC$123)</f>
        <v>1.07</v>
      </c>
      <c r="P830" s="3" t="n">
        <f aca="false">(O830*(N830/100)*(J830/1000))*1000</f>
        <v>2.80875</v>
      </c>
      <c r="Q830" s="3"/>
      <c r="R830" s="1"/>
      <c r="S830" s="1"/>
      <c r="T830" s="1"/>
      <c r="U830" s="1"/>
      <c r="V830" s="1"/>
      <c r="W830" s="1"/>
      <c r="X830" s="1"/>
      <c r="Y830" s="5"/>
      <c r="Z830" s="1"/>
    </row>
    <row r="831" customFormat="false" ht="15" hidden="false" customHeight="false" outlineLevel="0" collapsed="false">
      <c r="A831" s="0" t="s">
        <v>57</v>
      </c>
      <c r="B831" s="0" t="s">
        <v>58</v>
      </c>
      <c r="C831" s="0" t="s">
        <v>56</v>
      </c>
      <c r="D831" s="0" t="s">
        <v>145</v>
      </c>
      <c r="E831" s="0" t="n">
        <v>18</v>
      </c>
      <c r="F831" s="0" t="n">
        <v>0</v>
      </c>
      <c r="G831" s="1"/>
      <c r="H831" s="1"/>
      <c r="I831" s="0" t="n">
        <v>0</v>
      </c>
      <c r="J831" s="0" t="n">
        <f aca="false">(I831/32)*5</f>
        <v>0</v>
      </c>
      <c r="L831" s="0" t="n">
        <v>0</v>
      </c>
      <c r="M831" s="0" t="n">
        <v>0</v>
      </c>
      <c r="N831" s="0" t="n">
        <f aca="false">L831</f>
        <v>0</v>
      </c>
      <c r="O831" s="3" t="n">
        <f aca="false">LOOKUP(L831,$AB$3:$AC$123)</f>
        <v>0.9982</v>
      </c>
      <c r="P831" s="3" t="n">
        <f aca="false">(O831*(N831/100)*(J831/1000))*1000</f>
        <v>0</v>
      </c>
      <c r="Q831" s="3"/>
      <c r="R831" s="1"/>
      <c r="S831" s="1"/>
      <c r="T831" s="1"/>
      <c r="U831" s="1"/>
      <c r="V831" s="1"/>
      <c r="W831" s="1"/>
      <c r="X831" s="1"/>
      <c r="Y831" s="5"/>
      <c r="Z831" s="1"/>
    </row>
    <row r="832" customFormat="false" ht="15" hidden="false" customHeight="false" outlineLevel="0" collapsed="false">
      <c r="A832" s="0" t="s">
        <v>59</v>
      </c>
      <c r="B832" s="0" t="s">
        <v>60</v>
      </c>
      <c r="C832" s="0" t="s">
        <v>56</v>
      </c>
      <c r="D832" s="0" t="s">
        <v>145</v>
      </c>
      <c r="E832" s="0" t="n">
        <v>18</v>
      </c>
      <c r="F832" s="0" t="n">
        <v>1</v>
      </c>
      <c r="G832" s="1"/>
      <c r="H832" s="1"/>
      <c r="I832" s="0" t="n">
        <f aca="false">32+32+15.2</f>
        <v>79.2</v>
      </c>
      <c r="J832" s="0" t="n">
        <f aca="false">(I832/32)*5</f>
        <v>12.375</v>
      </c>
      <c r="L832" s="0" t="n">
        <v>24</v>
      </c>
      <c r="M832" s="0" t="n">
        <v>0</v>
      </c>
      <c r="N832" s="0" t="n">
        <f aca="false">L832</f>
        <v>24</v>
      </c>
      <c r="O832" s="3" t="n">
        <f aca="false">LOOKUP(L832,$AB$3:$AC$123)</f>
        <v>1.099</v>
      </c>
      <c r="P832" s="3" t="n">
        <f aca="false">(O832*(N832/100)*(J832/1000))*1000</f>
        <v>3.26403</v>
      </c>
      <c r="Q832" s="3"/>
      <c r="R832" s="1"/>
      <c r="S832" s="1"/>
      <c r="T832" s="1"/>
      <c r="U832" s="1"/>
      <c r="V832" s="1"/>
      <c r="W832" s="1"/>
      <c r="X832" s="1"/>
      <c r="Y832" s="5"/>
      <c r="Z832" s="1"/>
    </row>
    <row r="833" customFormat="false" ht="15" hidden="false" customHeight="false" outlineLevel="0" collapsed="false">
      <c r="A833" s="0" t="s">
        <v>61</v>
      </c>
      <c r="B833" s="0" t="s">
        <v>62</v>
      </c>
      <c r="C833" s="0" t="s">
        <v>56</v>
      </c>
      <c r="D833" s="0" t="s">
        <v>145</v>
      </c>
      <c r="E833" s="0" t="n">
        <v>18</v>
      </c>
      <c r="F833" s="0" t="n">
        <v>0</v>
      </c>
      <c r="G833" s="1"/>
      <c r="H833" s="1"/>
      <c r="I833" s="0" t="n">
        <v>0</v>
      </c>
      <c r="J833" s="0" t="n">
        <f aca="false">(I833/32)*5</f>
        <v>0</v>
      </c>
      <c r="L833" s="0" t="n">
        <v>0</v>
      </c>
      <c r="M833" s="0" t="n">
        <v>0</v>
      </c>
      <c r="N833" s="0" t="n">
        <f aca="false">L833</f>
        <v>0</v>
      </c>
      <c r="O833" s="3" t="n">
        <v>0</v>
      </c>
      <c r="P833" s="3" t="n">
        <f aca="false">(O833*(N833/100)*(J833/1000))*1000</f>
        <v>0</v>
      </c>
      <c r="Q833" s="3"/>
      <c r="R833" s="1"/>
      <c r="S833" s="1"/>
      <c r="T833" s="1"/>
      <c r="U833" s="1"/>
      <c r="V833" s="1"/>
      <c r="W833" s="1"/>
      <c r="X833" s="1"/>
      <c r="Y833" s="5"/>
      <c r="Z833" s="1"/>
    </row>
    <row r="834" customFormat="false" ht="15" hidden="false" customHeight="false" outlineLevel="0" collapsed="false">
      <c r="A834" s="0" t="s">
        <v>63</v>
      </c>
      <c r="B834" s="0" t="s">
        <v>64</v>
      </c>
      <c r="C834" s="0" t="s">
        <v>56</v>
      </c>
      <c r="D834" s="0" t="s">
        <v>145</v>
      </c>
      <c r="E834" s="0" t="n">
        <v>18</v>
      </c>
      <c r="F834" s="0" t="n">
        <v>0</v>
      </c>
      <c r="G834" s="1"/>
      <c r="H834" s="1"/>
      <c r="I834" s="0" t="n">
        <v>0</v>
      </c>
      <c r="J834" s="0" t="n">
        <f aca="false">(I834/32)*5</f>
        <v>0</v>
      </c>
      <c r="L834" s="0" t="n">
        <v>0</v>
      </c>
      <c r="M834" s="0" t="n">
        <v>0</v>
      </c>
      <c r="N834" s="0" t="n">
        <f aca="false">L834</f>
        <v>0</v>
      </c>
      <c r="O834" s="3" t="n">
        <v>0</v>
      </c>
      <c r="P834" s="3" t="n">
        <f aca="false">(O834*(N834/100)*(J834/1000))*1000</f>
        <v>0</v>
      </c>
      <c r="Q834" s="3"/>
      <c r="R834" s="1"/>
      <c r="S834" s="1"/>
      <c r="T834" s="1"/>
      <c r="U834" s="1"/>
      <c r="V834" s="1"/>
      <c r="W834" s="1"/>
      <c r="X834" s="1"/>
      <c r="Y834" s="5"/>
      <c r="Z834" s="1"/>
    </row>
    <row r="835" customFormat="false" ht="15" hidden="false" customHeight="false" outlineLevel="0" collapsed="false">
      <c r="A835" s="0" t="s">
        <v>65</v>
      </c>
      <c r="B835" s="0" t="s">
        <v>66</v>
      </c>
      <c r="C835" s="0" t="s">
        <v>56</v>
      </c>
      <c r="D835" s="0" t="s">
        <v>145</v>
      </c>
      <c r="E835" s="0" t="n">
        <v>18</v>
      </c>
      <c r="F835" s="0" t="n">
        <v>1</v>
      </c>
      <c r="G835" s="1"/>
      <c r="H835" s="1"/>
      <c r="I835" s="0" t="n">
        <v>64</v>
      </c>
      <c r="J835" s="0" t="n">
        <f aca="false">(I835/32)*5</f>
        <v>10</v>
      </c>
      <c r="L835" s="0" t="n">
        <v>26</v>
      </c>
      <c r="M835" s="0" t="n">
        <v>0</v>
      </c>
      <c r="N835" s="0" t="n">
        <f aca="false">L835</f>
        <v>26</v>
      </c>
      <c r="O835" s="3" t="n">
        <f aca="false">LOOKUP(L835,$AB$3:$AC$123)</f>
        <v>1.1081</v>
      </c>
      <c r="P835" s="3" t="n">
        <f aca="false">(O835*(N835/100)*(J835/1000))*1000</f>
        <v>2.88106</v>
      </c>
      <c r="Q835" s="3"/>
      <c r="R835" s="1"/>
      <c r="S835" s="1"/>
      <c r="T835" s="1"/>
      <c r="U835" s="1"/>
      <c r="V835" s="1"/>
      <c r="W835" s="1"/>
      <c r="X835" s="1"/>
      <c r="Y835" s="5"/>
      <c r="Z835" s="1"/>
    </row>
    <row r="836" customFormat="false" ht="15" hidden="false" customHeight="false" outlineLevel="0" collapsed="false">
      <c r="A836" s="0" t="s">
        <v>67</v>
      </c>
      <c r="B836" s="0" t="s">
        <v>68</v>
      </c>
      <c r="C836" s="0" t="s">
        <v>56</v>
      </c>
      <c r="D836" s="0" t="s">
        <v>145</v>
      </c>
      <c r="E836" s="0" t="n">
        <v>18</v>
      </c>
      <c r="F836" s="0" t="n">
        <v>0</v>
      </c>
      <c r="G836" s="1"/>
      <c r="H836" s="1"/>
      <c r="I836" s="0" t="n">
        <v>0</v>
      </c>
      <c r="J836" s="0" t="n">
        <f aca="false">(I836/32)*5</f>
        <v>0</v>
      </c>
      <c r="L836" s="0" t="n">
        <v>0</v>
      </c>
      <c r="M836" s="0" t="n">
        <v>0</v>
      </c>
      <c r="N836" s="0" t="n">
        <f aca="false">L836</f>
        <v>0</v>
      </c>
      <c r="O836" s="3" t="n">
        <v>0</v>
      </c>
      <c r="P836" s="3" t="n">
        <f aca="false">(O836*(N836/100)*(J836/1000))*1000</f>
        <v>0</v>
      </c>
      <c r="Q836" s="3"/>
      <c r="R836" s="1"/>
      <c r="S836" s="1"/>
      <c r="T836" s="1"/>
      <c r="U836" s="1"/>
      <c r="V836" s="1"/>
      <c r="W836" s="1"/>
      <c r="X836" s="1"/>
      <c r="Y836" s="5"/>
      <c r="Z836" s="1"/>
    </row>
    <row r="837" customFormat="false" ht="15" hidden="false" customHeight="false" outlineLevel="0" collapsed="false">
      <c r="A837" s="0" t="s">
        <v>69</v>
      </c>
      <c r="B837" s="0" t="s">
        <v>70</v>
      </c>
      <c r="C837" s="0" t="s">
        <v>56</v>
      </c>
      <c r="D837" s="0" t="s">
        <v>145</v>
      </c>
      <c r="E837" s="0" t="n">
        <v>18</v>
      </c>
      <c r="F837" s="0" t="n">
        <v>0</v>
      </c>
      <c r="G837" s="1"/>
      <c r="H837" s="1"/>
      <c r="I837" s="0" t="n">
        <v>0</v>
      </c>
      <c r="J837" s="0" t="n">
        <f aca="false">(I837/32)*5</f>
        <v>0</v>
      </c>
      <c r="L837" s="0" t="n">
        <v>0</v>
      </c>
      <c r="M837" s="0" t="n">
        <v>0</v>
      </c>
      <c r="N837" s="0" t="n">
        <f aca="false">L837</f>
        <v>0</v>
      </c>
      <c r="O837" s="3" t="n">
        <v>0</v>
      </c>
      <c r="P837" s="3" t="n">
        <f aca="false">(O837*(N837/100)*(J837/1000))*1000</f>
        <v>0</v>
      </c>
      <c r="Q837" s="3"/>
      <c r="R837" s="1"/>
      <c r="S837" s="1"/>
      <c r="T837" s="1"/>
      <c r="U837" s="1"/>
      <c r="V837" s="1"/>
      <c r="W837" s="1"/>
      <c r="X837" s="1"/>
      <c r="Y837" s="5"/>
      <c r="Z837" s="1"/>
    </row>
    <row r="838" customFormat="false" ht="15" hidden="false" customHeight="false" outlineLevel="0" collapsed="false">
      <c r="A838" s="0" t="s">
        <v>71</v>
      </c>
      <c r="B838" s="0" t="s">
        <v>72</v>
      </c>
      <c r="C838" s="0" t="s">
        <v>56</v>
      </c>
      <c r="D838" s="0" t="s">
        <v>145</v>
      </c>
      <c r="E838" s="0" t="n">
        <v>18</v>
      </c>
      <c r="F838" s="0" t="n">
        <v>0</v>
      </c>
      <c r="G838" s="1"/>
      <c r="H838" s="1"/>
      <c r="I838" s="0" t="n">
        <v>0</v>
      </c>
      <c r="J838" s="0" t="n">
        <f aca="false">(I838/32)*5</f>
        <v>0</v>
      </c>
      <c r="L838" s="0" t="n">
        <v>0</v>
      </c>
      <c r="M838" s="0" t="n">
        <v>0</v>
      </c>
      <c r="N838" s="0" t="n">
        <f aca="false">L838</f>
        <v>0</v>
      </c>
      <c r="O838" s="3" t="n">
        <v>0</v>
      </c>
      <c r="P838" s="3" t="n">
        <f aca="false">(O838*(N838/100)*(J838/1000))*1000</f>
        <v>0</v>
      </c>
      <c r="Q838" s="3"/>
      <c r="R838" s="1"/>
      <c r="S838" s="1"/>
      <c r="T838" s="1"/>
      <c r="U838" s="1"/>
      <c r="V838" s="1"/>
      <c r="W838" s="1"/>
      <c r="X838" s="1"/>
      <c r="Y838" s="5"/>
      <c r="Z838" s="1"/>
    </row>
    <row r="839" customFormat="false" ht="15" hidden="false" customHeight="false" outlineLevel="0" collapsed="false">
      <c r="A839" s="0" t="s">
        <v>73</v>
      </c>
      <c r="B839" s="0" t="s">
        <v>74</v>
      </c>
      <c r="C839" s="0" t="s">
        <v>56</v>
      </c>
      <c r="D839" s="0" t="s">
        <v>145</v>
      </c>
      <c r="E839" s="0" t="n">
        <v>18</v>
      </c>
      <c r="F839" s="0" t="n">
        <v>0</v>
      </c>
      <c r="G839" s="1"/>
      <c r="H839" s="1"/>
      <c r="I839" s="0" t="n">
        <v>0</v>
      </c>
      <c r="J839" s="0" t="n">
        <f aca="false">(I839/32)*5</f>
        <v>0</v>
      </c>
      <c r="L839" s="0" t="n">
        <v>0</v>
      </c>
      <c r="M839" s="0" t="n">
        <v>0</v>
      </c>
      <c r="N839" s="0" t="n">
        <f aca="false">L839</f>
        <v>0</v>
      </c>
      <c r="O839" s="3" t="n">
        <v>0</v>
      </c>
      <c r="P839" s="3" t="n">
        <f aca="false">(O839*(N839/100)*(J839/1000))*1000</f>
        <v>0</v>
      </c>
      <c r="Q839" s="3"/>
      <c r="R839" s="1"/>
      <c r="S839" s="1"/>
      <c r="T839" s="1"/>
      <c r="U839" s="1"/>
      <c r="V839" s="1"/>
      <c r="W839" s="1"/>
      <c r="X839" s="1"/>
      <c r="Y839" s="5"/>
      <c r="Z839" s="1"/>
    </row>
    <row r="840" customFormat="false" ht="15" hidden="false" customHeight="false" outlineLevel="0" collapsed="false">
      <c r="A840" s="0" t="s">
        <v>75</v>
      </c>
      <c r="B840" s="0" t="s">
        <v>76</v>
      </c>
      <c r="C840" s="0" t="s">
        <v>56</v>
      </c>
      <c r="D840" s="0" t="s">
        <v>145</v>
      </c>
      <c r="E840" s="0" t="n">
        <v>18</v>
      </c>
      <c r="F840" s="0" t="n">
        <v>0</v>
      </c>
      <c r="G840" s="1"/>
      <c r="H840" s="1"/>
      <c r="I840" s="0" t="n">
        <v>0</v>
      </c>
      <c r="J840" s="0" t="n">
        <f aca="false">(I840/32)*5</f>
        <v>0</v>
      </c>
      <c r="L840" s="0" t="n">
        <v>0</v>
      </c>
      <c r="M840" s="0" t="n">
        <v>0</v>
      </c>
      <c r="N840" s="0" t="n">
        <f aca="false">L840</f>
        <v>0</v>
      </c>
      <c r="O840" s="3" t="n">
        <v>0</v>
      </c>
      <c r="P840" s="3" t="n">
        <f aca="false">(O840*(N840/100)*(J840/1000))*1000</f>
        <v>0</v>
      </c>
      <c r="Q840" s="3"/>
      <c r="R840" s="1"/>
      <c r="S840" s="1"/>
      <c r="T840" s="1"/>
      <c r="U840" s="1"/>
      <c r="V840" s="1"/>
      <c r="W840" s="1"/>
      <c r="X840" s="1"/>
      <c r="Y840" s="5"/>
      <c r="Z840" s="1"/>
    </row>
    <row r="841" customFormat="false" ht="15" hidden="false" customHeight="false" outlineLevel="0" collapsed="false">
      <c r="A841" s="0" t="s">
        <v>77</v>
      </c>
      <c r="B841" s="0" t="s">
        <v>78</v>
      </c>
      <c r="C841" s="0" t="s">
        <v>56</v>
      </c>
      <c r="D841" s="0" t="s">
        <v>145</v>
      </c>
      <c r="E841" s="0" t="n">
        <v>18</v>
      </c>
      <c r="F841" s="0" t="n">
        <v>1</v>
      </c>
      <c r="G841" s="1"/>
      <c r="H841" s="1"/>
      <c r="I841" s="0" t="n">
        <f aca="false">64+17.9</f>
        <v>81.9</v>
      </c>
      <c r="J841" s="0" t="n">
        <f aca="false">(I841/32)*5</f>
        <v>12.796875</v>
      </c>
      <c r="L841" s="0" t="n">
        <v>23.5</v>
      </c>
      <c r="M841" s="0" t="n">
        <v>0</v>
      </c>
      <c r="N841" s="0" t="n">
        <f aca="false">L841</f>
        <v>23.5</v>
      </c>
      <c r="O841" s="3" t="n">
        <f aca="false">LOOKUP(L841,$AB$3:$AC$123)</f>
        <v>1.096725</v>
      </c>
      <c r="P841" s="3" t="n">
        <f aca="false">(O841*(N841/100)*(J841/1000))*1000</f>
        <v>3.29814339257812</v>
      </c>
      <c r="Q841" s="3"/>
      <c r="R841" s="1"/>
      <c r="S841" s="1"/>
      <c r="T841" s="1"/>
      <c r="U841" s="1"/>
      <c r="V841" s="1"/>
      <c r="W841" s="1"/>
      <c r="X841" s="1"/>
      <c r="Y841" s="5"/>
      <c r="Z841" s="1"/>
    </row>
    <row r="842" customFormat="false" ht="15" hidden="false" customHeight="false" outlineLevel="0" collapsed="false">
      <c r="A842" s="0" t="s">
        <v>79</v>
      </c>
      <c r="B842" s="0" t="s">
        <v>80</v>
      </c>
      <c r="C842" s="0" t="s">
        <v>81</v>
      </c>
      <c r="D842" s="0" t="s">
        <v>145</v>
      </c>
      <c r="E842" s="0" t="n">
        <v>18</v>
      </c>
      <c r="F842" s="0" t="n">
        <v>0</v>
      </c>
      <c r="G842" s="1"/>
      <c r="H842" s="1"/>
      <c r="I842" s="0" t="n">
        <v>0</v>
      </c>
      <c r="J842" s="0" t="n">
        <f aca="false">(I842/32)*5</f>
        <v>0</v>
      </c>
      <c r="L842" s="0" t="n">
        <v>0</v>
      </c>
      <c r="M842" s="0" t="n">
        <v>0</v>
      </c>
      <c r="N842" s="0" t="n">
        <f aca="false">L842</f>
        <v>0</v>
      </c>
      <c r="O842" s="3" t="n">
        <v>0</v>
      </c>
      <c r="P842" s="3" t="n">
        <f aca="false">(O842*(N842/100)*(J842/1000))*1000</f>
        <v>0</v>
      </c>
      <c r="Q842" s="3"/>
      <c r="R842" s="3" t="n">
        <v>1</v>
      </c>
      <c r="S842" s="3" t="n">
        <v>2.8</v>
      </c>
      <c r="T842" s="0" t="n">
        <f aca="false">(S842/32)*5</f>
        <v>0.4375</v>
      </c>
      <c r="V842" s="0" t="n">
        <v>5</v>
      </c>
      <c r="W842" s="0" t="n">
        <v>4</v>
      </c>
      <c r="X842" s="3" t="n">
        <f aca="false">LOOKUP(V842,$AB$3:$AC$123)</f>
        <v>1.0179</v>
      </c>
      <c r="Y842" s="2" t="n">
        <f aca="false">(V842*((W842+T842)/1000)*X842)/((((W842+T842)/1000)*X842)-((W842/1000)*0.9982))</f>
        <v>43.0896960446453</v>
      </c>
      <c r="Z842" s="3" t="n">
        <f aca="false">(X842*(V842/100)*((W842+T842)/1000))*1000</f>
        <v>0.2258465625</v>
      </c>
    </row>
    <row r="843" customFormat="false" ht="15" hidden="false" customHeight="false" outlineLevel="0" collapsed="false">
      <c r="A843" s="0" t="s">
        <v>82</v>
      </c>
      <c r="B843" s="0" t="s">
        <v>83</v>
      </c>
      <c r="C843" s="0" t="s">
        <v>81</v>
      </c>
      <c r="D843" s="0" t="s">
        <v>145</v>
      </c>
      <c r="E843" s="0" t="n">
        <v>18</v>
      </c>
      <c r="F843" s="0" t="n">
        <v>0</v>
      </c>
      <c r="G843" s="1"/>
      <c r="H843" s="1"/>
      <c r="I843" s="0" t="n">
        <v>0</v>
      </c>
      <c r="J843" s="0" t="n">
        <f aca="false">(I843/32)*5</f>
        <v>0</v>
      </c>
      <c r="L843" s="0" t="n">
        <v>0</v>
      </c>
      <c r="M843" s="0" t="n">
        <v>0</v>
      </c>
      <c r="N843" s="0" t="n">
        <f aca="false">L843</f>
        <v>0</v>
      </c>
      <c r="O843" s="3" t="n">
        <v>0</v>
      </c>
      <c r="P843" s="3" t="n">
        <f aca="false">(O843*(N843/100)*(J843/1000))*1000</f>
        <v>0</v>
      </c>
      <c r="Q843" s="3"/>
      <c r="R843" s="3" t="n">
        <v>1</v>
      </c>
      <c r="S843" s="3" t="n">
        <v>3.8</v>
      </c>
      <c r="T843" s="0" t="n">
        <f aca="false">(S843/32)*5</f>
        <v>0.59375</v>
      </c>
      <c r="V843" s="0" t="n">
        <v>10</v>
      </c>
      <c r="W843" s="0" t="n">
        <v>4</v>
      </c>
      <c r="X843" s="3" t="n">
        <f aca="false">LOOKUP(V843,$AB$3:$AC$123)</f>
        <v>1.0381</v>
      </c>
      <c r="Y843" s="2" t="n">
        <f aca="false">(V843*((W843+T843)/1000)*X843)/((((W843+T843)/1000)*X843)-((W843/1000)*0.9982))</f>
        <v>61.4554731767825</v>
      </c>
      <c r="Z843" s="3" t="n">
        <f aca="false">(X843*(V843/100)*((W843+T843)/1000))*1000</f>
        <v>0.4768771875</v>
      </c>
    </row>
    <row r="844" customFormat="false" ht="15" hidden="false" customHeight="false" outlineLevel="0" collapsed="false">
      <c r="A844" s="0" t="s">
        <v>84</v>
      </c>
      <c r="B844" s="0" t="s">
        <v>85</v>
      </c>
      <c r="C844" s="0" t="s">
        <v>81</v>
      </c>
      <c r="D844" s="0" t="s">
        <v>145</v>
      </c>
      <c r="E844" s="0" t="n">
        <v>18</v>
      </c>
      <c r="F844" s="0" t="n">
        <v>1</v>
      </c>
      <c r="G844" s="1"/>
      <c r="H844" s="1"/>
      <c r="I844" s="0" t="n">
        <f aca="false">64+20.5-3.9</f>
        <v>80.6</v>
      </c>
      <c r="J844" s="0" t="n">
        <f aca="false">(I844/32)*5</f>
        <v>12.59375</v>
      </c>
      <c r="L844" s="0" t="n">
        <v>24</v>
      </c>
      <c r="M844" s="0" t="n">
        <v>0</v>
      </c>
      <c r="N844" s="0" t="n">
        <f aca="false">L844</f>
        <v>24</v>
      </c>
      <c r="O844" s="3" t="n">
        <f aca="false">LOOKUP(L844,$AB$3:$AC$123)</f>
        <v>1.099</v>
      </c>
      <c r="P844" s="3" t="n">
        <f aca="false">(O844*(N844/100)*(J844/1000))*1000</f>
        <v>3.3217275</v>
      </c>
      <c r="Q844" s="3"/>
      <c r="R844" s="0" t="n">
        <v>3</v>
      </c>
      <c r="S844" s="0" t="n">
        <v>2.6</v>
      </c>
      <c r="T844" s="0" t="n">
        <f aca="false">(S844/32)*5</f>
        <v>0.40625</v>
      </c>
      <c r="V844" s="0" t="n">
        <v>6.5</v>
      </c>
      <c r="W844" s="0" t="n">
        <v>4</v>
      </c>
      <c r="X844" s="3" t="n">
        <f aca="false">LOOKUP(V844,$AB$3:$AC$123)</f>
        <v>1.02385</v>
      </c>
      <c r="Y844" s="2" t="n">
        <f aca="false">(V844*((W844+T844)/1000)*X844)/((((W844+T844)/1000)*X844)-((W844/1000)*0.9982))</f>
        <v>56.550616967743</v>
      </c>
      <c r="Z844" s="3" t="n">
        <f aca="false">(X844*(V844/100)*((W844+T844)/1000))*1000</f>
        <v>0.2932370390625</v>
      </c>
    </row>
    <row r="845" customFormat="false" ht="15" hidden="false" customHeight="false" outlineLevel="0" collapsed="false">
      <c r="A845" s="0" t="s">
        <v>86</v>
      </c>
      <c r="B845" s="0" t="s">
        <v>87</v>
      </c>
      <c r="C845" s="0" t="s">
        <v>81</v>
      </c>
      <c r="D845" s="0" t="s">
        <v>145</v>
      </c>
      <c r="E845" s="0" t="n">
        <v>18</v>
      </c>
      <c r="F845" s="0" t="n">
        <v>1</v>
      </c>
      <c r="G845" s="1"/>
      <c r="H845" s="1"/>
      <c r="I845" s="0" t="n">
        <v>34.2</v>
      </c>
      <c r="J845" s="0" t="n">
        <f aca="false">(I845/32)*5</f>
        <v>5.34375</v>
      </c>
      <c r="L845" s="0" t="n">
        <v>20.5</v>
      </c>
      <c r="M845" s="0" t="n">
        <v>0</v>
      </c>
      <c r="N845" s="0" t="n">
        <f aca="false">L845</f>
        <v>20.5</v>
      </c>
      <c r="O845" s="3" t="n">
        <f aca="false">LOOKUP(L845,$AB$3:$AC$123)</f>
        <v>1.083225</v>
      </c>
      <c r="P845" s="3" t="n">
        <f aca="false">(O845*(N845/100)*(J845/1000))*1000</f>
        <v>1.18663913671875</v>
      </c>
      <c r="Q845" s="3"/>
      <c r="R845" s="0" t="n">
        <v>2</v>
      </c>
      <c r="S845" s="0" t="n">
        <v>0.9</v>
      </c>
      <c r="T845" s="0" t="n">
        <f aca="false">(S845/32)*5</f>
        <v>0.140625</v>
      </c>
      <c r="V845" s="0" t="n">
        <v>1.5</v>
      </c>
      <c r="W845" s="0" t="n">
        <v>1</v>
      </c>
      <c r="X845" s="3" t="n">
        <f aca="false">LOOKUP(V845,$AB$3:$AC$123)</f>
        <v>1.00405</v>
      </c>
      <c r="Y845" s="2" t="n">
        <f aca="false">(V845*((W845+T845)/1000)*X845)/((((W845+T845)/1000)*X845)-((W845/1000)*0.9982))</f>
        <v>11.6826296243166</v>
      </c>
      <c r="Z845" s="3" t="n">
        <f aca="false">(X845*(V845/100)*((W845+T845)/1000))*1000</f>
        <v>0.01717866796875</v>
      </c>
    </row>
    <row r="846" customFormat="false" ht="15" hidden="false" customHeight="false" outlineLevel="0" collapsed="false">
      <c r="A846" s="0" t="s">
        <v>88</v>
      </c>
      <c r="B846" s="0" t="s">
        <v>89</v>
      </c>
      <c r="C846" s="0" t="s">
        <v>81</v>
      </c>
      <c r="D846" s="0" t="s">
        <v>145</v>
      </c>
      <c r="E846" s="0" t="n">
        <v>18</v>
      </c>
      <c r="F846" s="0" t="n">
        <v>1</v>
      </c>
      <c r="G846" s="1"/>
      <c r="H846" s="1"/>
      <c r="I846" s="0" t="n">
        <v>64</v>
      </c>
      <c r="J846" s="0" t="n">
        <f aca="false">(I846/32)*5</f>
        <v>10</v>
      </c>
      <c r="L846" s="0" t="n">
        <v>22.5</v>
      </c>
      <c r="M846" s="0" t="n">
        <v>0</v>
      </c>
      <c r="N846" s="0" t="n">
        <f aca="false">L846</f>
        <v>22.5</v>
      </c>
      <c r="O846" s="3" t="n">
        <f aca="false">LOOKUP(L846,$AB$3:$AC$123)</f>
        <v>1.092175</v>
      </c>
      <c r="P846" s="3" t="n">
        <f aca="false">(O846*(N846/100)*(J846/1000))*1000</f>
        <v>2.45739375</v>
      </c>
      <c r="Q846" s="3"/>
      <c r="R846" s="0" t="n">
        <v>1</v>
      </c>
      <c r="S846" s="0" t="n">
        <v>1.1</v>
      </c>
      <c r="T846" s="0" t="n">
        <f aca="false">(S846/32)*5</f>
        <v>0.171875</v>
      </c>
      <c r="V846" s="0" t="n">
        <v>2.5</v>
      </c>
      <c r="W846" s="0" t="n">
        <v>1</v>
      </c>
      <c r="X846" s="3" t="n">
        <f aca="false">LOOKUP(V846,$AB$3:$AC$123)</f>
        <v>1.00795</v>
      </c>
      <c r="Y846" s="2" t="n">
        <f aca="false">(V846*((W846+T846)/1000)*X846)/((((W846+T846)/1000)*X846)-((W846/1000)*0.9982))</f>
        <v>16.1372524324486</v>
      </c>
      <c r="Z846" s="3" t="n">
        <f aca="false">(X846*(V846/100)*((W846+T846)/1000))*1000</f>
        <v>0.02952978515625</v>
      </c>
    </row>
    <row r="847" customFormat="false" ht="15" hidden="false" customHeight="false" outlineLevel="0" collapsed="false">
      <c r="A847" s="0" t="s">
        <v>90</v>
      </c>
      <c r="B847" s="0" t="s">
        <v>91</v>
      </c>
      <c r="C847" s="0" t="s">
        <v>81</v>
      </c>
      <c r="D847" s="0" t="s">
        <v>145</v>
      </c>
      <c r="E847" s="0" t="n">
        <v>18</v>
      </c>
      <c r="F847" s="0" t="n">
        <v>0</v>
      </c>
      <c r="G847" s="1"/>
      <c r="H847" s="1"/>
      <c r="I847" s="0" t="n">
        <v>0</v>
      </c>
      <c r="J847" s="0" t="n">
        <f aca="false">(I847/32)*5</f>
        <v>0</v>
      </c>
      <c r="L847" s="0" t="n">
        <v>0</v>
      </c>
      <c r="M847" s="0" t="n">
        <v>0</v>
      </c>
      <c r="N847" s="0" t="n">
        <f aca="false">L847</f>
        <v>0</v>
      </c>
      <c r="O847" s="3" t="n">
        <v>0</v>
      </c>
      <c r="P847" s="3" t="n">
        <f aca="false">(O847*(N847/100)*(J847/1000))*1000</f>
        <v>0</v>
      </c>
      <c r="Q847" s="3"/>
      <c r="R847" s="3" t="n">
        <v>3</v>
      </c>
      <c r="S847" s="3" t="n">
        <v>4.8</v>
      </c>
      <c r="T847" s="0" t="n">
        <f aca="false">(S847/32)*5</f>
        <v>0.75</v>
      </c>
      <c r="V847" s="0" t="n">
        <v>16.5</v>
      </c>
      <c r="W847" s="0" t="n">
        <v>4</v>
      </c>
      <c r="X847" s="3" t="n">
        <f aca="false">LOOKUP(V847,$AB$3:$AC$123)</f>
        <v>1.06565</v>
      </c>
      <c r="Y847" s="2" t="n">
        <f aca="false">(V847*((W847+T847)/1000)*X847)/((((W847+T847)/1000)*X847)-((W847/1000)*0.9982))</f>
        <v>78.1266501408979</v>
      </c>
      <c r="Z847" s="3" t="n">
        <f aca="false">(X847*(V847/100)*((W847+T847)/1000))*1000</f>
        <v>0.8352031875</v>
      </c>
    </row>
    <row r="848" customFormat="false" ht="15" hidden="false" customHeight="false" outlineLevel="0" collapsed="false">
      <c r="A848" s="0" t="s">
        <v>92</v>
      </c>
      <c r="B848" s="0" t="s">
        <v>93</v>
      </c>
      <c r="C848" s="0" t="s">
        <v>81</v>
      </c>
      <c r="D848" s="0" t="s">
        <v>145</v>
      </c>
      <c r="E848" s="0" t="n">
        <v>18</v>
      </c>
      <c r="F848" s="0" t="n">
        <v>1</v>
      </c>
      <c r="G848" s="1"/>
      <c r="H848" s="1"/>
      <c r="I848" s="0" t="n">
        <v>26.3</v>
      </c>
      <c r="J848" s="0" t="n">
        <f aca="false">(I848/32)*5</f>
        <v>4.109375</v>
      </c>
      <c r="L848" s="0" t="n">
        <v>23</v>
      </c>
      <c r="M848" s="0" t="n">
        <v>0</v>
      </c>
      <c r="N848" s="0" t="n">
        <f aca="false">L848</f>
        <v>23</v>
      </c>
      <c r="O848" s="3" t="n">
        <f aca="false">LOOKUP(L848,$AB$3:$AC$123)</f>
        <v>1.09445</v>
      </c>
      <c r="P848" s="3" t="n">
        <f aca="false">(O848*(N848/100)*(J848/1000))*1000</f>
        <v>1.0344262578125</v>
      </c>
      <c r="Q848" s="3"/>
      <c r="R848" s="3" t="n">
        <v>3</v>
      </c>
      <c r="S848" s="3" t="n">
        <v>5.1</v>
      </c>
      <c r="T848" s="0" t="n">
        <f aca="false">(S848/32)*5</f>
        <v>0.796875</v>
      </c>
      <c r="V848" s="0" t="n">
        <v>15</v>
      </c>
      <c r="W848" s="0" t="n">
        <v>4</v>
      </c>
      <c r="X848" s="3" t="n">
        <f aca="false">LOOKUP(V848,$AB$3:$AC$123)</f>
        <v>1.0592</v>
      </c>
      <c r="Y848" s="2" t="n">
        <f aca="false">(V848*((W848+T848)/1000)*X848)/((((W848+T848)/1000)*X848)-((W848/1000)*0.9982))</f>
        <v>70.0452644639493</v>
      </c>
      <c r="Z848" s="3" t="n">
        <f aca="false">(X848*(V848/100)*((W848+T848)/1000))*1000</f>
        <v>0.7621275</v>
      </c>
    </row>
    <row r="849" customFormat="false" ht="15" hidden="false" customHeight="false" outlineLevel="0" collapsed="false">
      <c r="A849" s="0" t="s">
        <v>94</v>
      </c>
      <c r="B849" s="0" t="s">
        <v>95</v>
      </c>
      <c r="C849" s="0" t="s">
        <v>81</v>
      </c>
      <c r="D849" s="0" t="s">
        <v>145</v>
      </c>
      <c r="E849" s="0" t="n">
        <v>18</v>
      </c>
      <c r="F849" s="0" t="n">
        <v>0</v>
      </c>
      <c r="G849" s="1"/>
      <c r="H849" s="1"/>
      <c r="I849" s="0" t="n">
        <v>0</v>
      </c>
      <c r="J849" s="0" t="n">
        <f aca="false">(I849/32)*5</f>
        <v>0</v>
      </c>
      <c r="L849" s="0" t="n">
        <v>0</v>
      </c>
      <c r="M849" s="0" t="n">
        <v>0</v>
      </c>
      <c r="N849" s="0" t="n">
        <f aca="false">L849</f>
        <v>0</v>
      </c>
      <c r="O849" s="3" t="n">
        <v>0</v>
      </c>
      <c r="P849" s="3" t="n">
        <f aca="false">(O849*(N849/100)*(J849/1000))*1000</f>
        <v>0</v>
      </c>
      <c r="Q849" s="3"/>
      <c r="R849" s="3" t="n">
        <v>4</v>
      </c>
      <c r="S849" s="3" t="n">
        <v>11.1</v>
      </c>
      <c r="T849" s="0" t="n">
        <f aca="false">(S849/32)*5</f>
        <v>1.734375</v>
      </c>
      <c r="V849" s="0" t="n">
        <v>37</v>
      </c>
      <c r="W849" s="0" t="n">
        <v>4</v>
      </c>
      <c r="X849" s="3" t="n">
        <f aca="false">LOOKUP(V849,$AB$3:$AC$123)</f>
        <v>1.16125</v>
      </c>
      <c r="Y849" s="2" t="n">
        <f aca="false">(V849*((W849+T849)/1000)*X849)/((((W849+T849)/1000)*X849)-((W849/1000)*0.9982))</f>
        <v>92.4089037389047</v>
      </c>
      <c r="Z849" s="3" t="n">
        <f aca="false">(X849*(V849/100)*((W849+T849)/1000))*1000</f>
        <v>2.4638458984375</v>
      </c>
    </row>
    <row r="850" customFormat="false" ht="15" hidden="false" customHeight="false" outlineLevel="0" collapsed="false">
      <c r="A850" s="0" t="s">
        <v>96</v>
      </c>
      <c r="B850" s="0" t="s">
        <v>97</v>
      </c>
      <c r="C850" s="0" t="s">
        <v>81</v>
      </c>
      <c r="D850" s="0" t="s">
        <v>145</v>
      </c>
      <c r="E850" s="0" t="n">
        <v>18</v>
      </c>
      <c r="F850" s="0" t="n">
        <v>0</v>
      </c>
      <c r="G850" s="1"/>
      <c r="H850" s="1"/>
      <c r="I850" s="0" t="n">
        <v>0</v>
      </c>
      <c r="J850" s="0" t="n">
        <f aca="false">(I850/32)*5</f>
        <v>0</v>
      </c>
      <c r="L850" s="0" t="n">
        <v>0</v>
      </c>
      <c r="M850" s="0" t="n">
        <v>0</v>
      </c>
      <c r="N850" s="0" t="n">
        <f aca="false">L850</f>
        <v>0</v>
      </c>
      <c r="O850" s="3" t="n">
        <v>0</v>
      </c>
      <c r="P850" s="3" t="n">
        <f aca="false">(O850*(N850/100)*(J850/1000))*1000</f>
        <v>0</v>
      </c>
      <c r="Q850" s="3"/>
      <c r="R850" s="3" t="n">
        <v>2</v>
      </c>
      <c r="S850" s="3" t="n">
        <v>4.6</v>
      </c>
      <c r="T850" s="0" t="n">
        <f aca="false">(S850/32)*5</f>
        <v>0.71875</v>
      </c>
      <c r="V850" s="0" t="n">
        <v>11</v>
      </c>
      <c r="W850" s="0" t="n">
        <v>4</v>
      </c>
      <c r="X850" s="3" t="n">
        <f aca="false">LOOKUP(V850,$AB$3:$AC$123)</f>
        <v>1.0423</v>
      </c>
      <c r="Y850" s="2" t="n">
        <f aca="false">(V850*((W850+T850)/1000)*X850)/((((W850+T850)/1000)*X850)-((W850/1000)*0.9982))</f>
        <v>58.4535699936187</v>
      </c>
      <c r="Z850" s="3" t="n">
        <f aca="false">(X850*(V850/100)*((W850+T850)/1000))*1000</f>
        <v>0.54101884375</v>
      </c>
    </row>
    <row r="851" customFormat="false" ht="15" hidden="false" customHeight="false" outlineLevel="0" collapsed="false">
      <c r="A851" s="0" t="s">
        <v>98</v>
      </c>
      <c r="B851" s="0" t="s">
        <v>99</v>
      </c>
      <c r="C851" s="0" t="s">
        <v>81</v>
      </c>
      <c r="D851" s="0" t="s">
        <v>145</v>
      </c>
      <c r="E851" s="0" t="n">
        <v>18</v>
      </c>
      <c r="F851" s="0" t="n">
        <v>1</v>
      </c>
      <c r="G851" s="1"/>
      <c r="H851" s="1"/>
      <c r="I851" s="0" t="n">
        <v>64</v>
      </c>
      <c r="J851" s="0" t="n">
        <f aca="false">(I851/32)*5</f>
        <v>10</v>
      </c>
      <c r="L851" s="0" t="n">
        <v>24.5</v>
      </c>
      <c r="M851" s="0" t="n">
        <v>0</v>
      </c>
      <c r="N851" s="0" t="n">
        <f aca="false">L851</f>
        <v>24.5</v>
      </c>
      <c r="O851" s="3" t="n">
        <f aca="false">LOOKUP(L851,$AB$3:$AC$123)</f>
        <v>1.101275</v>
      </c>
      <c r="P851" s="3" t="n">
        <f aca="false">(O851*(N851/100)*(J851/1000))*1000</f>
        <v>2.69812375</v>
      </c>
      <c r="Q851" s="3"/>
      <c r="R851" s="3" t="n">
        <v>2</v>
      </c>
      <c r="S851" s="3" t="n">
        <v>9.7</v>
      </c>
      <c r="T851" s="0" t="n">
        <f aca="false">(S851/32)*5</f>
        <v>1.515625</v>
      </c>
      <c r="V851" s="0" t="n">
        <v>26</v>
      </c>
      <c r="W851" s="0" t="n">
        <v>4</v>
      </c>
      <c r="X851" s="3" t="n">
        <f aca="false">LOOKUP(V851,$AB$3:$AC$123)</f>
        <v>1.1081</v>
      </c>
      <c r="Y851" s="2" t="n">
        <f aca="false">(V851*((W851+T851)/1000)*X851)/((((W851+T851)/1000)*X851)-((W851/1000)*0.9982))</f>
        <v>74.9899299587598</v>
      </c>
      <c r="Z851" s="3" t="n">
        <f aca="false">(X851*(V851/100)*((W851+T851)/1000))*1000</f>
        <v>1.58908465625</v>
      </c>
    </row>
    <row r="852" customFormat="false" ht="15" hidden="false" customHeight="false" outlineLevel="0" collapsed="false">
      <c r="A852" s="0" t="s">
        <v>100</v>
      </c>
      <c r="B852" s="0" t="s">
        <v>101</v>
      </c>
      <c r="C852" s="0" t="s">
        <v>81</v>
      </c>
      <c r="D852" s="0" t="s">
        <v>145</v>
      </c>
      <c r="E852" s="0" t="n">
        <v>18</v>
      </c>
      <c r="F852" s="0" t="n">
        <v>0</v>
      </c>
      <c r="G852" s="1"/>
      <c r="H852" s="1"/>
      <c r="I852" s="0" t="n">
        <v>0</v>
      </c>
      <c r="J852" s="0" t="n">
        <f aca="false">(I852/32)*5</f>
        <v>0</v>
      </c>
      <c r="L852" s="0" t="n">
        <v>0</v>
      </c>
      <c r="M852" s="0" t="n">
        <v>0</v>
      </c>
      <c r="N852" s="0" t="n">
        <f aca="false">L852</f>
        <v>0</v>
      </c>
      <c r="O852" s="3" t="n">
        <v>0</v>
      </c>
      <c r="P852" s="3" t="n">
        <f aca="false">(O852*(N852/100)*(J852/1000))*1000</f>
        <v>0</v>
      </c>
      <c r="Q852" s="3"/>
      <c r="R852" s="3" t="n">
        <v>1</v>
      </c>
      <c r="S852" s="3" t="n">
        <v>6.1</v>
      </c>
      <c r="T852" s="0" t="n">
        <f aca="false">(S852/32)*5</f>
        <v>0.953125</v>
      </c>
      <c r="V852" s="0" t="n">
        <v>10</v>
      </c>
      <c r="W852" s="0" t="n">
        <v>4</v>
      </c>
      <c r="X852" s="3" t="n">
        <f aca="false">LOOKUP(V852,$AB$3:$AC$123)</f>
        <v>1.0381</v>
      </c>
      <c r="Y852" s="2" t="n">
        <f aca="false">(V852*((W852+T852)/1000)*X852)/((((W852+T852)/1000)*X852)-((W852/1000)*0.9982))</f>
        <v>44.7490362191234</v>
      </c>
      <c r="Z852" s="3" t="n">
        <f aca="false">(X852*(V852/100)*((W852+T852)/1000))*1000</f>
        <v>0.51418390625</v>
      </c>
    </row>
    <row r="853" customFormat="false" ht="15" hidden="false" customHeight="false" outlineLevel="0" collapsed="false">
      <c r="A853" s="0" t="s">
        <v>102</v>
      </c>
      <c r="B853" s="0" t="s">
        <v>103</v>
      </c>
      <c r="C853" s="0" t="s">
        <v>81</v>
      </c>
      <c r="D853" s="0" t="s">
        <v>145</v>
      </c>
      <c r="E853" s="0" t="n">
        <v>18</v>
      </c>
      <c r="F853" s="0" t="n">
        <v>0</v>
      </c>
      <c r="G853" s="1"/>
      <c r="H853" s="1"/>
      <c r="I853" s="0" t="n">
        <v>0</v>
      </c>
      <c r="J853" s="0" t="n">
        <f aca="false">(I853/32)*5</f>
        <v>0</v>
      </c>
      <c r="L853" s="0" t="n">
        <v>0</v>
      </c>
      <c r="M853" s="0" t="n">
        <v>0</v>
      </c>
      <c r="N853" s="0" t="n">
        <f aca="false">L853</f>
        <v>0</v>
      </c>
      <c r="O853" s="3" t="n">
        <v>0</v>
      </c>
      <c r="P853" s="3" t="n">
        <f aca="false">(O853*(N853/100)*(J853/1000))*1000</f>
        <v>0</v>
      </c>
      <c r="Q853" s="3"/>
      <c r="R853" s="3" t="n">
        <v>3</v>
      </c>
      <c r="S853" s="3" t="n">
        <v>9.1</v>
      </c>
      <c r="T853" s="0" t="n">
        <f aca="false">(S853/32)*5</f>
        <v>1.421875</v>
      </c>
      <c r="V853" s="0" t="n">
        <v>23</v>
      </c>
      <c r="W853" s="0" t="n">
        <v>4</v>
      </c>
      <c r="X853" s="3" t="n">
        <f aca="false">LOOKUP(V853,$AB$3:$AC$123)</f>
        <v>1.09445</v>
      </c>
      <c r="Y853" s="2" t="n">
        <f aca="false">(V853*((W853+T853)/1000)*X853)/((((W853+T853)/1000)*X853)-((W853/1000)*0.9982))</f>
        <v>70.3087613429232</v>
      </c>
      <c r="Z853" s="3" t="n">
        <f aca="false">(X853*(V853/100)*((W853+T853)/1000))*1000</f>
        <v>1.3648133515625</v>
      </c>
    </row>
    <row r="854" customFormat="false" ht="15" hidden="false" customHeight="false" outlineLevel="0" collapsed="false">
      <c r="A854" s="0" t="s">
        <v>104</v>
      </c>
      <c r="B854" s="0" t="s">
        <v>105</v>
      </c>
      <c r="C854" s="0" t="s">
        <v>106</v>
      </c>
      <c r="D854" s="0" t="s">
        <v>145</v>
      </c>
      <c r="E854" s="0" t="n">
        <v>18</v>
      </c>
      <c r="F854" s="0" t="n">
        <v>2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3" t="n">
        <v>8</v>
      </c>
      <c r="S854" s="1"/>
      <c r="T854" s="1"/>
      <c r="U854" s="1"/>
      <c r="V854" s="1"/>
      <c r="W854" s="1"/>
      <c r="X854" s="1"/>
      <c r="Y854" s="5"/>
      <c r="Z854" s="1"/>
    </row>
    <row r="855" customFormat="false" ht="15" hidden="false" customHeight="false" outlineLevel="0" collapsed="false">
      <c r="A855" s="0" t="s">
        <v>107</v>
      </c>
      <c r="B855" s="0" t="s">
        <v>37</v>
      </c>
      <c r="C855" s="0" t="s">
        <v>106</v>
      </c>
      <c r="D855" s="0" t="s">
        <v>145</v>
      </c>
      <c r="E855" s="0" t="n">
        <v>18</v>
      </c>
      <c r="F855" s="0" t="n">
        <v>2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3" t="n">
        <v>2</v>
      </c>
      <c r="S855" s="1"/>
      <c r="T855" s="1"/>
      <c r="U855" s="1"/>
      <c r="V855" s="1"/>
      <c r="W855" s="1"/>
      <c r="X855" s="1"/>
      <c r="Y855" s="5"/>
      <c r="Z855" s="1"/>
    </row>
    <row r="856" customFormat="false" ht="15" hidden="false" customHeight="false" outlineLevel="0" collapsed="false">
      <c r="A856" s="0" t="s">
        <v>108</v>
      </c>
      <c r="B856" s="0" t="s">
        <v>109</v>
      </c>
      <c r="C856" s="0" t="s">
        <v>106</v>
      </c>
      <c r="D856" s="0" t="s">
        <v>145</v>
      </c>
      <c r="E856" s="0" t="n">
        <v>18</v>
      </c>
      <c r="F856" s="0" t="n">
        <v>3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3" t="n">
        <v>5</v>
      </c>
      <c r="S856" s="1"/>
      <c r="T856" s="1"/>
      <c r="U856" s="1"/>
      <c r="V856" s="1"/>
      <c r="W856" s="1"/>
      <c r="X856" s="1"/>
      <c r="Y856" s="5"/>
      <c r="Z856" s="1"/>
    </row>
    <row r="857" customFormat="false" ht="15" hidden="false" customHeight="false" outlineLevel="0" collapsed="false">
      <c r="A857" s="0" t="s">
        <v>110</v>
      </c>
      <c r="B857" s="0" t="s">
        <v>111</v>
      </c>
      <c r="C857" s="0" t="s">
        <v>106</v>
      </c>
      <c r="D857" s="0" t="s">
        <v>145</v>
      </c>
      <c r="E857" s="0" t="n">
        <v>18</v>
      </c>
      <c r="F857" s="0" t="n">
        <v>1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3" t="n">
        <v>6</v>
      </c>
      <c r="S857" s="1"/>
      <c r="T857" s="1"/>
      <c r="U857" s="1"/>
      <c r="V857" s="1"/>
      <c r="W857" s="1"/>
      <c r="X857" s="1"/>
      <c r="Y857" s="5"/>
      <c r="Z857" s="1"/>
    </row>
    <row r="858" customFormat="false" ht="15" hidden="false" customHeight="false" outlineLevel="0" collapsed="false">
      <c r="A858" s="0" t="s">
        <v>112</v>
      </c>
      <c r="B858" s="0" t="s">
        <v>113</v>
      </c>
      <c r="C858" s="0" t="s">
        <v>106</v>
      </c>
      <c r="D858" s="0" t="s">
        <v>145</v>
      </c>
      <c r="E858" s="0" t="n">
        <v>18</v>
      </c>
      <c r="F858" s="0" t="n">
        <v>1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3" t="n">
        <v>3</v>
      </c>
      <c r="S858" s="1"/>
      <c r="T858" s="1"/>
      <c r="U858" s="1"/>
      <c r="V858" s="1"/>
      <c r="W858" s="1"/>
      <c r="X858" s="1"/>
      <c r="Y858" s="5"/>
      <c r="Z858" s="1"/>
    </row>
    <row r="859" customFormat="false" ht="15" hidden="false" customHeight="false" outlineLevel="0" collapsed="false">
      <c r="A859" s="0" t="s">
        <v>114</v>
      </c>
      <c r="B859" s="0" t="s">
        <v>115</v>
      </c>
      <c r="C859" s="0" t="s">
        <v>106</v>
      </c>
      <c r="D859" s="0" t="s">
        <v>145</v>
      </c>
      <c r="E859" s="0" t="n">
        <v>18</v>
      </c>
      <c r="F859" s="0" t="n">
        <v>1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3" t="n">
        <v>3</v>
      </c>
      <c r="S859" s="1"/>
      <c r="T859" s="1"/>
      <c r="U859" s="1"/>
      <c r="V859" s="1"/>
      <c r="W859" s="1"/>
      <c r="X859" s="1"/>
      <c r="Y859" s="5"/>
      <c r="Z859" s="1"/>
    </row>
    <row r="860" customFormat="false" ht="15" hidden="false" customHeight="false" outlineLevel="0" collapsed="false">
      <c r="A860" s="0" t="s">
        <v>116</v>
      </c>
      <c r="B860" s="0" t="s">
        <v>117</v>
      </c>
      <c r="C860" s="0" t="s">
        <v>106</v>
      </c>
      <c r="D860" s="0" t="s">
        <v>145</v>
      </c>
      <c r="E860" s="0" t="n">
        <v>18</v>
      </c>
      <c r="F860" s="0" t="n">
        <v>1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3" t="n">
        <v>3</v>
      </c>
      <c r="S860" s="1"/>
      <c r="T860" s="1"/>
      <c r="U860" s="1"/>
      <c r="V860" s="1"/>
      <c r="W860" s="1"/>
      <c r="X860" s="1"/>
      <c r="Y860" s="5"/>
      <c r="Z860" s="1"/>
    </row>
    <row r="861" customFormat="false" ht="15" hidden="false" customHeight="false" outlineLevel="0" collapsed="false">
      <c r="A861" s="0" t="s">
        <v>118</v>
      </c>
      <c r="B861" s="0" t="s">
        <v>119</v>
      </c>
      <c r="C861" s="0" t="s">
        <v>106</v>
      </c>
      <c r="D861" s="0" t="s">
        <v>145</v>
      </c>
      <c r="E861" s="0" t="n">
        <v>18</v>
      </c>
      <c r="F861" s="0" t="n">
        <v>1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3" t="n">
        <v>7</v>
      </c>
      <c r="S861" s="1"/>
      <c r="T861" s="1"/>
      <c r="U861" s="1"/>
      <c r="V861" s="1"/>
      <c r="W861" s="1"/>
      <c r="X861" s="1"/>
      <c r="Y861" s="5"/>
      <c r="Z861" s="1"/>
    </row>
    <row r="862" customFormat="false" ht="15" hidden="false" customHeight="false" outlineLevel="0" collapsed="false">
      <c r="A862" s="0" t="s">
        <v>120</v>
      </c>
      <c r="B862" s="0" t="s">
        <v>121</v>
      </c>
      <c r="C862" s="0" t="s">
        <v>106</v>
      </c>
      <c r="D862" s="0" t="s">
        <v>145</v>
      </c>
      <c r="E862" s="0" t="n">
        <v>18</v>
      </c>
      <c r="F862" s="0" t="n">
        <v>1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3" t="n">
        <v>4</v>
      </c>
      <c r="S862" s="1"/>
      <c r="T862" s="1"/>
      <c r="U862" s="1"/>
      <c r="V862" s="1"/>
      <c r="W862" s="1"/>
      <c r="X862" s="1"/>
      <c r="Y862" s="5"/>
      <c r="Z862" s="1"/>
    </row>
    <row r="863" customFormat="false" ht="15" hidden="false" customHeight="false" outlineLevel="0" collapsed="false">
      <c r="A863" s="0" t="s">
        <v>122</v>
      </c>
      <c r="B863" s="0" t="s">
        <v>123</v>
      </c>
      <c r="C863" s="0" t="s">
        <v>106</v>
      </c>
      <c r="D863" s="0" t="s">
        <v>145</v>
      </c>
      <c r="E863" s="0" t="n">
        <v>18</v>
      </c>
      <c r="F863" s="0" t="n">
        <v>2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3" t="n">
        <v>5</v>
      </c>
      <c r="S863" s="1"/>
      <c r="T863" s="1"/>
      <c r="U863" s="1"/>
      <c r="V863" s="1"/>
      <c r="W863" s="1"/>
      <c r="X863" s="1"/>
      <c r="Y863" s="5"/>
      <c r="Z863" s="1"/>
    </row>
    <row r="864" customFormat="false" ht="15" hidden="false" customHeight="false" outlineLevel="0" collapsed="false">
      <c r="A864" s="0" t="s">
        <v>124</v>
      </c>
      <c r="B864" s="0" t="s">
        <v>125</v>
      </c>
      <c r="C864" s="0" t="s">
        <v>106</v>
      </c>
      <c r="D864" s="0" t="s">
        <v>145</v>
      </c>
      <c r="E864" s="0" t="n">
        <v>18</v>
      </c>
      <c r="F864" s="0" t="n">
        <v>1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3" t="n">
        <v>7</v>
      </c>
      <c r="S864" s="1"/>
      <c r="T864" s="1"/>
      <c r="U864" s="1"/>
      <c r="V864" s="1"/>
      <c r="W864" s="1"/>
      <c r="X864" s="1"/>
      <c r="Y864" s="5"/>
      <c r="Z864" s="1"/>
    </row>
    <row r="865" customFormat="false" ht="15" hidden="false" customHeight="false" outlineLevel="0" collapsed="false">
      <c r="A865" s="0" t="s">
        <v>126</v>
      </c>
      <c r="B865" s="0" t="s">
        <v>127</v>
      </c>
      <c r="C865" s="0" t="s">
        <v>106</v>
      </c>
      <c r="D865" s="0" t="s">
        <v>145</v>
      </c>
      <c r="E865" s="0" t="n">
        <v>18</v>
      </c>
      <c r="F865" s="0" t="n">
        <v>0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3" t="n">
        <v>5</v>
      </c>
      <c r="S865" s="1"/>
      <c r="T865" s="1"/>
      <c r="U865" s="1"/>
      <c r="V865" s="1"/>
      <c r="W865" s="1"/>
      <c r="X865" s="1"/>
      <c r="Y865" s="5"/>
      <c r="Z865" s="1"/>
    </row>
    <row r="866" customFormat="false" ht="15" hidden="false" customHeight="false" outlineLevel="0" collapsed="false">
      <c r="A866" s="0" t="s">
        <v>26</v>
      </c>
      <c r="B866" s="0" t="s">
        <v>27</v>
      </c>
      <c r="C866" s="0" t="s">
        <v>28</v>
      </c>
      <c r="D866" s="0" t="s">
        <v>146</v>
      </c>
      <c r="E866" s="0" t="n">
        <v>19</v>
      </c>
      <c r="F866" s="0" t="n">
        <v>1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3" t="n">
        <v>3</v>
      </c>
      <c r="S866" s="0" t="n">
        <v>5</v>
      </c>
      <c r="T866" s="0" t="n">
        <f aca="false">(S866/32)*5</f>
        <v>0.78125</v>
      </c>
      <c r="V866" s="0" t="n">
        <v>4</v>
      </c>
      <c r="W866" s="0" t="n">
        <v>4</v>
      </c>
      <c r="X866" s="3" t="n">
        <f aca="false">LOOKUP(V866,$AB$3:$AC$123)</f>
        <v>1.0139</v>
      </c>
      <c r="Y866" s="2" t="n">
        <f aca="false">(V866*((W866+T866)/1000)*X866)/((((W866+T866)/1000)*X866)-((W866/1000)*0.9982))</f>
        <v>22.6817462377226</v>
      </c>
      <c r="Z866" s="3" t="n">
        <f aca="false">(X866*(V866/100)*((W866+T866)/1000))*1000</f>
        <v>0.193908375</v>
      </c>
    </row>
    <row r="867" customFormat="false" ht="15" hidden="false" customHeight="false" outlineLevel="0" collapsed="false">
      <c r="A867" s="0" t="s">
        <v>32</v>
      </c>
      <c r="B867" s="0" t="s">
        <v>33</v>
      </c>
      <c r="C867" s="0" t="s">
        <v>28</v>
      </c>
      <c r="D867" s="0" t="s">
        <v>146</v>
      </c>
      <c r="E867" s="0" t="n">
        <v>19</v>
      </c>
      <c r="F867" s="0" t="n">
        <v>2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3" t="n">
        <v>8</v>
      </c>
      <c r="S867" s="0" t="n">
        <v>12.1</v>
      </c>
      <c r="T867" s="0" t="n">
        <f aca="false">(S867/32)*5</f>
        <v>1.890625</v>
      </c>
      <c r="V867" s="0" t="n">
        <v>15.5</v>
      </c>
      <c r="W867" s="0" t="n">
        <v>4</v>
      </c>
      <c r="X867" s="3" t="n">
        <f aca="false">LOOKUP(V867,$AB$3:$AC$123)</f>
        <v>1.06135</v>
      </c>
      <c r="Y867" s="2" t="n">
        <f aca="false">(V867*((W867+T867)/1000)*X867)/((((W867+T867)/1000)*X867)-((W867/1000)*0.9982))</f>
        <v>42.8937647723992</v>
      </c>
      <c r="Z867" s="3" t="n">
        <f aca="false">(X867*(V867/100)*((W867+T867)/1000))*1000</f>
        <v>0.96906230078125</v>
      </c>
    </row>
    <row r="868" customFormat="false" ht="15" hidden="false" customHeight="false" outlineLevel="0" collapsed="false">
      <c r="A868" s="0" t="s">
        <v>34</v>
      </c>
      <c r="B868" s="0" t="s">
        <v>35</v>
      </c>
      <c r="C868" s="0" t="s">
        <v>28</v>
      </c>
      <c r="D868" s="0" t="s">
        <v>146</v>
      </c>
      <c r="E868" s="0" t="n">
        <v>19</v>
      </c>
      <c r="F868" s="0" t="n">
        <v>0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3" t="n">
        <v>5</v>
      </c>
      <c r="S868" s="0" t="n">
        <v>9.4</v>
      </c>
      <c r="T868" s="0" t="n">
        <f aca="false">(S868/32)*5</f>
        <v>1.46875</v>
      </c>
      <c r="V868" s="0" t="n">
        <v>13</v>
      </c>
      <c r="W868" s="0" t="n">
        <v>4</v>
      </c>
      <c r="X868" s="3" t="n">
        <f aca="false">LOOKUP(V868,$AB$3:$AC$123)</f>
        <v>1.0507</v>
      </c>
      <c r="Y868" s="2" t="n">
        <f aca="false">(V868*((W868+T868)/1000)*X868)/((((W868+T868)/1000)*X868)-((W868/1000)*0.9982))</f>
        <v>42.6063982432281</v>
      </c>
      <c r="Z868" s="3" t="n">
        <f aca="false">(X868*(V868/100)*((W868+T868)/1000))*1000</f>
        <v>0.74698203125</v>
      </c>
    </row>
    <row r="869" customFormat="false" ht="15" hidden="false" customHeight="false" outlineLevel="0" collapsed="false">
      <c r="A869" s="0" t="s">
        <v>36</v>
      </c>
      <c r="B869" s="0" t="s">
        <v>37</v>
      </c>
      <c r="C869" s="0" t="s">
        <v>28</v>
      </c>
      <c r="D869" s="0" t="s">
        <v>146</v>
      </c>
      <c r="E869" s="0" t="n">
        <v>19</v>
      </c>
      <c r="F869" s="0" t="n">
        <v>1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3" t="n">
        <v>4</v>
      </c>
      <c r="S869" s="0" t="n">
        <v>3.6</v>
      </c>
      <c r="T869" s="0" t="n">
        <f aca="false">(S869/32)*5</f>
        <v>0.5625</v>
      </c>
      <c r="V869" s="0" t="n">
        <v>4</v>
      </c>
      <c r="W869" s="0" t="n">
        <v>4</v>
      </c>
      <c r="X869" s="3" t="n">
        <f aca="false">LOOKUP(V869,$AB$3:$AC$123)</f>
        <v>1.0139</v>
      </c>
      <c r="Y869" s="2" t="n">
        <f aca="false">(V869*((W869+T869)/1000)*X869)/((((W869+T869)/1000)*X869)-((W869/1000)*0.9982))</f>
        <v>29.2262312559848</v>
      </c>
      <c r="Z869" s="3" t="n">
        <f aca="false">(X869*(V869/100)*((W869+T869)/1000))*1000</f>
        <v>0.18503675</v>
      </c>
    </row>
    <row r="870" customFormat="false" ht="15" hidden="false" customHeight="false" outlineLevel="0" collapsed="false">
      <c r="A870" s="0" t="s">
        <v>38</v>
      </c>
      <c r="B870" s="0" t="s">
        <v>39</v>
      </c>
      <c r="C870" s="0" t="s">
        <v>28</v>
      </c>
      <c r="D870" s="0" t="s">
        <v>146</v>
      </c>
      <c r="E870" s="0" t="n">
        <v>19</v>
      </c>
      <c r="F870" s="0" t="n">
        <v>2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3" t="n">
        <v>7</v>
      </c>
      <c r="S870" s="0" t="n">
        <v>15.1</v>
      </c>
      <c r="T870" s="0" t="n">
        <f aca="false">(S870/32)*5</f>
        <v>2.359375</v>
      </c>
      <c r="V870" s="0" t="n">
        <v>23</v>
      </c>
      <c r="W870" s="0" t="n">
        <v>4</v>
      </c>
      <c r="X870" s="3" t="n">
        <f aca="false">LOOKUP(V870,$AB$3:$AC$123)</f>
        <v>1.09445</v>
      </c>
      <c r="Y870" s="2" t="n">
        <f aca="false">(V870*((W870+T870)/1000)*X870)/((((W870+T870)/1000)*X870)-((W870/1000)*0.9982))</f>
        <v>53.9496642872809</v>
      </c>
      <c r="Z870" s="3" t="n">
        <f aca="false">(X870*(V870/100)*((W870+T870)/1000))*1000</f>
        <v>1.6008041328125</v>
      </c>
    </row>
    <row r="871" customFormat="false" ht="15" hidden="false" customHeight="false" outlineLevel="0" collapsed="false">
      <c r="A871" s="0" t="s">
        <v>40</v>
      </c>
      <c r="B871" s="0" t="s">
        <v>41</v>
      </c>
      <c r="C871" s="0" t="s">
        <v>28</v>
      </c>
      <c r="D871" s="0" t="s">
        <v>146</v>
      </c>
      <c r="E871" s="0" t="n">
        <v>19</v>
      </c>
      <c r="F871" s="0" t="n">
        <v>1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3" t="n">
        <v>3</v>
      </c>
      <c r="S871" s="0" t="n">
        <v>4.4</v>
      </c>
      <c r="T871" s="0" t="n">
        <f aca="false">(S871/32)*5</f>
        <v>0.6875</v>
      </c>
      <c r="V871" s="0" t="n">
        <v>6</v>
      </c>
      <c r="W871" s="0" t="n">
        <v>4</v>
      </c>
      <c r="X871" s="3" t="n">
        <f aca="false">LOOKUP(V871,$AB$3:$AC$123)</f>
        <v>1.0218</v>
      </c>
      <c r="Y871" s="2" t="n">
        <f aca="false">(V871*((W871+T871)/1000)*X871)/((((W871+T871)/1000)*X871)-((W871/1000)*0.9982))</f>
        <v>36.0629637182162</v>
      </c>
      <c r="Z871" s="3" t="n">
        <f aca="false">(X871*(V871/100)*((W871+T871)/1000))*1000</f>
        <v>0.28738125</v>
      </c>
    </row>
    <row r="872" customFormat="false" ht="15" hidden="false" customHeight="false" outlineLevel="0" collapsed="false">
      <c r="A872" s="0" t="s">
        <v>42</v>
      </c>
      <c r="B872" s="0" t="s">
        <v>43</v>
      </c>
      <c r="C872" s="0" t="s">
        <v>28</v>
      </c>
      <c r="D872" s="0" t="s">
        <v>146</v>
      </c>
      <c r="E872" s="0" t="n">
        <v>19</v>
      </c>
      <c r="F872" s="0" t="n">
        <v>1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3" t="n">
        <v>8</v>
      </c>
      <c r="S872" s="0" t="n">
        <v>14</v>
      </c>
      <c r="T872" s="0" t="n">
        <f aca="false">(S872/32)*5</f>
        <v>2.1875</v>
      </c>
      <c r="V872" s="0" t="n">
        <v>22</v>
      </c>
      <c r="W872" s="0" t="n">
        <v>4</v>
      </c>
      <c r="X872" s="3" t="n">
        <f aca="false">LOOKUP(V872,$AB$3:$AC$123)</f>
        <v>1.0899</v>
      </c>
      <c r="Y872" s="2" t="n">
        <f aca="false">(V872*((W872+T872)/1000)*X872)/((((W872+T872)/1000)*X872)-((W872/1000)*0.9982))</f>
        <v>53.9312966173126</v>
      </c>
      <c r="Z872" s="3" t="n">
        <f aca="false">(X872*(V872/100)*((W872+T872)/1000))*1000</f>
        <v>1.483626375</v>
      </c>
    </row>
    <row r="873" customFormat="false" ht="15" hidden="false" customHeight="false" outlineLevel="0" collapsed="false">
      <c r="A873" s="0" t="s">
        <v>44</v>
      </c>
      <c r="B873" s="0" t="s">
        <v>45</v>
      </c>
      <c r="C873" s="0" t="s">
        <v>28</v>
      </c>
      <c r="D873" s="0" t="s">
        <v>146</v>
      </c>
      <c r="E873" s="0" t="n">
        <v>19</v>
      </c>
      <c r="F873" s="0" t="n">
        <v>1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3" t="n">
        <v>11</v>
      </c>
      <c r="S873" s="0" t="n">
        <v>11.9</v>
      </c>
      <c r="T873" s="0" t="n">
        <f aca="false">(S873/32)*5</f>
        <v>1.859375</v>
      </c>
      <c r="V873" s="0" t="n">
        <v>36</v>
      </c>
      <c r="W873" s="0" t="n">
        <v>6</v>
      </c>
      <c r="X873" s="3" t="n">
        <f aca="false">LOOKUP(V873,$AB$3:$AC$123)</f>
        <v>1.1562</v>
      </c>
      <c r="Y873" s="2" t="n">
        <f aca="false">(V873*((W873+T873)/1000)*X873)/((((W873+T873)/1000)*X873)-((W873/1000)*0.9982))</f>
        <v>105.601183901124</v>
      </c>
      <c r="Z873" s="3" t="n">
        <f aca="false">(X873*(V873/100)*((W873+T873)/1000))*1000</f>
        <v>3.271323375</v>
      </c>
    </row>
    <row r="874" customFormat="false" ht="15" hidden="false" customHeight="false" outlineLevel="0" collapsed="false">
      <c r="A874" s="0" t="s">
        <v>46</v>
      </c>
      <c r="B874" s="0" t="s">
        <v>47</v>
      </c>
      <c r="C874" s="0" t="s">
        <v>28</v>
      </c>
      <c r="D874" s="0" t="s">
        <v>146</v>
      </c>
      <c r="E874" s="0" t="n">
        <v>19</v>
      </c>
      <c r="F874" s="0" t="n">
        <v>1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3" t="n">
        <v>5</v>
      </c>
      <c r="S874" s="0" t="n">
        <v>3.3</v>
      </c>
      <c r="T874" s="0" t="n">
        <f aca="false">(S874/32)*5</f>
        <v>0.515625</v>
      </c>
      <c r="V874" s="0" t="n">
        <v>3</v>
      </c>
      <c r="W874" s="0" t="n">
        <v>4</v>
      </c>
      <c r="X874" s="3" t="n">
        <f aca="false">LOOKUP(V874,$AB$3:$AC$123)</f>
        <v>1.0099</v>
      </c>
      <c r="Y874" s="2" t="n">
        <f aca="false">(V874*((W874+T874)/1000)*X874)/((((W874+T874)/1000)*X874)-((W874/1000)*0.9982))</f>
        <v>24.1062086509792</v>
      </c>
      <c r="Z874" s="3" t="n">
        <f aca="false">(X874*(V874/100)*((W874+T874)/1000))*1000</f>
        <v>0.136809890625</v>
      </c>
    </row>
    <row r="875" customFormat="false" ht="15" hidden="false" customHeight="false" outlineLevel="0" collapsed="false">
      <c r="A875" s="0" t="s">
        <v>48</v>
      </c>
      <c r="B875" s="0" t="s">
        <v>49</v>
      </c>
      <c r="C875" s="0" t="s">
        <v>28</v>
      </c>
      <c r="D875" s="0" t="s">
        <v>146</v>
      </c>
      <c r="E875" s="0" t="n">
        <v>19</v>
      </c>
      <c r="F875" s="0" t="n">
        <v>1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3" t="n">
        <v>2</v>
      </c>
      <c r="S875" s="0" t="n">
        <v>3.2</v>
      </c>
      <c r="T875" s="0" t="n">
        <f aca="false">(S875/32)*5</f>
        <v>0.5</v>
      </c>
      <c r="V875" s="0" t="n">
        <v>9</v>
      </c>
      <c r="W875" s="0" t="n">
        <v>4</v>
      </c>
      <c r="X875" s="3" t="n">
        <f aca="false">LOOKUP(V875,$AB$3:$AC$123)</f>
        <v>1.0341</v>
      </c>
      <c r="Y875" s="2" t="n">
        <f aca="false">(V875*((W875+T875)/1000)*X875)/((((W875+T875)/1000)*X875)-((W875/1000)*0.9982))</f>
        <v>63.3937031711194</v>
      </c>
      <c r="Z875" s="3" t="n">
        <f aca="false">(X875*(V875/100)*((W875+T875)/1000))*1000</f>
        <v>0.4188105</v>
      </c>
    </row>
    <row r="876" customFormat="false" ht="15" hidden="false" customHeight="false" outlineLevel="0" collapsed="false">
      <c r="A876" s="0" t="s">
        <v>50</v>
      </c>
      <c r="B876" s="0" t="s">
        <v>51</v>
      </c>
      <c r="C876" s="0" t="s">
        <v>28</v>
      </c>
      <c r="D876" s="0" t="s">
        <v>146</v>
      </c>
      <c r="E876" s="0" t="n">
        <v>19</v>
      </c>
      <c r="F876" s="0" t="n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3" t="n">
        <v>6</v>
      </c>
      <c r="S876" s="0" t="n">
        <v>4.8</v>
      </c>
      <c r="T876" s="0" t="n">
        <f aca="false">(S876/32)*5</f>
        <v>0.75</v>
      </c>
      <c r="V876" s="0" t="n">
        <v>8</v>
      </c>
      <c r="W876" s="0" t="n">
        <v>4</v>
      </c>
      <c r="X876" s="3" t="n">
        <f aca="false">LOOKUP(V876,$AB$3:$AC$123)</f>
        <v>1.0299</v>
      </c>
      <c r="Y876" s="2" t="n">
        <f aca="false">(V876*((W876+T876)/1000)*X876)/((((W876+T876)/1000)*X876)-((W876/1000)*0.9982))</f>
        <v>43.5221440685034</v>
      </c>
      <c r="Z876" s="3" t="n">
        <f aca="false">(X876*(V876/100)*((W876+T876)/1000))*1000</f>
        <v>0.391362</v>
      </c>
    </row>
    <row r="877" customFormat="false" ht="15" hidden="false" customHeight="false" outlineLevel="0" collapsed="false">
      <c r="A877" s="0" t="s">
        <v>52</v>
      </c>
      <c r="B877" s="0" t="s">
        <v>53</v>
      </c>
      <c r="C877" s="0" t="s">
        <v>28</v>
      </c>
      <c r="D877" s="0" t="s">
        <v>146</v>
      </c>
      <c r="E877" s="0" t="n">
        <v>19</v>
      </c>
      <c r="F877" s="0" t="n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3" t="n">
        <v>2</v>
      </c>
      <c r="S877" s="0" t="n">
        <v>3.5</v>
      </c>
      <c r="T877" s="0" t="n">
        <f aca="false">(S877/32)*5</f>
        <v>0.546875</v>
      </c>
      <c r="V877" s="0" t="n">
        <v>1.5</v>
      </c>
      <c r="W877" s="0" t="n">
        <v>4</v>
      </c>
      <c r="X877" s="3" t="n">
        <f aca="false">LOOKUP(V877,$AB$3:$AC$123)</f>
        <v>1.00405</v>
      </c>
      <c r="Y877" s="2" t="n">
        <f aca="false">(V877*((W877+T877)/1000)*X877)/((((W877+T877)/1000)*X877)-((W877/1000)*0.9982))</f>
        <v>11.9616703080159</v>
      </c>
      <c r="Z877" s="3" t="n">
        <f aca="false">(X877*(V877/100)*((W877+T877)/1000))*1000</f>
        <v>0.06847934765625</v>
      </c>
    </row>
    <row r="878" customFormat="false" ht="15" hidden="false" customHeight="false" outlineLevel="0" collapsed="false">
      <c r="A878" s="0" t="s">
        <v>54</v>
      </c>
      <c r="B878" s="0" t="s">
        <v>55</v>
      </c>
      <c r="C878" s="0" t="s">
        <v>56</v>
      </c>
      <c r="D878" s="0" t="s">
        <v>146</v>
      </c>
      <c r="E878" s="0" t="n">
        <v>19</v>
      </c>
      <c r="F878" s="0" t="n">
        <v>0</v>
      </c>
      <c r="G878" s="1"/>
      <c r="H878" s="1"/>
      <c r="I878" s="0" t="n">
        <v>0</v>
      </c>
      <c r="J878" s="0" t="n">
        <f aca="false">(I878/32)*5</f>
        <v>0</v>
      </c>
      <c r="L878" s="0" t="n">
        <v>0</v>
      </c>
      <c r="M878" s="0" t="n">
        <v>0</v>
      </c>
      <c r="N878" s="2" t="n">
        <v>0</v>
      </c>
      <c r="O878" s="3" t="n">
        <f aca="false">LOOKUP(L878,$AB$3:$AC$123)</f>
        <v>0.9982</v>
      </c>
      <c r="P878" s="3" t="n">
        <f aca="false">(O878*(N878/100)*(J878/1000))*1000</f>
        <v>0</v>
      </c>
      <c r="Q878" s="3"/>
      <c r="R878" s="1"/>
      <c r="S878" s="1"/>
      <c r="T878" s="1"/>
      <c r="U878" s="1"/>
      <c r="V878" s="1"/>
      <c r="W878" s="1"/>
      <c r="X878" s="1"/>
      <c r="Y878" s="5"/>
      <c r="Z878" s="1"/>
    </row>
    <row r="879" customFormat="false" ht="15" hidden="false" customHeight="false" outlineLevel="0" collapsed="false">
      <c r="A879" s="0" t="s">
        <v>57</v>
      </c>
      <c r="B879" s="0" t="s">
        <v>58</v>
      </c>
      <c r="C879" s="0" t="s">
        <v>56</v>
      </c>
      <c r="D879" s="0" t="s">
        <v>146</v>
      </c>
      <c r="E879" s="0" t="n">
        <v>19</v>
      </c>
      <c r="F879" s="0" t="n">
        <v>0</v>
      </c>
      <c r="G879" s="1"/>
      <c r="H879" s="1"/>
      <c r="I879" s="0" t="n">
        <v>0</v>
      </c>
      <c r="J879" s="0" t="n">
        <f aca="false">(I879/32)*5</f>
        <v>0</v>
      </c>
      <c r="L879" s="0" t="n">
        <v>0</v>
      </c>
      <c r="M879" s="0" t="n">
        <v>0</v>
      </c>
      <c r="N879" s="2" t="n">
        <v>0</v>
      </c>
      <c r="O879" s="3" t="n">
        <f aca="false">LOOKUP(L879,$AB$3:$AC$123)</f>
        <v>0.9982</v>
      </c>
      <c r="P879" s="3" t="n">
        <f aca="false">(O879*(N879/100)*(J879/1000))*1000</f>
        <v>0</v>
      </c>
      <c r="Q879" s="3"/>
      <c r="R879" s="1"/>
      <c r="S879" s="1"/>
      <c r="T879" s="1"/>
      <c r="U879" s="1"/>
      <c r="V879" s="1"/>
      <c r="W879" s="1"/>
      <c r="X879" s="1"/>
      <c r="Y879" s="5"/>
      <c r="Z879" s="1"/>
    </row>
    <row r="880" customFormat="false" ht="15" hidden="false" customHeight="false" outlineLevel="0" collapsed="false">
      <c r="A880" s="0" t="s">
        <v>59</v>
      </c>
      <c r="B880" s="0" t="s">
        <v>60</v>
      </c>
      <c r="C880" s="0" t="s">
        <v>56</v>
      </c>
      <c r="D880" s="0" t="s">
        <v>146</v>
      </c>
      <c r="E880" s="0" t="n">
        <v>19</v>
      </c>
      <c r="F880" s="0" t="n">
        <v>1</v>
      </c>
      <c r="G880" s="1"/>
      <c r="H880" s="1"/>
      <c r="I880" s="0" t="n">
        <v>42.1</v>
      </c>
      <c r="J880" s="0" t="n">
        <f aca="false">(I880/32)*5</f>
        <v>6.578125</v>
      </c>
      <c r="L880" s="0" t="n">
        <v>13</v>
      </c>
      <c r="M880" s="0" t="n">
        <v>4</v>
      </c>
      <c r="N880" s="2" t="n">
        <f aca="false">(L880*((M880+J880)/1000)*O880)/((((M880+J880)/1000)*O880)-((M880/1000)*0.9982))</f>
        <v>20.2885500544446</v>
      </c>
      <c r="O880" s="3" t="n">
        <f aca="false">LOOKUP(L880,$AB$3:$AC$123)</f>
        <v>1.0507</v>
      </c>
      <c r="P880" s="3" t="n">
        <f aca="false">(O880*(N880/100)*(J880/1000))*1000</f>
        <v>1.40227071676067</v>
      </c>
      <c r="Q880" s="3"/>
      <c r="R880" s="1"/>
      <c r="S880" s="1"/>
      <c r="T880" s="1"/>
      <c r="U880" s="1"/>
      <c r="V880" s="1"/>
      <c r="W880" s="1"/>
      <c r="X880" s="1"/>
      <c r="Y880" s="5"/>
      <c r="Z880" s="1"/>
    </row>
    <row r="881" customFormat="false" ht="15" hidden="false" customHeight="false" outlineLevel="0" collapsed="false">
      <c r="A881" s="0" t="s">
        <v>61</v>
      </c>
      <c r="B881" s="0" t="s">
        <v>62</v>
      </c>
      <c r="C881" s="0" t="s">
        <v>56</v>
      </c>
      <c r="D881" s="0" t="s">
        <v>146</v>
      </c>
      <c r="E881" s="0" t="n">
        <v>19</v>
      </c>
      <c r="F881" s="0" t="n">
        <v>2</v>
      </c>
      <c r="G881" s="1"/>
      <c r="H881" s="1"/>
      <c r="I881" s="0" t="n">
        <v>39.4</v>
      </c>
      <c r="J881" s="0" t="n">
        <f aca="false">(I881/32)*5</f>
        <v>6.15625</v>
      </c>
      <c r="L881" s="0" t="n">
        <v>11</v>
      </c>
      <c r="M881" s="0" t="n">
        <v>4</v>
      </c>
      <c r="N881" s="2" t="n">
        <f aca="false">(L881*((M881+J881)/1000)*O881)/((((M881+J881)/1000)*O881)-((M881/1000)*0.9982))</f>
        <v>17.6616721467035</v>
      </c>
      <c r="O881" s="3" t="n">
        <f aca="false">LOOKUP(L881,$AB$3:$AC$123)</f>
        <v>1.0423</v>
      </c>
      <c r="P881" s="3" t="n">
        <f aca="false">(O881*(N881/100)*(J881/1000))*1000</f>
        <v>1.13328934158322</v>
      </c>
      <c r="Q881" s="3"/>
      <c r="R881" s="1"/>
      <c r="S881" s="1"/>
      <c r="T881" s="1"/>
      <c r="U881" s="1"/>
      <c r="V881" s="1"/>
      <c r="W881" s="1"/>
      <c r="X881" s="1"/>
      <c r="Y881" s="5"/>
      <c r="Z881" s="1"/>
    </row>
    <row r="882" customFormat="false" ht="15" hidden="false" customHeight="false" outlineLevel="0" collapsed="false">
      <c r="A882" s="0" t="s">
        <v>63</v>
      </c>
      <c r="B882" s="0" t="s">
        <v>64</v>
      </c>
      <c r="C882" s="0" t="s">
        <v>56</v>
      </c>
      <c r="D882" s="0" t="s">
        <v>146</v>
      </c>
      <c r="E882" s="0" t="n">
        <v>19</v>
      </c>
      <c r="F882" s="0" t="n">
        <v>0</v>
      </c>
      <c r="G882" s="1"/>
      <c r="H882" s="1"/>
      <c r="I882" s="0" t="n">
        <v>0</v>
      </c>
      <c r="J882" s="0" t="n">
        <f aca="false">(I882/32)*5</f>
        <v>0</v>
      </c>
      <c r="L882" s="0" t="n">
        <v>0</v>
      </c>
      <c r="M882" s="0" t="n">
        <v>0</v>
      </c>
      <c r="N882" s="2" t="n">
        <v>0</v>
      </c>
      <c r="O882" s="3" t="n">
        <v>0</v>
      </c>
      <c r="P882" s="3" t="n">
        <f aca="false">(O882*(N882/100)*(J882/1000))*1000</f>
        <v>0</v>
      </c>
      <c r="Q882" s="3"/>
      <c r="R882" s="1"/>
      <c r="S882" s="1"/>
      <c r="T882" s="1"/>
      <c r="U882" s="1"/>
      <c r="V882" s="1"/>
      <c r="W882" s="1"/>
      <c r="X882" s="1"/>
      <c r="Y882" s="5"/>
      <c r="Z882" s="1"/>
    </row>
    <row r="883" customFormat="false" ht="15" hidden="false" customHeight="false" outlineLevel="0" collapsed="false">
      <c r="A883" s="0" t="s">
        <v>65</v>
      </c>
      <c r="B883" s="0" t="s">
        <v>66</v>
      </c>
      <c r="C883" s="0" t="s">
        <v>56</v>
      </c>
      <c r="D883" s="0" t="s">
        <v>146</v>
      </c>
      <c r="E883" s="0" t="n">
        <v>19</v>
      </c>
      <c r="F883" s="0" t="n">
        <v>1</v>
      </c>
      <c r="G883" s="1"/>
      <c r="H883" s="1"/>
      <c r="I883" s="0" t="n">
        <v>21.7</v>
      </c>
      <c r="J883" s="0" t="n">
        <f aca="false">(I883/32)*5</f>
        <v>3.390625</v>
      </c>
      <c r="L883" s="0" t="n">
        <v>9</v>
      </c>
      <c r="M883" s="0" t="n">
        <v>4</v>
      </c>
      <c r="N883" s="2" t="n">
        <f aca="false">(L883*((M883+J883)/1000)*O883)/((((M883+J883)/1000)*O883)-((M883/1000)*0.9982))</f>
        <v>18.8456775351353</v>
      </c>
      <c r="O883" s="3" t="n">
        <f aca="false">LOOKUP(L883,$AB$3:$AC$123)</f>
        <v>1.0341</v>
      </c>
      <c r="P883" s="3" t="n">
        <f aca="false">(O883*(N883/100)*(J883/1000))*1000</f>
        <v>0.660775685184546</v>
      </c>
      <c r="Q883" s="3"/>
      <c r="R883" s="1"/>
      <c r="S883" s="1"/>
      <c r="T883" s="1"/>
      <c r="U883" s="1"/>
      <c r="V883" s="1"/>
      <c r="W883" s="1"/>
      <c r="X883" s="1"/>
      <c r="Y883" s="5"/>
      <c r="Z883" s="1"/>
    </row>
    <row r="884" customFormat="false" ht="15" hidden="false" customHeight="false" outlineLevel="0" collapsed="false">
      <c r="A884" s="0" t="s">
        <v>67</v>
      </c>
      <c r="B884" s="0" t="s">
        <v>68</v>
      </c>
      <c r="C884" s="0" t="s">
        <v>56</v>
      </c>
      <c r="D884" s="0" t="s">
        <v>146</v>
      </c>
      <c r="E884" s="0" t="n">
        <v>19</v>
      </c>
      <c r="F884" s="0" t="n">
        <v>1</v>
      </c>
      <c r="G884" s="1"/>
      <c r="H884" s="1"/>
      <c r="I884" s="0" t="n">
        <v>61</v>
      </c>
      <c r="J884" s="0" t="n">
        <f aca="false">(I884/32)*5</f>
        <v>9.53125</v>
      </c>
      <c r="L884" s="0" t="n">
        <v>8</v>
      </c>
      <c r="M884" s="0" t="n">
        <v>4</v>
      </c>
      <c r="N884" s="2" t="n">
        <f aca="false">(L884*((M884+J884)/1000)*O884)/((((M884+J884)/1000)*O884)-((M884/1000)*0.9982))</f>
        <v>11.2125404373853</v>
      </c>
      <c r="O884" s="3" t="n">
        <f aca="false">LOOKUP(L884,$AB$3:$AC$123)</f>
        <v>1.0299</v>
      </c>
      <c r="P884" s="3" t="n">
        <f aca="false">(O884*(N884/100)*(J884/1000))*1000</f>
        <v>1.1006492487254</v>
      </c>
      <c r="Q884" s="3"/>
      <c r="R884" s="1"/>
      <c r="S884" s="1"/>
      <c r="T884" s="1"/>
      <c r="U884" s="1"/>
      <c r="V884" s="1"/>
      <c r="W884" s="1"/>
      <c r="X884" s="1"/>
      <c r="Y884" s="5"/>
      <c r="Z884" s="1"/>
    </row>
    <row r="885" customFormat="false" ht="15" hidden="false" customHeight="false" outlineLevel="0" collapsed="false">
      <c r="A885" s="0" t="s">
        <v>69</v>
      </c>
      <c r="B885" s="0" t="s">
        <v>70</v>
      </c>
      <c r="C885" s="0" t="s">
        <v>56</v>
      </c>
      <c r="D885" s="0" t="s">
        <v>146</v>
      </c>
      <c r="E885" s="0" t="n">
        <v>19</v>
      </c>
      <c r="F885" s="0" t="n">
        <v>1</v>
      </c>
      <c r="G885" s="1"/>
      <c r="H885" s="1"/>
      <c r="I885" s="0" t="n">
        <v>48</v>
      </c>
      <c r="J885" s="0" t="n">
        <f aca="false">(I885/32)*5</f>
        <v>7.5</v>
      </c>
      <c r="L885" s="0" t="n">
        <v>11</v>
      </c>
      <c r="M885" s="0" t="n">
        <v>4</v>
      </c>
      <c r="N885" s="2" t="n">
        <f aca="false">(L885*((M885+J885)/1000)*O885)/((((M885+J885)/1000)*O885)-((M885/1000)*0.9982))</f>
        <v>16.4944612286002</v>
      </c>
      <c r="O885" s="3" t="n">
        <f aca="false">LOOKUP(L885,$AB$3:$AC$123)</f>
        <v>1.0423</v>
      </c>
      <c r="P885" s="3" t="n">
        <f aca="false">(O885*(N885/100)*(J885/1000))*1000</f>
        <v>1.28941327039275</v>
      </c>
      <c r="Q885" s="3"/>
      <c r="R885" s="1"/>
      <c r="S885" s="1"/>
      <c r="T885" s="1"/>
      <c r="U885" s="1"/>
      <c r="V885" s="1"/>
      <c r="W885" s="1"/>
      <c r="X885" s="1"/>
      <c r="Y885" s="5"/>
      <c r="Z885" s="1"/>
    </row>
    <row r="886" customFormat="false" ht="15" hidden="false" customHeight="false" outlineLevel="0" collapsed="false">
      <c r="A886" s="0" t="s">
        <v>71</v>
      </c>
      <c r="B886" s="0" t="s">
        <v>72</v>
      </c>
      <c r="C886" s="0" t="s">
        <v>56</v>
      </c>
      <c r="D886" s="0" t="s">
        <v>146</v>
      </c>
      <c r="E886" s="0" t="n">
        <v>19</v>
      </c>
      <c r="F886" s="0" t="n">
        <v>0</v>
      </c>
      <c r="G886" s="1"/>
      <c r="H886" s="1"/>
      <c r="I886" s="0" t="n">
        <v>0</v>
      </c>
      <c r="J886" s="0" t="n">
        <f aca="false">(I886/32)*5</f>
        <v>0</v>
      </c>
      <c r="L886" s="0" t="n">
        <v>0</v>
      </c>
      <c r="M886" s="0" t="n">
        <v>0</v>
      </c>
      <c r="N886" s="2" t="n">
        <v>0</v>
      </c>
      <c r="O886" s="3" t="n">
        <v>0</v>
      </c>
      <c r="P886" s="3" t="n">
        <f aca="false">(O886*(N886/100)*(J886/1000))*1000</f>
        <v>0</v>
      </c>
      <c r="Q886" s="3"/>
      <c r="R886" s="1"/>
      <c r="S886" s="1"/>
      <c r="T886" s="1"/>
      <c r="U886" s="1"/>
      <c r="V886" s="1"/>
      <c r="W886" s="1"/>
      <c r="X886" s="1"/>
      <c r="Y886" s="5"/>
      <c r="Z886" s="1"/>
    </row>
    <row r="887" customFormat="false" ht="15" hidden="false" customHeight="false" outlineLevel="0" collapsed="false">
      <c r="A887" s="0" t="s">
        <v>73</v>
      </c>
      <c r="B887" s="0" t="s">
        <v>74</v>
      </c>
      <c r="C887" s="0" t="s">
        <v>56</v>
      </c>
      <c r="D887" s="0" t="s">
        <v>146</v>
      </c>
      <c r="E887" s="0" t="n">
        <v>19</v>
      </c>
      <c r="F887" s="0" t="n">
        <v>0</v>
      </c>
      <c r="G887" s="1"/>
      <c r="H887" s="1"/>
      <c r="I887" s="0" t="n">
        <v>0</v>
      </c>
      <c r="J887" s="0" t="n">
        <f aca="false">(I887/32)*5</f>
        <v>0</v>
      </c>
      <c r="L887" s="0" t="n">
        <v>0</v>
      </c>
      <c r="M887" s="0" t="n">
        <v>0</v>
      </c>
      <c r="N887" s="2" t="n">
        <v>0</v>
      </c>
      <c r="O887" s="3" t="n">
        <v>0</v>
      </c>
      <c r="P887" s="3" t="n">
        <f aca="false">(O887*(N887/100)*(J887/1000))*1000</f>
        <v>0</v>
      </c>
      <c r="Q887" s="3"/>
      <c r="R887" s="1"/>
      <c r="S887" s="1"/>
      <c r="T887" s="1"/>
      <c r="U887" s="1"/>
      <c r="V887" s="1"/>
      <c r="W887" s="1"/>
      <c r="X887" s="1"/>
      <c r="Y887" s="5"/>
      <c r="Z887" s="1"/>
    </row>
    <row r="888" customFormat="false" ht="15" hidden="false" customHeight="false" outlineLevel="0" collapsed="false">
      <c r="A888" s="0" t="s">
        <v>75</v>
      </c>
      <c r="B888" s="0" t="s">
        <v>76</v>
      </c>
      <c r="C888" s="0" t="s">
        <v>56</v>
      </c>
      <c r="D888" s="0" t="s">
        <v>146</v>
      </c>
      <c r="E888" s="0" t="n">
        <v>19</v>
      </c>
      <c r="F888" s="0" t="n">
        <v>2</v>
      </c>
      <c r="G888" s="1"/>
      <c r="H888" s="1"/>
      <c r="I888" s="0" t="n">
        <v>109.2</v>
      </c>
      <c r="J888" s="0" t="n">
        <f aca="false">(I888/32)*5</f>
        <v>17.0625</v>
      </c>
      <c r="L888" s="0" t="n">
        <v>21</v>
      </c>
      <c r="M888" s="0" t="n">
        <v>4</v>
      </c>
      <c r="N888" s="2" t="n">
        <f aca="false">(L888*((M888+J888)/1000)*O888)/((((M888+J888)/1000)*O888)-((M888/1000)*0.9982))</f>
        <v>25.4436175658557</v>
      </c>
      <c r="O888" s="3" t="n">
        <f aca="false">LOOKUP(L888,$AB$3:$AC$123)</f>
        <v>1.08545</v>
      </c>
      <c r="P888" s="3" t="n">
        <f aca="false">(O888*(N888/100)*(J888/1000))*1000</f>
        <v>4.71228280594517</v>
      </c>
      <c r="Q888" s="3"/>
      <c r="R888" s="1"/>
      <c r="S888" s="1"/>
      <c r="T888" s="1"/>
      <c r="U888" s="1"/>
      <c r="V888" s="1"/>
      <c r="W888" s="1"/>
      <c r="X888" s="1"/>
      <c r="Y888" s="5"/>
      <c r="Z888" s="1"/>
    </row>
    <row r="889" customFormat="false" ht="15" hidden="false" customHeight="false" outlineLevel="0" collapsed="false">
      <c r="A889" s="0" t="s">
        <v>77</v>
      </c>
      <c r="B889" s="0" t="s">
        <v>78</v>
      </c>
      <c r="C889" s="0" t="s">
        <v>56</v>
      </c>
      <c r="D889" s="0" t="s">
        <v>146</v>
      </c>
      <c r="E889" s="0" t="n">
        <v>19</v>
      </c>
      <c r="F889" s="0" t="n">
        <v>0</v>
      </c>
      <c r="G889" s="1"/>
      <c r="H889" s="1"/>
      <c r="I889" s="0" t="n">
        <v>0</v>
      </c>
      <c r="J889" s="0" t="n">
        <f aca="false">(I889/32)*5</f>
        <v>0</v>
      </c>
      <c r="L889" s="0" t="n">
        <v>0</v>
      </c>
      <c r="M889" s="0" t="n">
        <v>0</v>
      </c>
      <c r="N889" s="2" t="n">
        <v>0</v>
      </c>
      <c r="O889" s="3" t="n">
        <v>0</v>
      </c>
      <c r="P889" s="3" t="n">
        <f aca="false">(O889*(N889/100)*(J889/1000))*1000</f>
        <v>0</v>
      </c>
      <c r="Q889" s="3"/>
      <c r="R889" s="1"/>
      <c r="S889" s="1"/>
      <c r="T889" s="1"/>
      <c r="U889" s="1"/>
      <c r="V889" s="1"/>
      <c r="W889" s="1"/>
      <c r="X889" s="1"/>
      <c r="Y889" s="5"/>
      <c r="Z889" s="1"/>
    </row>
    <row r="890" customFormat="false" ht="15" hidden="false" customHeight="false" outlineLevel="0" collapsed="false">
      <c r="A890" s="0" t="s">
        <v>79</v>
      </c>
      <c r="B890" s="0" t="s">
        <v>80</v>
      </c>
      <c r="C890" s="0" t="s">
        <v>81</v>
      </c>
      <c r="D890" s="0" t="s">
        <v>146</v>
      </c>
      <c r="E890" s="0" t="n">
        <v>19</v>
      </c>
      <c r="F890" s="0" t="n">
        <v>0</v>
      </c>
      <c r="G890" s="1"/>
      <c r="H890" s="1"/>
      <c r="I890" s="0" t="n">
        <v>0</v>
      </c>
      <c r="J890" s="0" t="n">
        <f aca="false">(I890/32)*5</f>
        <v>0</v>
      </c>
      <c r="L890" s="0" t="n">
        <v>0</v>
      </c>
      <c r="M890" s="0" t="n">
        <v>0</v>
      </c>
      <c r="N890" s="2" t="n">
        <v>0</v>
      </c>
      <c r="O890" s="3" t="n">
        <v>0</v>
      </c>
      <c r="P890" s="3" t="n">
        <f aca="false">(O890*(N890/100)*(J890/1000))*1000</f>
        <v>0</v>
      </c>
      <c r="Q890" s="3"/>
      <c r="R890" s="3" t="n">
        <v>1</v>
      </c>
      <c r="S890" s="3" t="n">
        <v>5.4</v>
      </c>
      <c r="T890" s="0" t="n">
        <f aca="false">(S890/32)*5</f>
        <v>0.84375</v>
      </c>
      <c r="V890" s="0" t="n">
        <v>6</v>
      </c>
      <c r="W890" s="0" t="n">
        <v>4</v>
      </c>
      <c r="X890" s="3" t="n">
        <f aca="false">LOOKUP(V890,$AB$3:$AC$123)</f>
        <v>1.0218</v>
      </c>
      <c r="Y890" s="2" t="n">
        <f aca="false">(V890*((W890+T890)/1000)*X890)/((((W890+T890)/1000)*X890)-((W890/1000)*0.9982))</f>
        <v>31.0451691310513</v>
      </c>
      <c r="Z890" s="3" t="n">
        <f aca="false">(X890*(V890/100)*((W890+T890)/1000))*1000</f>
        <v>0.296960625</v>
      </c>
    </row>
    <row r="891" customFormat="false" ht="15" hidden="false" customHeight="false" outlineLevel="0" collapsed="false">
      <c r="A891" s="0" t="s">
        <v>82</v>
      </c>
      <c r="B891" s="0" t="s">
        <v>83</v>
      </c>
      <c r="C891" s="0" t="s">
        <v>81</v>
      </c>
      <c r="D891" s="0" t="s">
        <v>146</v>
      </c>
      <c r="E891" s="0" t="n">
        <v>19</v>
      </c>
      <c r="F891" s="0" t="n">
        <v>2</v>
      </c>
      <c r="G891" s="1"/>
      <c r="H891" s="1"/>
      <c r="I891" s="0" t="n">
        <v>70.4</v>
      </c>
      <c r="J891" s="0" t="n">
        <f aca="false">(I891/32)*5</f>
        <v>11</v>
      </c>
      <c r="L891" s="0" t="n">
        <v>14</v>
      </c>
      <c r="M891" s="0" t="n">
        <v>4</v>
      </c>
      <c r="N891" s="2" t="n">
        <f aca="false">(L891*((M891+J891)/1000)*O891)/((((M891+J891)/1000)*O891)-((M891/1000)*0.9982))</f>
        <v>18.7249275190817</v>
      </c>
      <c r="O891" s="3" t="n">
        <f aca="false">LOOKUP(L891,$AB$3:$AC$123)</f>
        <v>1.0549</v>
      </c>
      <c r="P891" s="3" t="n">
        <f aca="false">(O891*(N891/100)*(J891/1000))*1000</f>
        <v>2.17282186438672</v>
      </c>
      <c r="Q891" s="3"/>
      <c r="R891" s="0" t="n">
        <v>1</v>
      </c>
      <c r="S891" s="0" t="n">
        <v>4</v>
      </c>
      <c r="T891" s="0" t="n">
        <f aca="false">(S891/32)*5</f>
        <v>0.625</v>
      </c>
      <c r="V891" s="0" t="n">
        <v>7</v>
      </c>
      <c r="W891" s="0" t="n">
        <v>4</v>
      </c>
      <c r="X891" s="3" t="n">
        <f aca="false">LOOKUP(V891,$AB$3:$AC$123)</f>
        <v>1.0259</v>
      </c>
      <c r="Y891" s="2" t="n">
        <f aca="false">(V891*((W891+T891)/1000)*X891)/((((W891+T891)/1000)*X891)-((W891/1000)*0.9982))</f>
        <v>44.1676390897455</v>
      </c>
      <c r="Z891" s="3" t="n">
        <f aca="false">(X891*(V891/100)*((W891+T891)/1000))*1000</f>
        <v>0.332135125</v>
      </c>
    </row>
    <row r="892" customFormat="false" ht="15" hidden="false" customHeight="false" outlineLevel="0" collapsed="false">
      <c r="A892" s="0" t="s">
        <v>84</v>
      </c>
      <c r="B892" s="0" t="s">
        <v>85</v>
      </c>
      <c r="C892" s="0" t="s">
        <v>81</v>
      </c>
      <c r="D892" s="0" t="s">
        <v>146</v>
      </c>
      <c r="E892" s="0" t="n">
        <v>19</v>
      </c>
      <c r="F892" s="0" t="n">
        <v>0</v>
      </c>
      <c r="G892" s="1"/>
      <c r="H892" s="1"/>
      <c r="I892" s="0" t="n">
        <v>0</v>
      </c>
      <c r="J892" s="0" t="n">
        <f aca="false">(I892/32)*5</f>
        <v>0</v>
      </c>
      <c r="L892" s="0" t="n">
        <v>0</v>
      </c>
      <c r="M892" s="0" t="n">
        <v>0</v>
      </c>
      <c r="N892" s="2" t="n">
        <v>0</v>
      </c>
      <c r="O892" s="3" t="n">
        <v>0</v>
      </c>
      <c r="P892" s="3" t="n">
        <f aca="false">(O892*(N892/100)*(J892/1000))*1000</f>
        <v>0</v>
      </c>
      <c r="Q892" s="3"/>
      <c r="R892" s="3" t="n">
        <v>3</v>
      </c>
      <c r="S892" s="3" t="n">
        <v>6.9</v>
      </c>
      <c r="T892" s="0" t="n">
        <f aca="false">(S892/32)*5</f>
        <v>1.078125</v>
      </c>
      <c r="V892" s="0" t="n">
        <v>11</v>
      </c>
      <c r="W892" s="0" t="n">
        <v>4</v>
      </c>
      <c r="X892" s="3" t="n">
        <f aca="false">LOOKUP(V892,$AB$3:$AC$123)</f>
        <v>1.0423</v>
      </c>
      <c r="Y892" s="2" t="n">
        <f aca="false">(V892*((W892+T892)/1000)*X892)/((((W892+T892)/1000)*X892)-((W892/1000)*0.9982))</f>
        <v>44.7818607038</v>
      </c>
      <c r="Z892" s="3" t="n">
        <f aca="false">(X892*(V892/100)*((W892+T892)/1000))*1000</f>
        <v>0.582222265625</v>
      </c>
    </row>
    <row r="893" customFormat="false" ht="15" hidden="false" customHeight="false" outlineLevel="0" collapsed="false">
      <c r="A893" s="0" t="s">
        <v>86</v>
      </c>
      <c r="B893" s="0" t="s">
        <v>87</v>
      </c>
      <c r="C893" s="0" t="s">
        <v>81</v>
      </c>
      <c r="D893" s="0" t="s">
        <v>146</v>
      </c>
      <c r="E893" s="0" t="n">
        <v>19</v>
      </c>
      <c r="F893" s="0" t="n">
        <v>0</v>
      </c>
      <c r="G893" s="1"/>
      <c r="H893" s="1"/>
      <c r="I893" s="0" t="n">
        <v>0</v>
      </c>
      <c r="J893" s="0" t="n">
        <f aca="false">(I893/32)*5</f>
        <v>0</v>
      </c>
      <c r="L893" s="0" t="n">
        <v>0</v>
      </c>
      <c r="M893" s="0" t="n">
        <v>0</v>
      </c>
      <c r="N893" s="2" t="n">
        <v>0</v>
      </c>
      <c r="O893" s="3" t="n">
        <v>0</v>
      </c>
      <c r="P893" s="3" t="n">
        <f aca="false">(O893*(N893/100)*(J893/1000))*1000</f>
        <v>0</v>
      </c>
      <c r="Q893" s="3"/>
      <c r="R893" s="3" t="n">
        <v>5</v>
      </c>
      <c r="S893" s="3" t="n">
        <v>12</v>
      </c>
      <c r="T893" s="0" t="n">
        <f aca="false">(S893/32)*5</f>
        <v>1.875</v>
      </c>
      <c r="V893" s="0" t="n">
        <v>13</v>
      </c>
      <c r="W893" s="0" t="n">
        <v>4</v>
      </c>
      <c r="X893" s="3" t="n">
        <f aca="false">LOOKUP(V893,$AB$3:$AC$123)</f>
        <v>1.0507</v>
      </c>
      <c r="Y893" s="2" t="n">
        <f aca="false">(V893*((W893+T893)/1000)*X893)/((((W893+T893)/1000)*X893)-((W893/1000)*0.9982))</f>
        <v>36.8095926148906</v>
      </c>
      <c r="Z893" s="3" t="n">
        <f aca="false">(X893*(V893/100)*((W893+T893)/1000))*1000</f>
        <v>0.802472125</v>
      </c>
    </row>
    <row r="894" customFormat="false" ht="15" hidden="false" customHeight="false" outlineLevel="0" collapsed="false">
      <c r="A894" s="0" t="s">
        <v>88</v>
      </c>
      <c r="B894" s="0" t="s">
        <v>89</v>
      </c>
      <c r="C894" s="0" t="s">
        <v>81</v>
      </c>
      <c r="D894" s="0" t="s">
        <v>146</v>
      </c>
      <c r="E894" s="0" t="n">
        <v>19</v>
      </c>
      <c r="F894" s="0" t="n">
        <v>1</v>
      </c>
      <c r="G894" s="1"/>
      <c r="H894" s="1"/>
      <c r="I894" s="0" t="n">
        <v>26.7</v>
      </c>
      <c r="J894" s="0" t="n">
        <f aca="false">(I894/32)*5</f>
        <v>4.171875</v>
      </c>
      <c r="L894" s="0" t="n">
        <v>8</v>
      </c>
      <c r="M894" s="0" t="n">
        <v>4</v>
      </c>
      <c r="N894" s="2" t="n">
        <f aca="false">(L894*((M894+J894)/1000)*O894)/((((M894+J894)/1000)*O894)-((M894/1000)*0.9982))</f>
        <v>15.2212095789981</v>
      </c>
      <c r="O894" s="3" t="n">
        <f aca="false">LOOKUP(L894,$AB$3:$AC$123)</f>
        <v>1.0299</v>
      </c>
      <c r="P894" s="3" t="n">
        <f aca="false">(O894*(N894/100)*(J894/1000))*1000</f>
        <v>0.65399663125383</v>
      </c>
      <c r="Q894" s="3"/>
      <c r="R894" s="3" t="n">
        <v>6</v>
      </c>
      <c r="S894" s="3" t="n">
        <v>11.2</v>
      </c>
      <c r="T894" s="0" t="n">
        <f aca="false">(S894/32)*5</f>
        <v>1.75</v>
      </c>
      <c r="V894" s="0" t="n">
        <v>17.5</v>
      </c>
      <c r="W894" s="0" t="n">
        <v>4</v>
      </c>
      <c r="X894" s="3" t="n">
        <f aca="false">LOOKUP(V894,$AB$3:$AC$123)</f>
        <v>1.07</v>
      </c>
      <c r="Y894" s="2" t="n">
        <f aca="false">(V894*((W894+T894)/1000)*X894)/((((W894+T894)/1000)*X894)-((W894/1000)*0.9982))</f>
        <v>49.8535676251331</v>
      </c>
      <c r="Z894" s="3" t="n">
        <f aca="false">(X894*(V894/100)*((W894+T894)/1000))*1000</f>
        <v>1.0766875</v>
      </c>
    </row>
    <row r="895" customFormat="false" ht="15" hidden="false" customHeight="false" outlineLevel="0" collapsed="false">
      <c r="A895" s="0" t="s">
        <v>90</v>
      </c>
      <c r="B895" s="0" t="s">
        <v>91</v>
      </c>
      <c r="C895" s="0" t="s">
        <v>81</v>
      </c>
      <c r="D895" s="0" t="s">
        <v>146</v>
      </c>
      <c r="E895" s="0" t="n">
        <v>19</v>
      </c>
      <c r="F895" s="0" t="n">
        <v>2</v>
      </c>
      <c r="G895" s="1"/>
      <c r="H895" s="1"/>
      <c r="I895" s="0" t="n">
        <f aca="false">32+18.8</f>
        <v>50.8</v>
      </c>
      <c r="J895" s="0" t="n">
        <f aca="false">(I895/32)*5</f>
        <v>7.9375</v>
      </c>
      <c r="L895" s="0" t="n">
        <v>13</v>
      </c>
      <c r="M895" s="0" t="n">
        <v>4</v>
      </c>
      <c r="N895" s="2" t="n">
        <f aca="false">(L895*((M895+J895)/1000)*O895)/((((M895+J895)/1000)*O895)-((M895/1000)*0.9982))</f>
        <v>19.0709727929099</v>
      </c>
      <c r="O895" s="3" t="n">
        <f aca="false">LOOKUP(L895,$AB$3:$AC$123)</f>
        <v>1.0507</v>
      </c>
      <c r="P895" s="3" t="n">
        <f aca="false">(O895*(N895/100)*(J895/1000))*1000</f>
        <v>1.59050601963489</v>
      </c>
      <c r="Q895" s="3"/>
      <c r="R895" s="3" t="n">
        <v>5</v>
      </c>
      <c r="S895" s="3" t="n">
        <v>10.5</v>
      </c>
      <c r="T895" s="0" t="n">
        <f aca="false">(S895/32)*5</f>
        <v>1.640625</v>
      </c>
      <c r="V895" s="0" t="n">
        <v>14</v>
      </c>
      <c r="W895" s="0" t="n">
        <v>4</v>
      </c>
      <c r="X895" s="3" t="n">
        <f aca="false">LOOKUP(V895,$AB$3:$AC$123)</f>
        <v>1.0549</v>
      </c>
      <c r="Y895" s="2" t="n">
        <f aca="false">(V895*((W895+T895)/1000)*X895)/((((W895+T895)/1000)*X895)-((W895/1000)*0.9982))</f>
        <v>42.5564923926223</v>
      </c>
      <c r="Z895" s="3" t="n">
        <f aca="false">(X895*(V895/100)*((W895+T895)/1000))*1000</f>
        <v>0.83304134375</v>
      </c>
    </row>
    <row r="896" customFormat="false" ht="15" hidden="false" customHeight="false" outlineLevel="0" collapsed="false">
      <c r="A896" s="0" t="s">
        <v>92</v>
      </c>
      <c r="B896" s="0" t="s">
        <v>93</v>
      </c>
      <c r="C896" s="0" t="s">
        <v>81</v>
      </c>
      <c r="D896" s="0" t="s">
        <v>146</v>
      </c>
      <c r="E896" s="0" t="n">
        <v>19</v>
      </c>
      <c r="F896" s="0" t="n">
        <v>0</v>
      </c>
      <c r="G896" s="1"/>
      <c r="H896" s="1"/>
      <c r="I896" s="0" t="n">
        <v>0</v>
      </c>
      <c r="J896" s="0" t="n">
        <f aca="false">(I896/32)*5</f>
        <v>0</v>
      </c>
      <c r="L896" s="0" t="n">
        <v>0</v>
      </c>
      <c r="M896" s="0" t="n">
        <v>0</v>
      </c>
      <c r="N896" s="2" t="n">
        <v>0</v>
      </c>
      <c r="O896" s="3" t="n">
        <v>0</v>
      </c>
      <c r="P896" s="3" t="n">
        <f aca="false">(O896*(N896/100)*(J896/1000))*1000</f>
        <v>0</v>
      </c>
      <c r="Q896" s="3"/>
      <c r="R896" s="3" t="n">
        <v>7</v>
      </c>
      <c r="S896" s="3" t="n">
        <v>7.7</v>
      </c>
      <c r="T896" s="0" t="n">
        <f aca="false">(S896/32)*5</f>
        <v>1.203125</v>
      </c>
      <c r="V896" s="0" t="n">
        <v>15</v>
      </c>
      <c r="W896" s="0" t="n">
        <v>4</v>
      </c>
      <c r="X896" s="3" t="n">
        <f aca="false">LOOKUP(V896,$AB$3:$AC$123)</f>
        <v>1.0592</v>
      </c>
      <c r="Y896" s="2" t="n">
        <f aca="false">(V896*((W896+T896)/1000)*X896)/((((W896+T896)/1000)*X896)-((W896/1000)*0.9982))</f>
        <v>54.4454506536701</v>
      </c>
      <c r="Z896" s="3" t="n">
        <f aca="false">(X896*(V896/100)*((W896+T896)/1000))*1000</f>
        <v>0.8266725</v>
      </c>
    </row>
    <row r="897" customFormat="false" ht="15" hidden="false" customHeight="false" outlineLevel="0" collapsed="false">
      <c r="A897" s="0" t="s">
        <v>94</v>
      </c>
      <c r="B897" s="0" t="s">
        <v>95</v>
      </c>
      <c r="C897" s="0" t="s">
        <v>81</v>
      </c>
      <c r="D897" s="0" t="s">
        <v>146</v>
      </c>
      <c r="E897" s="0" t="n">
        <v>19</v>
      </c>
      <c r="F897" s="0" t="n">
        <v>0</v>
      </c>
      <c r="G897" s="1"/>
      <c r="H897" s="1"/>
      <c r="I897" s="0" t="n">
        <v>0</v>
      </c>
      <c r="J897" s="0" t="n">
        <f aca="false">(I897/32)*5</f>
        <v>0</v>
      </c>
      <c r="L897" s="0" t="n">
        <v>0</v>
      </c>
      <c r="M897" s="0" t="n">
        <v>0</v>
      </c>
      <c r="N897" s="2" t="n">
        <v>0</v>
      </c>
      <c r="O897" s="3" t="n">
        <v>0</v>
      </c>
      <c r="P897" s="3" t="n">
        <f aca="false">(O897*(N897/100)*(J897/1000))*1000</f>
        <v>0</v>
      </c>
      <c r="Q897" s="3"/>
      <c r="R897" s="3" t="n">
        <v>4</v>
      </c>
      <c r="S897" s="3" t="n">
        <v>3.6</v>
      </c>
      <c r="T897" s="0" t="n">
        <f aca="false">(S897/32)*5</f>
        <v>0.5625</v>
      </c>
      <c r="V897" s="0" t="n">
        <v>6</v>
      </c>
      <c r="W897" s="0" t="n">
        <v>4</v>
      </c>
      <c r="X897" s="3" t="n">
        <f aca="false">LOOKUP(V897,$AB$3:$AC$123)</f>
        <v>1.0218</v>
      </c>
      <c r="Y897" s="2" t="n">
        <f aca="false">(V897*((W897+T897)/1000)*X897)/((((W897+T897)/1000)*X897)-((W897/1000)*0.9982))</f>
        <v>41.801169372163</v>
      </c>
      <c r="Z897" s="3" t="n">
        <f aca="false">(X897*(V897/100)*((W897+T897)/1000))*1000</f>
        <v>0.27971775</v>
      </c>
    </row>
    <row r="898" customFormat="false" ht="15" hidden="false" customHeight="false" outlineLevel="0" collapsed="false">
      <c r="A898" s="0" t="s">
        <v>96</v>
      </c>
      <c r="B898" s="0" t="s">
        <v>97</v>
      </c>
      <c r="C898" s="0" t="s">
        <v>81</v>
      </c>
      <c r="D898" s="0" t="s">
        <v>146</v>
      </c>
      <c r="E898" s="0" t="n">
        <v>19</v>
      </c>
      <c r="F898" s="0" t="n">
        <v>0</v>
      </c>
      <c r="G898" s="1"/>
      <c r="H898" s="1"/>
      <c r="I898" s="0" t="n">
        <v>0</v>
      </c>
      <c r="J898" s="0" t="n">
        <f aca="false">(I898/32)*5</f>
        <v>0</v>
      </c>
      <c r="L898" s="0" t="n">
        <v>0</v>
      </c>
      <c r="M898" s="0" t="n">
        <v>0</v>
      </c>
      <c r="N898" s="2" t="n">
        <v>0</v>
      </c>
      <c r="O898" s="3" t="n">
        <v>0</v>
      </c>
      <c r="P898" s="3" t="n">
        <f aca="false">(O898*(N898/100)*(J898/1000))*1000</f>
        <v>0</v>
      </c>
      <c r="Q898" s="3"/>
      <c r="R898" s="3" t="n">
        <v>3</v>
      </c>
      <c r="S898" s="3" t="n">
        <v>2.1</v>
      </c>
      <c r="T898" s="0" t="n">
        <f aca="false">(S898/32)*5</f>
        <v>0.328125</v>
      </c>
      <c r="V898" s="0" t="n">
        <v>4.5</v>
      </c>
      <c r="W898" s="0" t="n">
        <v>4</v>
      </c>
      <c r="X898" s="3" t="n">
        <f aca="false">LOOKUP(V898,$AB$3:$AC$123)</f>
        <v>1.0159</v>
      </c>
      <c r="Y898" s="2" t="n">
        <f aca="false">(V898*((W898+T898)/1000)*X898)/((((W898+T898)/1000)*X898)-((W898/1000)*0.9982))</f>
        <v>48.9586102508786</v>
      </c>
      <c r="Z898" s="3" t="n">
        <f aca="false">(X898*(V898/100)*((W898+T898)/1000))*1000</f>
        <v>0.1978623984375</v>
      </c>
    </row>
    <row r="899" customFormat="false" ht="15" hidden="false" customHeight="false" outlineLevel="0" collapsed="false">
      <c r="A899" s="0" t="s">
        <v>98</v>
      </c>
      <c r="B899" s="0" t="s">
        <v>99</v>
      </c>
      <c r="C899" s="0" t="s">
        <v>81</v>
      </c>
      <c r="D899" s="0" t="s">
        <v>146</v>
      </c>
      <c r="E899" s="0" t="n">
        <v>19</v>
      </c>
      <c r="F899" s="0" t="n">
        <v>1</v>
      </c>
      <c r="G899" s="1"/>
      <c r="H899" s="1"/>
      <c r="I899" s="0" t="n">
        <v>14.5</v>
      </c>
      <c r="J899" s="0" t="n">
        <f aca="false">(I899/32)*5</f>
        <v>2.265625</v>
      </c>
      <c r="L899" s="0" t="n">
        <v>5.5</v>
      </c>
      <c r="M899" s="0" t="n">
        <v>4</v>
      </c>
      <c r="N899" s="2" t="n">
        <f aca="false">(L899*((M899+J899)/1000)*O899)/((((M899+J899)/1000)*O899)-((M899/1000)*0.9982))</f>
        <v>14.6608632866567</v>
      </c>
      <c r="O899" s="3" t="n">
        <f aca="false">LOOKUP(L899,$AB$3:$AC$123)</f>
        <v>1.01985</v>
      </c>
      <c r="P899" s="3" t="n">
        <f aca="false">(O899*(N899/100)*(J899/1000))*1000</f>
        <v>0.338753563487505</v>
      </c>
      <c r="Q899" s="3"/>
      <c r="R899" s="3" t="n">
        <v>6</v>
      </c>
      <c r="S899" s="3" t="n">
        <v>7.5</v>
      </c>
      <c r="T899" s="0" t="n">
        <f aca="false">(S899/32)*5</f>
        <v>1.171875</v>
      </c>
      <c r="V899" s="0" t="n">
        <v>20.5</v>
      </c>
      <c r="W899" s="0" t="n">
        <v>4</v>
      </c>
      <c r="X899" s="3" t="n">
        <f aca="false">LOOKUP(V899,$AB$3:$AC$123)</f>
        <v>1.083225</v>
      </c>
      <c r="Y899" s="2" t="n">
        <f aca="false">(V899*((W899+T899)/1000)*X899)/((((W899+T899)/1000)*X899)-((W899/1000)*0.9982))</f>
        <v>71.3556579556351</v>
      </c>
      <c r="Z899" s="3" t="n">
        <f aca="false">(X899*(V899/100)*((W899+T899)/1000))*1000</f>
        <v>1.14847238085938</v>
      </c>
    </row>
    <row r="900" customFormat="false" ht="15" hidden="false" customHeight="false" outlineLevel="0" collapsed="false">
      <c r="A900" s="0" t="s">
        <v>100</v>
      </c>
      <c r="B900" s="0" t="s">
        <v>101</v>
      </c>
      <c r="C900" s="0" t="s">
        <v>81</v>
      </c>
      <c r="D900" s="0" t="s">
        <v>146</v>
      </c>
      <c r="E900" s="0" t="n">
        <v>19</v>
      </c>
      <c r="F900" s="0" t="n">
        <v>0</v>
      </c>
      <c r="G900" s="1"/>
      <c r="H900" s="1"/>
      <c r="I900" s="0" t="n">
        <v>0</v>
      </c>
      <c r="J900" s="0" t="n">
        <f aca="false">(I900/32)*5</f>
        <v>0</v>
      </c>
      <c r="L900" s="0" t="n">
        <v>0</v>
      </c>
      <c r="M900" s="0" t="n">
        <v>0</v>
      </c>
      <c r="N900" s="2" t="n">
        <v>0</v>
      </c>
      <c r="O900" s="3" t="n">
        <v>0</v>
      </c>
      <c r="P900" s="3" t="n">
        <f aca="false">(O900*(N900/100)*(J900/1000))*1000</f>
        <v>0</v>
      </c>
      <c r="Q900" s="3"/>
      <c r="R900" s="3" t="n">
        <v>1</v>
      </c>
      <c r="S900" s="3" t="n">
        <v>3.2</v>
      </c>
      <c r="T900" s="0" t="n">
        <f aca="false">(S900/32)*5</f>
        <v>0.5</v>
      </c>
      <c r="V900" s="0" t="n">
        <v>5.5</v>
      </c>
      <c r="W900" s="0" t="n">
        <v>4</v>
      </c>
      <c r="X900" s="3" t="n">
        <f aca="false">LOOKUP(V900,$AB$3:$AC$123)</f>
        <v>1.01985</v>
      </c>
      <c r="Y900" s="2" t="n">
        <f aca="false">(V900*((W900+T900)/1000)*X900)/((((W900+T900)/1000)*X900)-((W900/1000)*0.9982))</f>
        <v>42.3138803905956</v>
      </c>
      <c r="Z900" s="3" t="n">
        <f aca="false">(X900*(V900/100)*((W900+T900)/1000))*1000</f>
        <v>0.252412875</v>
      </c>
    </row>
    <row r="901" customFormat="false" ht="15" hidden="false" customHeight="false" outlineLevel="0" collapsed="false">
      <c r="A901" s="0" t="s">
        <v>102</v>
      </c>
      <c r="B901" s="0" t="s">
        <v>103</v>
      </c>
      <c r="C901" s="0" t="s">
        <v>81</v>
      </c>
      <c r="D901" s="0" t="s">
        <v>146</v>
      </c>
      <c r="E901" s="0" t="n">
        <v>19</v>
      </c>
      <c r="F901" s="0" t="n">
        <v>0</v>
      </c>
      <c r="G901" s="1"/>
      <c r="H901" s="1"/>
      <c r="I901" s="0" t="n">
        <v>0</v>
      </c>
      <c r="J901" s="0" t="n">
        <f aca="false">(I901/32)*5</f>
        <v>0</v>
      </c>
      <c r="L901" s="0" t="n">
        <v>0</v>
      </c>
      <c r="M901" s="0" t="n">
        <v>0</v>
      </c>
      <c r="N901" s="2" t="n">
        <v>0</v>
      </c>
      <c r="O901" s="3" t="n">
        <v>0</v>
      </c>
      <c r="P901" s="3" t="n">
        <f aca="false">(O901*(N901/100)*(J901/1000))*1000</f>
        <v>0</v>
      </c>
      <c r="Q901" s="3"/>
      <c r="R901" s="3" t="n">
        <v>7</v>
      </c>
      <c r="S901" s="3" t="n">
        <v>8.6</v>
      </c>
      <c r="T901" s="0" t="n">
        <f aca="false">(S901/32)*5</f>
        <v>1.34375</v>
      </c>
      <c r="V901" s="0" t="n">
        <v>12</v>
      </c>
      <c r="W901" s="0" t="n">
        <v>4</v>
      </c>
      <c r="X901" s="3" t="n">
        <f aca="false">LOOKUP(V901,$AB$3:$AC$123)</f>
        <v>1.0465</v>
      </c>
      <c r="Y901" s="2" t="n">
        <f aca="false">(V901*((W901+T901)/1000)*X901)/((((W901+T901)/1000)*X901)-((W901/1000)*0.9982))</f>
        <v>41.9565901226801</v>
      </c>
      <c r="Z901" s="3" t="n">
        <f aca="false">(X901*(V901/100)*((W901+T901)/1000))*1000</f>
        <v>0.671068125</v>
      </c>
    </row>
    <row r="902" customFormat="false" ht="15" hidden="false" customHeight="false" outlineLevel="0" collapsed="false">
      <c r="A902" s="0" t="s">
        <v>104</v>
      </c>
      <c r="B902" s="0" t="s">
        <v>105</v>
      </c>
      <c r="C902" s="0" t="s">
        <v>106</v>
      </c>
      <c r="D902" s="0" t="s">
        <v>146</v>
      </c>
      <c r="E902" s="0" t="n">
        <v>19</v>
      </c>
      <c r="F902" s="0" t="n">
        <v>0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3" t="n">
        <v>11</v>
      </c>
      <c r="S902" s="1"/>
      <c r="T902" s="1"/>
      <c r="U902" s="1"/>
      <c r="V902" s="1"/>
      <c r="W902" s="1"/>
      <c r="X902" s="1"/>
      <c r="Y902" s="5"/>
      <c r="Z902" s="1"/>
    </row>
    <row r="903" customFormat="false" ht="15" hidden="false" customHeight="false" outlineLevel="0" collapsed="false">
      <c r="A903" s="0" t="s">
        <v>107</v>
      </c>
      <c r="B903" s="0" t="s">
        <v>37</v>
      </c>
      <c r="C903" s="0" t="s">
        <v>106</v>
      </c>
      <c r="D903" s="0" t="s">
        <v>146</v>
      </c>
      <c r="E903" s="0" t="n">
        <v>19</v>
      </c>
      <c r="F903" s="0" t="n">
        <v>0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3" t="n">
        <v>4</v>
      </c>
      <c r="S903" s="1"/>
      <c r="T903" s="1"/>
      <c r="U903" s="1"/>
      <c r="V903" s="1"/>
      <c r="W903" s="1"/>
      <c r="X903" s="1"/>
      <c r="Y903" s="5"/>
      <c r="Z903" s="1"/>
    </row>
    <row r="904" customFormat="false" ht="15" hidden="false" customHeight="false" outlineLevel="0" collapsed="false">
      <c r="A904" s="0" t="s">
        <v>108</v>
      </c>
      <c r="B904" s="0" t="s">
        <v>109</v>
      </c>
      <c r="C904" s="0" t="s">
        <v>106</v>
      </c>
      <c r="D904" s="0" t="s">
        <v>146</v>
      </c>
      <c r="E904" s="0" t="n">
        <v>19</v>
      </c>
      <c r="F904" s="0" t="n">
        <v>0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3" t="n">
        <v>11</v>
      </c>
      <c r="S904" s="1"/>
      <c r="T904" s="1"/>
      <c r="U904" s="1"/>
      <c r="V904" s="1"/>
      <c r="W904" s="1"/>
      <c r="X904" s="1"/>
      <c r="Y904" s="5"/>
      <c r="Z904" s="1"/>
    </row>
    <row r="905" customFormat="false" ht="15" hidden="false" customHeight="false" outlineLevel="0" collapsed="false">
      <c r="A905" s="0" t="s">
        <v>110</v>
      </c>
      <c r="B905" s="0" t="s">
        <v>111</v>
      </c>
      <c r="C905" s="0" t="s">
        <v>106</v>
      </c>
      <c r="D905" s="0" t="s">
        <v>146</v>
      </c>
      <c r="E905" s="0" t="n">
        <v>19</v>
      </c>
      <c r="F905" s="0" t="n">
        <v>1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3" t="n">
        <v>9</v>
      </c>
      <c r="S905" s="1"/>
      <c r="T905" s="1"/>
      <c r="U905" s="1"/>
      <c r="V905" s="1"/>
      <c r="W905" s="1"/>
      <c r="X905" s="1"/>
      <c r="Y905" s="5"/>
      <c r="Z905" s="1"/>
    </row>
    <row r="906" customFormat="false" ht="15" hidden="false" customHeight="false" outlineLevel="0" collapsed="false">
      <c r="A906" s="0" t="s">
        <v>112</v>
      </c>
      <c r="B906" s="0" t="s">
        <v>113</v>
      </c>
      <c r="C906" s="0" t="s">
        <v>106</v>
      </c>
      <c r="D906" s="0" t="s">
        <v>146</v>
      </c>
      <c r="E906" s="0" t="n">
        <v>19</v>
      </c>
      <c r="F906" s="0" t="n">
        <v>0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3" t="n">
        <v>3</v>
      </c>
      <c r="S906" s="1"/>
      <c r="T906" s="1"/>
      <c r="U906" s="1"/>
      <c r="V906" s="1"/>
      <c r="W906" s="1"/>
      <c r="X906" s="1"/>
      <c r="Y906" s="5"/>
      <c r="Z906" s="1"/>
    </row>
    <row r="907" customFormat="false" ht="15" hidden="false" customHeight="false" outlineLevel="0" collapsed="false">
      <c r="A907" s="0" t="s">
        <v>114</v>
      </c>
      <c r="B907" s="0" t="s">
        <v>115</v>
      </c>
      <c r="C907" s="0" t="s">
        <v>106</v>
      </c>
      <c r="D907" s="0" t="s">
        <v>146</v>
      </c>
      <c r="E907" s="0" t="n">
        <v>19</v>
      </c>
      <c r="F907" s="0" t="n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3" t="n">
        <v>5</v>
      </c>
      <c r="S907" s="1"/>
      <c r="T907" s="1"/>
      <c r="U907" s="1"/>
      <c r="V907" s="1"/>
      <c r="W907" s="1"/>
      <c r="X907" s="1"/>
      <c r="Y907" s="5"/>
      <c r="Z907" s="1"/>
    </row>
    <row r="908" customFormat="false" ht="15" hidden="false" customHeight="false" outlineLevel="0" collapsed="false">
      <c r="A908" s="0" t="s">
        <v>116</v>
      </c>
      <c r="B908" s="0" t="s">
        <v>117</v>
      </c>
      <c r="C908" s="0" t="s">
        <v>106</v>
      </c>
      <c r="D908" s="0" t="s">
        <v>146</v>
      </c>
      <c r="E908" s="0" t="n">
        <v>19</v>
      </c>
      <c r="F908" s="0" t="n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3" t="n">
        <v>10</v>
      </c>
      <c r="S908" s="1"/>
      <c r="T908" s="1"/>
      <c r="U908" s="1"/>
      <c r="V908" s="1"/>
      <c r="W908" s="1"/>
      <c r="X908" s="1"/>
      <c r="Y908" s="5"/>
      <c r="Z908" s="1"/>
    </row>
    <row r="909" customFormat="false" ht="15" hidden="false" customHeight="false" outlineLevel="0" collapsed="false">
      <c r="A909" s="0" t="s">
        <v>118</v>
      </c>
      <c r="B909" s="0" t="s">
        <v>119</v>
      </c>
      <c r="C909" s="0" t="s">
        <v>106</v>
      </c>
      <c r="D909" s="0" t="s">
        <v>146</v>
      </c>
      <c r="E909" s="0" t="n">
        <v>19</v>
      </c>
      <c r="F909" s="0" t="n">
        <v>0</v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3" t="n">
        <v>4</v>
      </c>
      <c r="S909" s="1"/>
      <c r="T909" s="1"/>
      <c r="U909" s="1"/>
      <c r="V909" s="1"/>
      <c r="W909" s="1"/>
      <c r="X909" s="1"/>
      <c r="Y909" s="5"/>
      <c r="Z909" s="1"/>
    </row>
    <row r="910" customFormat="false" ht="15" hidden="false" customHeight="false" outlineLevel="0" collapsed="false">
      <c r="A910" s="0" t="s">
        <v>120</v>
      </c>
      <c r="B910" s="0" t="s">
        <v>121</v>
      </c>
      <c r="C910" s="0" t="s">
        <v>106</v>
      </c>
      <c r="D910" s="0" t="s">
        <v>146</v>
      </c>
      <c r="E910" s="0" t="n">
        <v>19</v>
      </c>
      <c r="F910" s="0" t="n">
        <v>0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3" t="n">
        <v>6</v>
      </c>
      <c r="S910" s="1"/>
      <c r="T910" s="1"/>
      <c r="U910" s="1"/>
      <c r="V910" s="1"/>
      <c r="W910" s="1"/>
      <c r="X910" s="1"/>
      <c r="Y910" s="5"/>
      <c r="Z910" s="1"/>
    </row>
    <row r="911" customFormat="false" ht="15" hidden="false" customHeight="false" outlineLevel="0" collapsed="false">
      <c r="A911" s="0" t="s">
        <v>122</v>
      </c>
      <c r="B911" s="0" t="s">
        <v>123</v>
      </c>
      <c r="C911" s="0" t="s">
        <v>106</v>
      </c>
      <c r="D911" s="0" t="s">
        <v>146</v>
      </c>
      <c r="E911" s="0" t="n">
        <v>19</v>
      </c>
      <c r="F911" s="0" t="n">
        <v>0</v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3" t="n">
        <v>7</v>
      </c>
      <c r="S911" s="1"/>
      <c r="T911" s="1"/>
      <c r="U911" s="1"/>
      <c r="V911" s="1"/>
      <c r="W911" s="1"/>
      <c r="X911" s="1"/>
      <c r="Y911" s="5"/>
      <c r="Z911" s="1"/>
    </row>
    <row r="912" customFormat="false" ht="15" hidden="false" customHeight="false" outlineLevel="0" collapsed="false">
      <c r="A912" s="0" t="s">
        <v>124</v>
      </c>
      <c r="B912" s="0" t="s">
        <v>125</v>
      </c>
      <c r="C912" s="0" t="s">
        <v>106</v>
      </c>
      <c r="D912" s="0" t="s">
        <v>146</v>
      </c>
      <c r="E912" s="0" t="n">
        <v>19</v>
      </c>
      <c r="F912" s="0" t="n">
        <v>0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3" t="n">
        <v>10</v>
      </c>
      <c r="S912" s="1"/>
      <c r="T912" s="1"/>
      <c r="U912" s="1"/>
      <c r="V912" s="1"/>
      <c r="W912" s="1"/>
      <c r="X912" s="1"/>
      <c r="Y912" s="5"/>
      <c r="Z912" s="1"/>
    </row>
    <row r="913" customFormat="false" ht="15" hidden="false" customHeight="false" outlineLevel="0" collapsed="false">
      <c r="A913" s="0" t="s">
        <v>126</v>
      </c>
      <c r="B913" s="0" t="s">
        <v>127</v>
      </c>
      <c r="C913" s="0" t="s">
        <v>106</v>
      </c>
      <c r="D913" s="0" t="s">
        <v>146</v>
      </c>
      <c r="E913" s="0" t="n">
        <v>19</v>
      </c>
      <c r="F913" s="0" t="n">
        <v>0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3" t="n">
        <v>11</v>
      </c>
      <c r="S913" s="1"/>
      <c r="T913" s="1"/>
      <c r="U913" s="1"/>
      <c r="V913" s="1"/>
      <c r="W913" s="1"/>
      <c r="X913" s="1"/>
      <c r="Y913" s="5"/>
      <c r="Z913" s="1"/>
    </row>
    <row r="914" customFormat="false" ht="15" hidden="false" customHeight="false" outlineLevel="0" collapsed="false">
      <c r="A914" s="0" t="s">
        <v>26</v>
      </c>
      <c r="B914" s="0" t="s">
        <v>27</v>
      </c>
      <c r="C914" s="0" t="s">
        <v>28</v>
      </c>
      <c r="D914" s="0" t="s">
        <v>147</v>
      </c>
      <c r="E914" s="0" t="n">
        <v>20</v>
      </c>
      <c r="F914" s="0" t="n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3" t="n">
        <v>2</v>
      </c>
      <c r="S914" s="0" t="n">
        <v>9.8</v>
      </c>
      <c r="T914" s="0" t="n">
        <f aca="false">(S914/32)*5</f>
        <v>1.53125</v>
      </c>
      <c r="V914" s="0" t="n">
        <v>17</v>
      </c>
      <c r="W914" s="0" t="n">
        <v>4</v>
      </c>
      <c r="X914" s="3" t="n">
        <f aca="false">LOOKUP(V914,$AB$3:$AC$123)</f>
        <v>1.0678</v>
      </c>
      <c r="Y914" s="2" t="n">
        <f aca="false">(V914*((W914+T914)/1000)*X914)/((((W914+T914)/1000)*X914)-((W914/1000)*0.9982))</f>
        <v>52.4735869085921</v>
      </c>
      <c r="Z914" s="3" t="n">
        <f aca="false">(X914*(V914/100)*((W914+T914)/1000))*1000</f>
        <v>1.0040656875</v>
      </c>
    </row>
    <row r="915" customFormat="false" ht="15" hidden="false" customHeight="false" outlineLevel="0" collapsed="false">
      <c r="A915" s="0" t="s">
        <v>32</v>
      </c>
      <c r="B915" s="0" t="s">
        <v>33</v>
      </c>
      <c r="C915" s="0" t="s">
        <v>28</v>
      </c>
      <c r="D915" s="0" t="s">
        <v>147</v>
      </c>
      <c r="E915" s="0" t="n">
        <v>20</v>
      </c>
      <c r="F915" s="0" t="n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3" t="n">
        <v>4</v>
      </c>
      <c r="S915" s="0" t="n">
        <v>5.6</v>
      </c>
      <c r="T915" s="0" t="n">
        <f aca="false">(S915/32)*5</f>
        <v>0.875</v>
      </c>
      <c r="V915" s="0" t="n">
        <v>16.5</v>
      </c>
      <c r="W915" s="0" t="n">
        <v>4</v>
      </c>
      <c r="X915" s="3" t="n">
        <f aca="false">LOOKUP(V915,$AB$3:$AC$123)</f>
        <v>1.06565</v>
      </c>
      <c r="Y915" s="2" t="n">
        <f aca="false">(V915*((W915+T915)/1000)*X915)/((((W915+T915)/1000)*X915)-((W915/1000)*0.9982))</f>
        <v>71.2985381500217</v>
      </c>
      <c r="Z915" s="3" t="n">
        <f aca="false">(X915*(V915/100)*((W915+T915)/1000))*1000</f>
        <v>0.85718221875</v>
      </c>
    </row>
    <row r="916" customFormat="false" ht="15" hidden="false" customHeight="false" outlineLevel="0" collapsed="false">
      <c r="A916" s="0" t="s">
        <v>34</v>
      </c>
      <c r="B916" s="0" t="s">
        <v>35</v>
      </c>
      <c r="C916" s="0" t="s">
        <v>28</v>
      </c>
      <c r="D916" s="0" t="s">
        <v>147</v>
      </c>
      <c r="E916" s="0" t="n">
        <v>20</v>
      </c>
      <c r="F916" s="0" t="n">
        <v>1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3" t="n">
        <v>2</v>
      </c>
      <c r="S916" s="0" t="n">
        <v>22.5</v>
      </c>
      <c r="T916" s="0" t="n">
        <f aca="false">(S916/32)*5</f>
        <v>3.515625</v>
      </c>
      <c r="V916" s="0" t="n">
        <v>34</v>
      </c>
      <c r="W916" s="0" t="n">
        <v>4</v>
      </c>
      <c r="X916" s="3" t="n">
        <f aca="false">LOOKUP(V916,$AB$3:$AC$123)</f>
        <v>1.1464</v>
      </c>
      <c r="Y916" s="2" t="n">
        <f aca="false">(V916*((W916+T916)/1000)*X916)/((((W916+T916)/1000)*X916)-((W916/1000)*0.9982))</f>
        <v>63.3644595497081</v>
      </c>
      <c r="Z916" s="3" t="n">
        <f aca="false">(X916*(V916/100)*((W916+T916)/1000))*1000</f>
        <v>2.92941025</v>
      </c>
    </row>
    <row r="917" customFormat="false" ht="15" hidden="false" customHeight="false" outlineLevel="0" collapsed="false">
      <c r="A917" s="0" t="s">
        <v>36</v>
      </c>
      <c r="B917" s="0" t="s">
        <v>37</v>
      </c>
      <c r="C917" s="0" t="s">
        <v>28</v>
      </c>
      <c r="D917" s="0" t="s">
        <v>147</v>
      </c>
      <c r="E917" s="0" t="n">
        <v>20</v>
      </c>
      <c r="F917" s="0" t="n">
        <v>0</v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3" t="n">
        <v>2</v>
      </c>
      <c r="S917" s="0" t="n">
        <v>6.8</v>
      </c>
      <c r="T917" s="0" t="n">
        <f aca="false">(S917/32)*5</f>
        <v>1.0625</v>
      </c>
      <c r="V917" s="0" t="n">
        <v>14</v>
      </c>
      <c r="W917" s="0" t="n">
        <v>4</v>
      </c>
      <c r="X917" s="3" t="n">
        <f aca="false">LOOKUP(V917,$AB$3:$AC$123)</f>
        <v>1.0549</v>
      </c>
      <c r="Y917" s="2" t="n">
        <f aca="false">(V917*((W917+T917)/1000)*X917)/((((W917+T917)/1000)*X917)-((W917/1000)*0.9982))</f>
        <v>55.4795961432328</v>
      </c>
      <c r="Z917" s="3" t="n">
        <f aca="false">(X917*(V917/100)*((W917+T917)/1000))*1000</f>
        <v>0.747660375</v>
      </c>
    </row>
    <row r="918" customFormat="false" ht="15" hidden="false" customHeight="false" outlineLevel="0" collapsed="false">
      <c r="A918" s="0" t="s">
        <v>38</v>
      </c>
      <c r="B918" s="0" t="s">
        <v>39</v>
      </c>
      <c r="C918" s="0" t="s">
        <v>28</v>
      </c>
      <c r="D918" s="0" t="s">
        <v>147</v>
      </c>
      <c r="E918" s="0" t="n">
        <v>20</v>
      </c>
      <c r="F918" s="0" t="n">
        <v>1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3" t="n">
        <v>4</v>
      </c>
      <c r="S918" s="0" t="n">
        <v>13.8</v>
      </c>
      <c r="T918" s="0" t="n">
        <f aca="false">(S918/32)*5</f>
        <v>2.15625</v>
      </c>
      <c r="V918" s="0" t="n">
        <v>18</v>
      </c>
      <c r="W918" s="0" t="n">
        <v>4</v>
      </c>
      <c r="X918" s="3" t="n">
        <f aca="false">LOOKUP(V918,$AB$3:$AC$123)</f>
        <v>1.0722</v>
      </c>
      <c r="Y918" s="2" t="n">
        <f aca="false">(V918*((W918+T918)/1000)*X918)/((((W918+T918)/1000)*X918)-((W918/1000)*0.9982))</f>
        <v>45.5583951839221</v>
      </c>
      <c r="Z918" s="3" t="n">
        <f aca="false">(X918*(V918/100)*((W918+T918)/1000))*1000</f>
        <v>1.188131625</v>
      </c>
    </row>
    <row r="919" customFormat="false" ht="15" hidden="false" customHeight="false" outlineLevel="0" collapsed="false">
      <c r="A919" s="0" t="s">
        <v>40</v>
      </c>
      <c r="B919" s="0" t="s">
        <v>41</v>
      </c>
      <c r="C919" s="0" t="s">
        <v>28</v>
      </c>
      <c r="D919" s="0" t="s">
        <v>147</v>
      </c>
      <c r="E919" s="0" t="n">
        <v>20</v>
      </c>
      <c r="F919" s="0" t="n">
        <v>0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3" t="n">
        <v>4</v>
      </c>
      <c r="S919" s="0" t="n">
        <v>10.9</v>
      </c>
      <c r="T919" s="0" t="n">
        <f aca="false">(S919/32)*5</f>
        <v>1.703125</v>
      </c>
      <c r="V919" s="0" t="n">
        <v>21</v>
      </c>
      <c r="W919" s="0" t="n">
        <v>4</v>
      </c>
      <c r="X919" s="3" t="n">
        <f aca="false">LOOKUP(V919,$AB$3:$AC$123)</f>
        <v>1.08545</v>
      </c>
      <c r="Y919" s="2" t="n">
        <f aca="false">(V919*((W919+T919)/1000)*X919)/((((W919+T919)/1000)*X919)-((W919/1000)*0.9982))</f>
        <v>59.1537240832833</v>
      </c>
      <c r="Z919" s="3" t="n">
        <f aca="false">(X919*(V919/100)*((W919+T919)/1000))*1000</f>
        <v>1.2999959765625</v>
      </c>
    </row>
    <row r="920" customFormat="false" ht="15" hidden="false" customHeight="false" outlineLevel="0" collapsed="false">
      <c r="A920" s="0" t="s">
        <v>42</v>
      </c>
      <c r="B920" s="0" t="s">
        <v>43</v>
      </c>
      <c r="C920" s="0" t="s">
        <v>28</v>
      </c>
      <c r="D920" s="0" t="s">
        <v>147</v>
      </c>
      <c r="E920" s="0" t="n">
        <v>20</v>
      </c>
      <c r="F920" s="0" t="n">
        <v>2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3" t="n">
        <v>2</v>
      </c>
      <c r="S920" s="0" t="n">
        <v>7.9</v>
      </c>
      <c r="T920" s="0" t="n">
        <f aca="false">(S920/32)*5</f>
        <v>1.234375</v>
      </c>
      <c r="V920" s="0" t="n">
        <v>9.5</v>
      </c>
      <c r="W920" s="0" t="n">
        <v>4</v>
      </c>
      <c r="X920" s="3" t="n">
        <f aca="false">LOOKUP(V920,$AB$3:$AC$123)</f>
        <v>1.0361</v>
      </c>
      <c r="Y920" s="2" t="n">
        <f aca="false">(V920*((W920+T920)/1000)*X920)/((((W920+T920)/1000)*X920)-((W920/1000)*0.9982))</f>
        <v>36.0156568287891</v>
      </c>
      <c r="Z920" s="3" t="n">
        <f aca="false">(X920*(V920/100)*((W920+T920)/1000))*1000</f>
        <v>0.5152169140625</v>
      </c>
    </row>
    <row r="921" customFormat="false" ht="15" hidden="false" customHeight="false" outlineLevel="0" collapsed="false">
      <c r="A921" s="0" t="s">
        <v>44</v>
      </c>
      <c r="B921" s="0" t="s">
        <v>45</v>
      </c>
      <c r="C921" s="0" t="s">
        <v>28</v>
      </c>
      <c r="D921" s="0" t="s">
        <v>147</v>
      </c>
      <c r="E921" s="0" t="n">
        <v>20</v>
      </c>
      <c r="F921" s="0" t="n">
        <v>2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3" t="n">
        <v>2</v>
      </c>
      <c r="S921" s="0" t="n">
        <v>8</v>
      </c>
      <c r="T921" s="0" t="n">
        <f aca="false">(S921/32)*5</f>
        <v>1.25</v>
      </c>
      <c r="V921" s="0" t="n">
        <v>9.5</v>
      </c>
      <c r="W921" s="0" t="n">
        <v>4</v>
      </c>
      <c r="X921" s="3" t="n">
        <f aca="false">LOOKUP(V921,$AB$3:$AC$123)</f>
        <v>1.0361</v>
      </c>
      <c r="Y921" s="2" t="n">
        <f aca="false">(V921*((W921+T921)/1000)*X921)/((((W921+T921)/1000)*X921)-((W921/1000)*0.9982))</f>
        <v>35.7189427845652</v>
      </c>
      <c r="Z921" s="3" t="n">
        <f aca="false">(X921*(V921/100)*((W921+T921)/1000))*1000</f>
        <v>0.516754875</v>
      </c>
    </row>
    <row r="922" customFormat="false" ht="15" hidden="false" customHeight="false" outlineLevel="0" collapsed="false">
      <c r="A922" s="0" t="s">
        <v>46</v>
      </c>
      <c r="B922" s="0" t="s">
        <v>47</v>
      </c>
      <c r="C922" s="0" t="s">
        <v>28</v>
      </c>
      <c r="D922" s="0" t="s">
        <v>147</v>
      </c>
      <c r="E922" s="0" t="n">
        <v>20</v>
      </c>
      <c r="F922" s="0" t="n">
        <v>1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3" t="n">
        <v>3</v>
      </c>
      <c r="S922" s="0" t="n">
        <v>7.7</v>
      </c>
      <c r="T922" s="0" t="n">
        <f aca="false">(S922/32)*5</f>
        <v>1.203125</v>
      </c>
      <c r="V922" s="0" t="n">
        <v>14.5</v>
      </c>
      <c r="W922" s="0" t="n">
        <v>4</v>
      </c>
      <c r="X922" s="3" t="n">
        <f aca="false">LOOKUP(V922,$AB$3:$AC$123)</f>
        <v>1.05705</v>
      </c>
      <c r="Y922" s="2" t="n">
        <f aca="false">(V922*((W922+T922)/1000)*X922)/((((W922+T922)/1000)*X922)-((W922/1000)*0.9982))</f>
        <v>52.913621616354</v>
      </c>
      <c r="Z922" s="3" t="n">
        <f aca="false">(X922*(V922/100)*((W922+T922)/1000))*1000</f>
        <v>0.79749467578125</v>
      </c>
    </row>
    <row r="923" customFormat="false" ht="15" hidden="false" customHeight="false" outlineLevel="0" collapsed="false">
      <c r="A923" s="0" t="s">
        <v>48</v>
      </c>
      <c r="B923" s="0" t="s">
        <v>49</v>
      </c>
      <c r="C923" s="0" t="s">
        <v>28</v>
      </c>
      <c r="D923" s="0" t="s">
        <v>147</v>
      </c>
      <c r="E923" s="0" t="n">
        <v>20</v>
      </c>
      <c r="F923" s="0" t="n">
        <v>0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3" t="n">
        <v>2</v>
      </c>
      <c r="S923" s="0" t="n">
        <v>4</v>
      </c>
      <c r="T923" s="0" t="n">
        <f aca="false">(S923/32)*5</f>
        <v>0.625</v>
      </c>
      <c r="V923" s="0" t="n">
        <v>9</v>
      </c>
      <c r="W923" s="0" t="n">
        <v>4</v>
      </c>
      <c r="X923" s="3" t="n">
        <f aca="false">LOOKUP(V923,$AB$3:$AC$123)</f>
        <v>1.0341</v>
      </c>
      <c r="Y923" s="2" t="n">
        <f aca="false">(V923*((W923+T923)/1000)*X923)/((((W923+T923)/1000)*X923)-((W923/1000)*0.9982))</f>
        <v>54.4926336777808</v>
      </c>
      <c r="Z923" s="3" t="n">
        <f aca="false">(X923*(V923/100)*((W923+T923)/1000))*1000</f>
        <v>0.430444125</v>
      </c>
    </row>
    <row r="924" customFormat="false" ht="15" hidden="false" customHeight="false" outlineLevel="0" collapsed="false">
      <c r="A924" s="0" t="s">
        <v>50</v>
      </c>
      <c r="B924" s="0" t="s">
        <v>51</v>
      </c>
      <c r="C924" s="0" t="s">
        <v>28</v>
      </c>
      <c r="D924" s="0" t="s">
        <v>147</v>
      </c>
      <c r="E924" s="0" t="n">
        <v>20</v>
      </c>
      <c r="F924" s="0" t="n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3" t="n">
        <v>4</v>
      </c>
      <c r="S924" s="0" t="n">
        <v>6.5</v>
      </c>
      <c r="T924" s="0" t="n">
        <f aca="false">(S924/32)*5</f>
        <v>1.015625</v>
      </c>
      <c r="V924" s="0" t="n">
        <v>11.5</v>
      </c>
      <c r="W924" s="0" t="n">
        <v>4</v>
      </c>
      <c r="X924" s="3" t="n">
        <f aca="false">LOOKUP(V924,$AB$3:$AC$123)</f>
        <v>1.0444</v>
      </c>
      <c r="Y924" s="2" t="n">
        <f aca="false">(V924*((W924+T924)/1000)*X924)/((((W924+T924)/1000)*X924)-((W924/1000)*0.9982))</f>
        <v>48.3659243387544</v>
      </c>
      <c r="Z924" s="3" t="n">
        <f aca="false">(X924*(V924/100)*((W924+T924)/1000))*1000</f>
        <v>0.60240665625</v>
      </c>
    </row>
    <row r="925" customFormat="false" ht="15" hidden="false" customHeight="false" outlineLevel="0" collapsed="false">
      <c r="A925" s="0" t="s">
        <v>52</v>
      </c>
      <c r="B925" s="0" t="s">
        <v>53</v>
      </c>
      <c r="C925" s="0" t="s">
        <v>28</v>
      </c>
      <c r="D925" s="0" t="s">
        <v>147</v>
      </c>
      <c r="E925" s="0" t="n">
        <v>20</v>
      </c>
      <c r="F925" s="0" t="n">
        <v>0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3" t="n">
        <v>2</v>
      </c>
      <c r="S925" s="0" t="n">
        <v>6.4</v>
      </c>
      <c r="T925" s="0" t="n">
        <f aca="false">(S925/32)*5</f>
        <v>1</v>
      </c>
      <c r="V925" s="0" t="n">
        <v>12</v>
      </c>
      <c r="W925" s="0" t="n">
        <v>4</v>
      </c>
      <c r="X925" s="3" t="n">
        <f aca="false">LOOKUP(V925,$AB$3:$AC$123)</f>
        <v>1.0465</v>
      </c>
      <c r="Y925" s="2" t="n">
        <f aca="false">(V925*((W925+T925)/1000)*X925)/((((W925+T925)/1000)*X925)-((W925/1000)*0.9982))</f>
        <v>50.6493506493507</v>
      </c>
      <c r="Z925" s="3" t="n">
        <f aca="false">(X925*(V925/100)*((W925+T925)/1000))*1000</f>
        <v>0.6279</v>
      </c>
    </row>
    <row r="926" customFormat="false" ht="15" hidden="false" customHeight="false" outlineLevel="0" collapsed="false">
      <c r="A926" s="0" t="s">
        <v>54</v>
      </c>
      <c r="B926" s="0" t="s">
        <v>55</v>
      </c>
      <c r="C926" s="0" t="s">
        <v>56</v>
      </c>
      <c r="D926" s="0" t="s">
        <v>147</v>
      </c>
      <c r="E926" s="0" t="n">
        <v>20</v>
      </c>
      <c r="F926" s="0" t="n">
        <v>0</v>
      </c>
      <c r="G926" s="1"/>
      <c r="H926" s="1"/>
      <c r="I926" s="0" t="n">
        <v>0</v>
      </c>
      <c r="J926" s="0" t="n">
        <f aca="false">(I926/32)*5</f>
        <v>0</v>
      </c>
      <c r="L926" s="0" t="n">
        <v>0</v>
      </c>
      <c r="M926" s="0" t="n">
        <v>0</v>
      </c>
      <c r="N926" s="0" t="n">
        <f aca="false">L926</f>
        <v>0</v>
      </c>
      <c r="O926" s="3" t="n">
        <v>0</v>
      </c>
      <c r="P926" s="3" t="n">
        <f aca="false">(O926*(N926/100)*(J926/1000))*1000</f>
        <v>0</v>
      </c>
      <c r="Q926" s="3"/>
      <c r="R926" s="1"/>
      <c r="S926" s="1"/>
      <c r="T926" s="1"/>
      <c r="U926" s="1"/>
      <c r="V926" s="1"/>
      <c r="W926" s="1"/>
      <c r="X926" s="3" t="e">
        <f aca="false">LOOKUP(V926,$AB$3:$AC$123)</f>
        <v>#N/A</v>
      </c>
      <c r="Y926" s="5"/>
      <c r="Z926" s="1"/>
    </row>
    <row r="927" customFormat="false" ht="15" hidden="false" customHeight="false" outlineLevel="0" collapsed="false">
      <c r="A927" s="0" t="s">
        <v>57</v>
      </c>
      <c r="B927" s="0" t="s">
        <v>58</v>
      </c>
      <c r="C927" s="0" t="s">
        <v>56</v>
      </c>
      <c r="D927" s="0" t="s">
        <v>147</v>
      </c>
      <c r="E927" s="0" t="n">
        <v>20</v>
      </c>
      <c r="F927" s="0" t="n">
        <v>1</v>
      </c>
      <c r="G927" s="1"/>
      <c r="H927" s="1"/>
      <c r="I927" s="0" t="n">
        <v>39.2</v>
      </c>
      <c r="J927" s="0" t="n">
        <f aca="false">(I927/32)*5</f>
        <v>6.125</v>
      </c>
      <c r="L927" s="0" t="n">
        <v>22.5</v>
      </c>
      <c r="M927" s="0" t="n">
        <v>0</v>
      </c>
      <c r="N927" s="0" t="n">
        <f aca="false">L927</f>
        <v>22.5</v>
      </c>
      <c r="O927" s="3" t="n">
        <f aca="false">LOOKUP(L927,$AB$3:$AC$123)</f>
        <v>1.092175</v>
      </c>
      <c r="P927" s="3" t="n">
        <f aca="false">(O927*(N927/100)*(J927/1000))*1000</f>
        <v>1.505153671875</v>
      </c>
      <c r="Q927" s="3"/>
      <c r="R927" s="1"/>
      <c r="S927" s="1"/>
      <c r="T927" s="1"/>
      <c r="U927" s="1"/>
      <c r="V927" s="1"/>
      <c r="W927" s="1"/>
      <c r="X927" s="3" t="e">
        <f aca="false">LOOKUP(V927,$AB$3:$AC$123)</f>
        <v>#N/A</v>
      </c>
      <c r="Y927" s="5"/>
      <c r="Z927" s="1"/>
    </row>
    <row r="928" customFormat="false" ht="15" hidden="false" customHeight="false" outlineLevel="0" collapsed="false">
      <c r="A928" s="0" t="s">
        <v>59</v>
      </c>
      <c r="B928" s="0" t="s">
        <v>60</v>
      </c>
      <c r="C928" s="0" t="s">
        <v>56</v>
      </c>
      <c r="D928" s="0" t="s">
        <v>147</v>
      </c>
      <c r="E928" s="0" t="n">
        <v>20</v>
      </c>
      <c r="F928" s="0" t="n">
        <v>1</v>
      </c>
      <c r="G928" s="1"/>
      <c r="H928" s="1"/>
      <c r="I928" s="0" t="n">
        <f aca="false">32+13.1</f>
        <v>45.1</v>
      </c>
      <c r="J928" s="0" t="n">
        <f aca="false">(I928/32)*5</f>
        <v>7.046875</v>
      </c>
      <c r="L928" s="0" t="n">
        <v>24.5</v>
      </c>
      <c r="M928" s="0" t="n">
        <v>0</v>
      </c>
      <c r="N928" s="0" t="n">
        <f aca="false">L928</f>
        <v>24.5</v>
      </c>
      <c r="O928" s="3" t="n">
        <f aca="false">LOOKUP(L928,$AB$3:$AC$123)</f>
        <v>1.101275</v>
      </c>
      <c r="P928" s="3" t="n">
        <f aca="false">(O928*(N928/100)*(J928/1000))*1000</f>
        <v>1.90133408007812</v>
      </c>
      <c r="Q928" s="3"/>
      <c r="R928" s="1"/>
      <c r="S928" s="1"/>
      <c r="T928" s="1"/>
      <c r="U928" s="1"/>
      <c r="V928" s="1"/>
      <c r="W928" s="1"/>
      <c r="X928" s="3" t="e">
        <f aca="false">LOOKUP(V928,$AB$3:$AC$123)</f>
        <v>#N/A</v>
      </c>
      <c r="Y928" s="5"/>
      <c r="Z928" s="1"/>
    </row>
    <row r="929" customFormat="false" ht="15" hidden="false" customHeight="false" outlineLevel="0" collapsed="false">
      <c r="A929" s="0" t="s">
        <v>61</v>
      </c>
      <c r="B929" s="0" t="s">
        <v>62</v>
      </c>
      <c r="C929" s="0" t="s">
        <v>56</v>
      </c>
      <c r="D929" s="0" t="s">
        <v>147</v>
      </c>
      <c r="E929" s="0" t="n">
        <v>20</v>
      </c>
      <c r="F929" s="0" t="n">
        <v>1</v>
      </c>
      <c r="G929" s="1"/>
      <c r="H929" s="1"/>
      <c r="I929" s="0" t="n">
        <f aca="false">32+19.7</f>
        <v>51.7</v>
      </c>
      <c r="J929" s="0" t="n">
        <f aca="false">(I929/32)*5</f>
        <v>8.078125</v>
      </c>
      <c r="L929" s="0" t="n">
        <v>25</v>
      </c>
      <c r="M929" s="0" t="n">
        <v>0</v>
      </c>
      <c r="N929" s="0" t="n">
        <f aca="false">L929</f>
        <v>25</v>
      </c>
      <c r="O929" s="3" t="n">
        <f aca="false">LOOKUP(L929,$AB$3:$AC$123)</f>
        <v>1.10355</v>
      </c>
      <c r="P929" s="3" t="n">
        <f aca="false">(O929*(N929/100)*(J929/1000))*1000</f>
        <v>2.2286537109375</v>
      </c>
      <c r="Q929" s="3"/>
      <c r="R929" s="1"/>
      <c r="S929" s="1"/>
      <c r="T929" s="1"/>
      <c r="U929" s="1"/>
      <c r="V929" s="1"/>
      <c r="W929" s="1"/>
      <c r="X929" s="3" t="e">
        <f aca="false">LOOKUP(V929,$AB$3:$AC$123)</f>
        <v>#N/A</v>
      </c>
      <c r="Y929" s="5"/>
      <c r="Z929" s="1"/>
    </row>
    <row r="930" customFormat="false" ht="15" hidden="false" customHeight="false" outlineLevel="0" collapsed="false">
      <c r="A930" s="0" t="s">
        <v>63</v>
      </c>
      <c r="B930" s="0" t="s">
        <v>64</v>
      </c>
      <c r="C930" s="0" t="s">
        <v>56</v>
      </c>
      <c r="D930" s="0" t="s">
        <v>147</v>
      </c>
      <c r="E930" s="0" t="n">
        <v>20</v>
      </c>
      <c r="F930" s="0" t="n">
        <v>0</v>
      </c>
      <c r="G930" s="1"/>
      <c r="H930" s="1"/>
      <c r="I930" s="0" t="n">
        <v>0</v>
      </c>
      <c r="J930" s="0" t="n">
        <f aca="false">(I930/32)*5</f>
        <v>0</v>
      </c>
      <c r="L930" s="0" t="n">
        <v>0</v>
      </c>
      <c r="M930" s="0" t="n">
        <v>0</v>
      </c>
      <c r="N930" s="0" t="n">
        <f aca="false">L930</f>
        <v>0</v>
      </c>
      <c r="O930" s="3" t="n">
        <v>0</v>
      </c>
      <c r="P930" s="3" t="n">
        <f aca="false">(O930*(N930/100)*(J930/1000))*1000</f>
        <v>0</v>
      </c>
      <c r="Q930" s="3"/>
      <c r="R930" s="1"/>
      <c r="S930" s="1"/>
      <c r="T930" s="1"/>
      <c r="U930" s="1"/>
      <c r="V930" s="1"/>
      <c r="W930" s="1"/>
      <c r="X930" s="3" t="e">
        <f aca="false">LOOKUP(V930,$AB$3:$AC$123)</f>
        <v>#N/A</v>
      </c>
      <c r="Y930" s="5"/>
      <c r="Z930" s="1"/>
    </row>
    <row r="931" customFormat="false" ht="15" hidden="false" customHeight="false" outlineLevel="0" collapsed="false">
      <c r="A931" s="0" t="s">
        <v>65</v>
      </c>
      <c r="B931" s="0" t="s">
        <v>66</v>
      </c>
      <c r="C931" s="0" t="s">
        <v>56</v>
      </c>
      <c r="D931" s="0" t="s">
        <v>147</v>
      </c>
      <c r="E931" s="0" t="n">
        <v>20</v>
      </c>
      <c r="F931" s="0" t="n">
        <v>1</v>
      </c>
      <c r="G931" s="1"/>
      <c r="H931" s="1"/>
      <c r="I931" s="0" t="n">
        <v>17.7</v>
      </c>
      <c r="J931" s="0" t="n">
        <f aca="false">(I931/32)*5</f>
        <v>2.765625</v>
      </c>
      <c r="L931" s="0" t="n">
        <v>20</v>
      </c>
      <c r="M931" s="0" t="n">
        <v>0</v>
      </c>
      <c r="N931" s="0" t="n">
        <f aca="false">L931</f>
        <v>20</v>
      </c>
      <c r="O931" s="3" t="n">
        <f aca="false">LOOKUP(L931,$AB$3:$AC$123)</f>
        <v>1.081</v>
      </c>
      <c r="P931" s="3" t="n">
        <f aca="false">(O931*(N931/100)*(J931/1000))*1000</f>
        <v>0.597928125</v>
      </c>
      <c r="Q931" s="3"/>
      <c r="R931" s="1"/>
      <c r="S931" s="1"/>
      <c r="T931" s="1"/>
      <c r="U931" s="1"/>
      <c r="V931" s="1"/>
      <c r="W931" s="1"/>
      <c r="X931" s="3" t="e">
        <f aca="false">LOOKUP(V931,$AB$3:$AC$123)</f>
        <v>#N/A</v>
      </c>
      <c r="Y931" s="5"/>
      <c r="Z931" s="1"/>
    </row>
    <row r="932" customFormat="false" ht="15" hidden="false" customHeight="false" outlineLevel="0" collapsed="false">
      <c r="A932" s="0" t="s">
        <v>67</v>
      </c>
      <c r="B932" s="0" t="s">
        <v>68</v>
      </c>
      <c r="C932" s="0" t="s">
        <v>56</v>
      </c>
      <c r="D932" s="0" t="s">
        <v>147</v>
      </c>
      <c r="E932" s="0" t="n">
        <v>20</v>
      </c>
      <c r="F932" s="0" t="n">
        <v>1</v>
      </c>
      <c r="G932" s="1"/>
      <c r="H932" s="1"/>
      <c r="I932" s="0" t="n">
        <f aca="false">64+21.8</f>
        <v>85.8</v>
      </c>
      <c r="J932" s="0" t="n">
        <f aca="false">(I932/32)*5</f>
        <v>13.40625</v>
      </c>
      <c r="L932" s="0" t="n">
        <v>28</v>
      </c>
      <c r="M932" s="0" t="n">
        <v>0</v>
      </c>
      <c r="N932" s="0" t="n">
        <f aca="false">L932</f>
        <v>28</v>
      </c>
      <c r="O932" s="3" t="n">
        <f aca="false">LOOKUP(L932,$AB$3:$AC$123)</f>
        <v>1.1175</v>
      </c>
      <c r="P932" s="3" t="n">
        <f aca="false">(O932*(N932/100)*(J932/1000))*1000</f>
        <v>4.194815625</v>
      </c>
      <c r="Q932" s="3"/>
      <c r="R932" s="1"/>
      <c r="S932" s="1"/>
      <c r="T932" s="1"/>
      <c r="U932" s="1"/>
      <c r="V932" s="1"/>
      <c r="W932" s="1"/>
      <c r="X932" s="3" t="e">
        <f aca="false">LOOKUP(V932,$AB$3:$AC$123)</f>
        <v>#N/A</v>
      </c>
      <c r="Y932" s="5"/>
      <c r="Z932" s="1"/>
    </row>
    <row r="933" customFormat="false" ht="15" hidden="false" customHeight="false" outlineLevel="0" collapsed="false">
      <c r="A933" s="0" t="s">
        <v>69</v>
      </c>
      <c r="B933" s="0" t="s">
        <v>70</v>
      </c>
      <c r="C933" s="0" t="s">
        <v>56</v>
      </c>
      <c r="D933" s="0" t="s">
        <v>147</v>
      </c>
      <c r="E933" s="0" t="n">
        <v>20</v>
      </c>
      <c r="F933" s="0" t="n">
        <v>0</v>
      </c>
      <c r="G933" s="1"/>
      <c r="H933" s="1"/>
      <c r="I933" s="0" t="n">
        <v>0</v>
      </c>
      <c r="J933" s="0" t="n">
        <f aca="false">(I933/32)*5</f>
        <v>0</v>
      </c>
      <c r="L933" s="0" t="n">
        <v>0</v>
      </c>
      <c r="M933" s="0" t="n">
        <v>0</v>
      </c>
      <c r="N933" s="0" t="n">
        <f aca="false">L933</f>
        <v>0</v>
      </c>
      <c r="O933" s="3" t="n">
        <v>0</v>
      </c>
      <c r="P933" s="3" t="n">
        <f aca="false">(O933*(N933/100)*(J933/1000))*1000</f>
        <v>0</v>
      </c>
      <c r="Q933" s="3"/>
      <c r="R933" s="1"/>
      <c r="S933" s="1"/>
      <c r="T933" s="1"/>
      <c r="U933" s="1"/>
      <c r="V933" s="1"/>
      <c r="W933" s="1"/>
      <c r="X933" s="3" t="e">
        <f aca="false">LOOKUP(V933,$AB$3:$AC$123)</f>
        <v>#N/A</v>
      </c>
      <c r="Y933" s="5"/>
      <c r="Z933" s="1"/>
    </row>
    <row r="934" customFormat="false" ht="15" hidden="false" customHeight="false" outlineLevel="0" collapsed="false">
      <c r="A934" s="0" t="s">
        <v>71</v>
      </c>
      <c r="B934" s="0" t="s">
        <v>72</v>
      </c>
      <c r="C934" s="0" t="s">
        <v>56</v>
      </c>
      <c r="D934" s="0" t="s">
        <v>147</v>
      </c>
      <c r="E934" s="0" t="n">
        <v>20</v>
      </c>
      <c r="F934" s="0" t="n">
        <v>0</v>
      </c>
      <c r="G934" s="1"/>
      <c r="H934" s="1"/>
      <c r="I934" s="0" t="n">
        <v>0</v>
      </c>
      <c r="J934" s="0" t="n">
        <f aca="false">(I934/32)*5</f>
        <v>0</v>
      </c>
      <c r="L934" s="0" t="n">
        <v>0</v>
      </c>
      <c r="M934" s="0" t="n">
        <v>0</v>
      </c>
      <c r="N934" s="0" t="n">
        <f aca="false">L934</f>
        <v>0</v>
      </c>
      <c r="O934" s="3" t="n">
        <v>0</v>
      </c>
      <c r="P934" s="3" t="n">
        <f aca="false">(O934*(N934/100)*(J934/1000))*1000</f>
        <v>0</v>
      </c>
      <c r="Q934" s="3"/>
      <c r="R934" s="1"/>
      <c r="S934" s="1"/>
      <c r="T934" s="1"/>
      <c r="U934" s="1"/>
      <c r="V934" s="1"/>
      <c r="W934" s="1"/>
      <c r="X934" s="3" t="e">
        <f aca="false">LOOKUP(V934,$AB$3:$AC$123)</f>
        <v>#N/A</v>
      </c>
      <c r="Y934" s="5"/>
      <c r="Z934" s="1"/>
    </row>
    <row r="935" customFormat="false" ht="15" hidden="false" customHeight="false" outlineLevel="0" collapsed="false">
      <c r="A935" s="0" t="s">
        <v>73</v>
      </c>
      <c r="B935" s="0" t="s">
        <v>74</v>
      </c>
      <c r="C935" s="0" t="s">
        <v>56</v>
      </c>
      <c r="D935" s="0" t="s">
        <v>147</v>
      </c>
      <c r="E935" s="0" t="n">
        <v>20</v>
      </c>
      <c r="F935" s="0" t="n">
        <v>2</v>
      </c>
      <c r="G935" s="1"/>
      <c r="H935" s="1"/>
      <c r="I935" s="0" t="n">
        <v>65.4</v>
      </c>
      <c r="J935" s="0" t="n">
        <f aca="false">(I935/32)*5</f>
        <v>10.21875</v>
      </c>
      <c r="L935" s="0" t="n">
        <v>26</v>
      </c>
      <c r="M935" s="0" t="n">
        <v>0</v>
      </c>
      <c r="N935" s="0" t="n">
        <f aca="false">L935</f>
        <v>26</v>
      </c>
      <c r="O935" s="3" t="n">
        <f aca="false">LOOKUP(L935,$AB$3:$AC$123)</f>
        <v>1.1081</v>
      </c>
      <c r="P935" s="3" t="n">
        <f aca="false">(O935*(N935/100)*(J935/1000))*1000</f>
        <v>2.9440831875</v>
      </c>
      <c r="Q935" s="3"/>
      <c r="R935" s="1"/>
      <c r="S935" s="1"/>
      <c r="T935" s="1"/>
      <c r="U935" s="1"/>
      <c r="V935" s="1"/>
      <c r="W935" s="1"/>
      <c r="X935" s="3" t="e">
        <f aca="false">LOOKUP(V935,$AB$3:$AC$123)</f>
        <v>#N/A</v>
      </c>
      <c r="Y935" s="5"/>
      <c r="Z935" s="1"/>
    </row>
    <row r="936" customFormat="false" ht="15" hidden="false" customHeight="false" outlineLevel="0" collapsed="false">
      <c r="A936" s="0" t="s">
        <v>75</v>
      </c>
      <c r="B936" s="0" t="s">
        <v>76</v>
      </c>
      <c r="C936" s="0" t="s">
        <v>56</v>
      </c>
      <c r="D936" s="0" t="s">
        <v>147</v>
      </c>
      <c r="E936" s="0" t="n">
        <v>20</v>
      </c>
      <c r="F936" s="0" t="n">
        <v>2</v>
      </c>
      <c r="G936" s="1"/>
      <c r="H936" s="1"/>
      <c r="I936" s="0" t="n">
        <v>64</v>
      </c>
      <c r="J936" s="0" t="n">
        <f aca="false">(I936/32)*5</f>
        <v>10</v>
      </c>
      <c r="L936" s="0" t="n">
        <v>27</v>
      </c>
      <c r="M936" s="0" t="n">
        <v>0</v>
      </c>
      <c r="N936" s="0" t="n">
        <f aca="false">L936</f>
        <v>27</v>
      </c>
      <c r="O936" s="3" t="n">
        <f aca="false">LOOKUP(L936,$AB$3:$AC$123)</f>
        <v>1.1128</v>
      </c>
      <c r="P936" s="3" t="n">
        <f aca="false">(O936*(N936/100)*(J936/1000))*1000</f>
        <v>3.00456</v>
      </c>
      <c r="Q936" s="3"/>
      <c r="R936" s="1"/>
      <c r="S936" s="1"/>
      <c r="T936" s="1"/>
      <c r="U936" s="1"/>
      <c r="V936" s="1"/>
      <c r="W936" s="1"/>
      <c r="X936" s="3" t="e">
        <f aca="false">LOOKUP(V936,$AB$3:$AC$123)</f>
        <v>#N/A</v>
      </c>
      <c r="Y936" s="5"/>
      <c r="Z936" s="1"/>
    </row>
    <row r="937" customFormat="false" ht="15" hidden="false" customHeight="false" outlineLevel="0" collapsed="false">
      <c r="A937" s="0" t="s">
        <v>77</v>
      </c>
      <c r="B937" s="0" t="s">
        <v>78</v>
      </c>
      <c r="C937" s="0" t="s">
        <v>56</v>
      </c>
      <c r="D937" s="0" t="s">
        <v>147</v>
      </c>
      <c r="E937" s="0" t="n">
        <v>20</v>
      </c>
      <c r="F937" s="0" t="n">
        <v>1</v>
      </c>
      <c r="G937" s="1"/>
      <c r="H937" s="1"/>
      <c r="I937" s="0" t="n">
        <f aca="false">32+16.2</f>
        <v>48.2</v>
      </c>
      <c r="J937" s="0" t="n">
        <f aca="false">(I937/32)*5</f>
        <v>7.53125</v>
      </c>
      <c r="L937" s="0" t="n">
        <v>25.5</v>
      </c>
      <c r="M937" s="0" t="n">
        <v>0</v>
      </c>
      <c r="N937" s="0" t="n">
        <f aca="false">L937</f>
        <v>25.5</v>
      </c>
      <c r="O937" s="3" t="n">
        <f aca="false">LOOKUP(L937,$AB$3:$AC$123)</f>
        <v>1.105825</v>
      </c>
      <c r="P937" s="3" t="n">
        <f aca="false">(O937*(N937/100)*(J937/1000))*1000</f>
        <v>2.12370235546875</v>
      </c>
      <c r="Q937" s="3"/>
      <c r="R937" s="1"/>
      <c r="S937" s="1"/>
      <c r="T937" s="1"/>
      <c r="U937" s="1"/>
      <c r="V937" s="1"/>
      <c r="W937" s="1"/>
      <c r="X937" s="3" t="e">
        <f aca="false">LOOKUP(V937,$AB$3:$AC$123)</f>
        <v>#N/A</v>
      </c>
      <c r="Y937" s="5"/>
      <c r="Z937" s="1"/>
    </row>
    <row r="938" customFormat="false" ht="15" hidden="false" customHeight="false" outlineLevel="0" collapsed="false">
      <c r="A938" s="0" t="s">
        <v>79</v>
      </c>
      <c r="B938" s="0" t="s">
        <v>80</v>
      </c>
      <c r="C938" s="0" t="s">
        <v>81</v>
      </c>
      <c r="D938" s="0" t="s">
        <v>147</v>
      </c>
      <c r="E938" s="0" t="n">
        <v>20</v>
      </c>
      <c r="F938" s="0" t="n">
        <v>2</v>
      </c>
      <c r="G938" s="1"/>
      <c r="H938" s="1"/>
      <c r="I938" s="0" t="n">
        <f aca="false">64+18.5</f>
        <v>82.5</v>
      </c>
      <c r="J938" s="0" t="n">
        <f aca="false">(I938/32)*5</f>
        <v>12.890625</v>
      </c>
      <c r="L938" s="0" t="n">
        <v>22</v>
      </c>
      <c r="M938" s="0" t="n">
        <v>0</v>
      </c>
      <c r="N938" s="0" t="n">
        <f aca="false">L938</f>
        <v>22</v>
      </c>
      <c r="O938" s="3" t="n">
        <f aca="false">LOOKUP(L938,$AB$3:$AC$123)</f>
        <v>1.0899</v>
      </c>
      <c r="P938" s="3" t="n">
        <f aca="false">(O938*(N938/100)*(J938/1000))*1000</f>
        <v>3.09088828125</v>
      </c>
      <c r="Q938" s="3"/>
      <c r="R938" s="0" t="n">
        <v>3</v>
      </c>
      <c r="S938" s="0" t="n">
        <v>15.8</v>
      </c>
      <c r="T938" s="0" t="n">
        <f aca="false">(S938/32)*5</f>
        <v>2.46875</v>
      </c>
      <c r="V938" s="0" t="n">
        <v>29</v>
      </c>
      <c r="W938" s="0" t="n">
        <v>4</v>
      </c>
      <c r="X938" s="3" t="n">
        <f aca="false">LOOKUP(V938,$AB$3:$AC$123)</f>
        <v>1.12225</v>
      </c>
      <c r="Y938" s="2" t="n">
        <f aca="false">(V938*((W938+T938)/1000)*X938)/((((W938+T938)/1000)*X938)-((W938/1000)*0.9982))</f>
        <v>64.4453306344265</v>
      </c>
      <c r="Z938" s="3" t="n">
        <f aca="false">(X938*(V938/100)*((W938+T938)/1000))*1000</f>
        <v>2.105270859375</v>
      </c>
    </row>
    <row r="939" customFormat="false" ht="15" hidden="false" customHeight="false" outlineLevel="0" collapsed="false">
      <c r="A939" s="0" t="s">
        <v>82</v>
      </c>
      <c r="B939" s="0" t="s">
        <v>83</v>
      </c>
      <c r="C939" s="0" t="s">
        <v>81</v>
      </c>
      <c r="D939" s="0" t="s">
        <v>147</v>
      </c>
      <c r="E939" s="0" t="n">
        <v>20</v>
      </c>
      <c r="F939" s="0" t="n">
        <v>0</v>
      </c>
      <c r="G939" s="1"/>
      <c r="H939" s="1"/>
      <c r="I939" s="0" t="n">
        <v>0</v>
      </c>
      <c r="J939" s="0" t="n">
        <f aca="false">(I939/32)*5</f>
        <v>0</v>
      </c>
      <c r="L939" s="0" t="n">
        <v>0</v>
      </c>
      <c r="M939" s="0" t="n">
        <v>0</v>
      </c>
      <c r="N939" s="0" t="n">
        <f aca="false">L939</f>
        <v>0</v>
      </c>
      <c r="O939" s="3" t="n">
        <v>0</v>
      </c>
      <c r="P939" s="3" t="n">
        <f aca="false">(O939*(N939/100)*(J939/1000))*1000</f>
        <v>0</v>
      </c>
      <c r="Q939" s="3"/>
      <c r="R939" s="0" t="n">
        <v>4</v>
      </c>
      <c r="S939" s="0" t="n">
        <v>17</v>
      </c>
      <c r="T939" s="0" t="n">
        <f aca="false">(S939/32)*5</f>
        <v>2.65625</v>
      </c>
      <c r="V939" s="0" t="n">
        <v>28</v>
      </c>
      <c r="W939" s="0" t="n">
        <v>4</v>
      </c>
      <c r="X939" s="3" t="n">
        <f aca="false">LOOKUP(V939,$AB$3:$AC$123)</f>
        <v>1.1175</v>
      </c>
      <c r="Y939" s="2" t="n">
        <f aca="false">(V939*((W939+T939)/1000)*X939)/((((W939+T939)/1000)*X939)-((W939/1000)*0.9982))</f>
        <v>60.4470972148028</v>
      </c>
      <c r="Z939" s="3" t="n">
        <f aca="false">(X939*(V939/100)*((W939+T939)/1000))*1000</f>
        <v>2.082740625</v>
      </c>
    </row>
    <row r="940" customFormat="false" ht="15" hidden="false" customHeight="false" outlineLevel="0" collapsed="false">
      <c r="A940" s="0" t="s">
        <v>84</v>
      </c>
      <c r="B940" s="0" t="s">
        <v>85</v>
      </c>
      <c r="C940" s="0" t="s">
        <v>81</v>
      </c>
      <c r="D940" s="0" t="s">
        <v>147</v>
      </c>
      <c r="E940" s="0" t="n">
        <v>20</v>
      </c>
      <c r="F940" s="0" t="n">
        <v>1</v>
      </c>
      <c r="G940" s="1"/>
      <c r="H940" s="1"/>
      <c r="I940" s="0" t="n">
        <f aca="false">32+15.4</f>
        <v>47.4</v>
      </c>
      <c r="J940" s="0" t="n">
        <f aca="false">(I940/32)*5</f>
        <v>7.40625</v>
      </c>
      <c r="L940" s="0" t="n">
        <v>28.5</v>
      </c>
      <c r="M940" s="0" t="n">
        <v>0</v>
      </c>
      <c r="N940" s="0" t="n">
        <f aca="false">L940</f>
        <v>28.5</v>
      </c>
      <c r="O940" s="3" t="n">
        <f aca="false">LOOKUP(L940,$AB$3:$AC$123)</f>
        <v>1.119875</v>
      </c>
      <c r="P940" s="3" t="n">
        <f aca="false">(O940*(N940/100)*(J940/1000))*1000</f>
        <v>2.36381115234375</v>
      </c>
      <c r="Q940" s="3"/>
      <c r="R940" s="0" t="n">
        <v>3</v>
      </c>
      <c r="S940" s="0" t="n">
        <v>9.2</v>
      </c>
      <c r="T940" s="0" t="n">
        <f aca="false">(S940/32)*5</f>
        <v>1.4375</v>
      </c>
      <c r="V940" s="0" t="n">
        <v>17</v>
      </c>
      <c r="W940" s="0" t="n">
        <v>4</v>
      </c>
      <c r="X940" s="3" t="n">
        <f aca="false">LOOKUP(V940,$AB$3:$AC$123)</f>
        <v>1.0678</v>
      </c>
      <c r="Y940" s="2" t="n">
        <f aca="false">(V940*((W940+T940)/1000)*X940)/((((W940+T940)/1000)*X940)-((W940/1000)*0.9982))</f>
        <v>54.431897924436</v>
      </c>
      <c r="Z940" s="3" t="n">
        <f aca="false">(X940*(V940/100)*((W940+T940)/1000))*1000</f>
        <v>0.987047625</v>
      </c>
    </row>
    <row r="941" customFormat="false" ht="15" hidden="false" customHeight="false" outlineLevel="0" collapsed="false">
      <c r="A941" s="0" t="s">
        <v>86</v>
      </c>
      <c r="B941" s="0" t="s">
        <v>87</v>
      </c>
      <c r="C941" s="0" t="s">
        <v>81</v>
      </c>
      <c r="D941" s="0" t="s">
        <v>147</v>
      </c>
      <c r="E941" s="0" t="n">
        <v>20</v>
      </c>
      <c r="F941" s="0" t="n">
        <v>2</v>
      </c>
      <c r="G941" s="1"/>
      <c r="H941" s="1"/>
      <c r="I941" s="0" t="n">
        <f aca="false">64+12</f>
        <v>76</v>
      </c>
      <c r="J941" s="0" t="n">
        <f aca="false">(I941/32)*5</f>
        <v>11.875</v>
      </c>
      <c r="L941" s="0" t="n">
        <v>23</v>
      </c>
      <c r="M941" s="0" t="n">
        <v>0</v>
      </c>
      <c r="N941" s="0" t="n">
        <f aca="false">L941</f>
        <v>23</v>
      </c>
      <c r="O941" s="3" t="n">
        <f aca="false">LOOKUP(L941,$AB$3:$AC$123)</f>
        <v>1.09445</v>
      </c>
      <c r="P941" s="3" t="n">
        <f aca="false">(O941*(N941/100)*(J941/1000))*1000</f>
        <v>2.9892165625</v>
      </c>
      <c r="Q941" s="3"/>
      <c r="R941" s="0" t="n">
        <v>4</v>
      </c>
      <c r="S941" s="0" t="n">
        <v>9.7</v>
      </c>
      <c r="T941" s="0" t="n">
        <f aca="false">(S941/32)*5</f>
        <v>1.515625</v>
      </c>
      <c r="V941" s="0" t="n">
        <v>12</v>
      </c>
      <c r="W941" s="0" t="n">
        <v>4</v>
      </c>
      <c r="X941" s="3" t="n">
        <f aca="false">LOOKUP(V941,$AB$3:$AC$123)</f>
        <v>1.0465</v>
      </c>
      <c r="Y941" s="2" t="n">
        <f aca="false">(V941*((W941+T941)/1000)*X941)/((((W941+T941)/1000)*X941)-((W941/1000)*0.9982))</f>
        <v>38.9283189594232</v>
      </c>
      <c r="Z941" s="3" t="n">
        <f aca="false">(X941*(V941/100)*((W941+T941)/1000))*1000</f>
        <v>0.6926521875</v>
      </c>
    </row>
    <row r="942" customFormat="false" ht="15" hidden="false" customHeight="false" outlineLevel="0" collapsed="false">
      <c r="A942" s="0" t="s">
        <v>88</v>
      </c>
      <c r="B942" s="0" t="s">
        <v>89</v>
      </c>
      <c r="C942" s="0" t="s">
        <v>81</v>
      </c>
      <c r="D942" s="0" t="s">
        <v>147</v>
      </c>
      <c r="E942" s="0" t="n">
        <v>20</v>
      </c>
      <c r="F942" s="0" t="n">
        <v>2</v>
      </c>
      <c r="G942" s="1"/>
      <c r="H942" s="1"/>
      <c r="I942" s="0" t="n">
        <f aca="false">96+18.4</f>
        <v>114.4</v>
      </c>
      <c r="J942" s="0" t="n">
        <f aca="false">(I942/32)*5</f>
        <v>17.875</v>
      </c>
      <c r="L942" s="0" t="n">
        <v>26</v>
      </c>
      <c r="M942" s="0" t="n">
        <v>0</v>
      </c>
      <c r="N942" s="0" t="n">
        <f aca="false">L942</f>
        <v>26</v>
      </c>
      <c r="O942" s="3" t="n">
        <f aca="false">LOOKUP(L942,$AB$3:$AC$123)</f>
        <v>1.1081</v>
      </c>
      <c r="P942" s="3" t="n">
        <f aca="false">(O942*(N942/100)*(J942/1000))*1000</f>
        <v>5.14989475</v>
      </c>
      <c r="Q942" s="3"/>
      <c r="R942" s="0" t="n">
        <v>4</v>
      </c>
      <c r="S942" s="0" t="n">
        <v>16.7</v>
      </c>
      <c r="T942" s="0" t="n">
        <f aca="false">(S942/32)*5</f>
        <v>2.609375</v>
      </c>
      <c r="V942" s="0" t="n">
        <v>21.5</v>
      </c>
      <c r="W942" s="0" t="n">
        <v>4</v>
      </c>
      <c r="X942" s="3" t="n">
        <f aca="false">LOOKUP(V942,$AB$3:$AC$123)</f>
        <v>1.087675</v>
      </c>
      <c r="Y942" s="2" t="n">
        <f aca="false">(V942*((W942+T942)/1000)*X942)/((((W942+T942)/1000)*X942)-((W942/1000)*0.9982))</f>
        <v>48.3597636268282</v>
      </c>
      <c r="Z942" s="3" t="n">
        <f aca="false">(X942*(V942/100)*((W942+T942)/1000))*1000</f>
        <v>1.54560316992187</v>
      </c>
    </row>
    <row r="943" customFormat="false" ht="15" hidden="false" customHeight="false" outlineLevel="0" collapsed="false">
      <c r="A943" s="0" t="s">
        <v>90</v>
      </c>
      <c r="B943" s="0" t="s">
        <v>91</v>
      </c>
      <c r="C943" s="0" t="s">
        <v>81</v>
      </c>
      <c r="D943" s="0" t="s">
        <v>147</v>
      </c>
      <c r="E943" s="0" t="n">
        <v>20</v>
      </c>
      <c r="F943" s="0" t="n">
        <v>0</v>
      </c>
      <c r="G943" s="1"/>
      <c r="H943" s="1"/>
      <c r="I943" s="0" t="n">
        <v>0</v>
      </c>
      <c r="J943" s="0" t="n">
        <f aca="false">(I943/32)*5</f>
        <v>0</v>
      </c>
      <c r="L943" s="0" t="n">
        <v>0</v>
      </c>
      <c r="M943" s="0" t="n">
        <v>0</v>
      </c>
      <c r="N943" s="0" t="n">
        <f aca="false">L943</f>
        <v>0</v>
      </c>
      <c r="O943" s="3" t="n">
        <v>0</v>
      </c>
      <c r="P943" s="3" t="n">
        <f aca="false">(O943*(N943/100)*(J943/1000))*1000</f>
        <v>0</v>
      </c>
      <c r="Q943" s="3"/>
      <c r="R943" s="0" t="n">
        <v>1</v>
      </c>
      <c r="S943" s="0" t="n">
        <v>2.9</v>
      </c>
      <c r="T943" s="0" t="n">
        <f aca="false">(S943/32)*5</f>
        <v>0.453125</v>
      </c>
      <c r="V943" s="0" t="n">
        <v>7</v>
      </c>
      <c r="W943" s="0" t="n">
        <v>4</v>
      </c>
      <c r="X943" s="3" t="n">
        <f aca="false">LOOKUP(V943,$AB$3:$AC$123)</f>
        <v>1.0259</v>
      </c>
      <c r="Y943" s="2" t="n">
        <f aca="false">(V943*((W943+T943)/1000)*X943)/((((W943+T943)/1000)*X943)-((W943/1000)*0.9982))</f>
        <v>55.5521913669886</v>
      </c>
      <c r="Z943" s="3" t="n">
        <f aca="false">(X943*(V943/100)*((W943+T943)/1000))*1000</f>
        <v>0.319792265625</v>
      </c>
    </row>
    <row r="944" customFormat="false" ht="15" hidden="false" customHeight="false" outlineLevel="0" collapsed="false">
      <c r="A944" s="0" t="s">
        <v>92</v>
      </c>
      <c r="B944" s="0" t="s">
        <v>93</v>
      </c>
      <c r="C944" s="0" t="s">
        <v>81</v>
      </c>
      <c r="D944" s="0" t="s">
        <v>147</v>
      </c>
      <c r="E944" s="0" t="n">
        <v>20</v>
      </c>
      <c r="F944" s="0" t="n">
        <v>3</v>
      </c>
      <c r="G944" s="1"/>
      <c r="H944" s="1"/>
      <c r="I944" s="0" t="n">
        <f aca="false">64+64+13.8</f>
        <v>141.8</v>
      </c>
      <c r="J944" s="0" t="n">
        <f aca="false">(I944/32)*5</f>
        <v>22.15625</v>
      </c>
      <c r="L944" s="0" t="n">
        <v>24</v>
      </c>
      <c r="M944" s="0" t="n">
        <v>0</v>
      </c>
      <c r="N944" s="0" t="n">
        <f aca="false">L944</f>
        <v>24</v>
      </c>
      <c r="O944" s="3" t="n">
        <f aca="false">LOOKUP(L944,$AB$3:$AC$123)</f>
        <v>1.099</v>
      </c>
      <c r="P944" s="3" t="n">
        <f aca="false">(O944*(N944/100)*(J944/1000))*1000</f>
        <v>5.8439325</v>
      </c>
      <c r="Q944" s="3"/>
      <c r="R944" s="0" t="n">
        <v>4</v>
      </c>
      <c r="S944" s="0" t="n">
        <v>11.9</v>
      </c>
      <c r="T944" s="0" t="n">
        <f aca="false">(S944/32)*5</f>
        <v>1.859375</v>
      </c>
      <c r="V944" s="0" t="n">
        <v>25</v>
      </c>
      <c r="W944" s="0" t="n">
        <v>4</v>
      </c>
      <c r="X944" s="3" t="n">
        <f aca="false">LOOKUP(V944,$AB$3:$AC$123)</f>
        <v>1.10355</v>
      </c>
      <c r="Y944" s="2" t="n">
        <f aca="false">(V944*((W944+T944)/1000)*X944)/((((W944+T944)/1000)*X944)-((W944/1000)*0.9982))</f>
        <v>65.3588177675379</v>
      </c>
      <c r="Z944" s="3" t="n">
        <f aca="false">(X944*(V944/100)*((W944+T944)/1000))*1000</f>
        <v>1.6165283203125</v>
      </c>
    </row>
    <row r="945" customFormat="false" ht="15" hidden="false" customHeight="false" outlineLevel="0" collapsed="false">
      <c r="A945" s="0" t="s">
        <v>94</v>
      </c>
      <c r="B945" s="0" t="s">
        <v>95</v>
      </c>
      <c r="C945" s="0" t="s">
        <v>81</v>
      </c>
      <c r="D945" s="0" t="s">
        <v>147</v>
      </c>
      <c r="E945" s="0" t="n">
        <v>20</v>
      </c>
      <c r="F945" s="0" t="n">
        <v>0</v>
      </c>
      <c r="G945" s="1"/>
      <c r="H945" s="1"/>
      <c r="I945" s="0" t="n">
        <v>0</v>
      </c>
      <c r="J945" s="0" t="n">
        <f aca="false">(I945/32)*5</f>
        <v>0</v>
      </c>
      <c r="L945" s="0" t="n">
        <v>0</v>
      </c>
      <c r="M945" s="0" t="n">
        <v>0</v>
      </c>
      <c r="N945" s="0" t="n">
        <f aca="false">L945</f>
        <v>0</v>
      </c>
      <c r="O945" s="3" t="n">
        <v>0</v>
      </c>
      <c r="P945" s="3" t="n">
        <f aca="false">(O945*(N945/100)*(J945/1000))*1000</f>
        <v>0</v>
      </c>
      <c r="Q945" s="3"/>
      <c r="R945" s="0" t="n">
        <v>7</v>
      </c>
      <c r="S945" s="0" t="n">
        <v>12.2</v>
      </c>
      <c r="T945" s="0" t="n">
        <f aca="false">(S945/32)*5</f>
        <v>1.90625</v>
      </c>
      <c r="V945" s="0" t="n">
        <v>16.5</v>
      </c>
      <c r="W945" s="0" t="n">
        <v>4</v>
      </c>
      <c r="X945" s="3" t="n">
        <f aca="false">LOOKUP(V945,$AB$3:$AC$123)</f>
        <v>1.06565</v>
      </c>
      <c r="Y945" s="2" t="n">
        <f aca="false">(V945*((W945+T945)/1000)*X945)/((((W945+T945)/1000)*X945)-((W945/1000)*0.9982))</f>
        <v>45.1291214144823</v>
      </c>
      <c r="Z945" s="3" t="n">
        <f aca="false">(X945*(V945/100)*((W945+T945)/1000))*1000</f>
        <v>1.0385092265625</v>
      </c>
    </row>
    <row r="946" customFormat="false" ht="15" hidden="false" customHeight="false" outlineLevel="0" collapsed="false">
      <c r="A946" s="0" t="s">
        <v>96</v>
      </c>
      <c r="B946" s="0" t="s">
        <v>97</v>
      </c>
      <c r="C946" s="0" t="s">
        <v>81</v>
      </c>
      <c r="D946" s="0" t="s">
        <v>147</v>
      </c>
      <c r="E946" s="0" t="n">
        <v>20</v>
      </c>
      <c r="F946" s="0" t="n">
        <v>0</v>
      </c>
      <c r="G946" s="1"/>
      <c r="H946" s="1"/>
      <c r="I946" s="0" t="n">
        <v>0</v>
      </c>
      <c r="J946" s="0" t="n">
        <f aca="false">(I946/32)*5</f>
        <v>0</v>
      </c>
      <c r="L946" s="0" t="n">
        <v>0</v>
      </c>
      <c r="M946" s="0" t="n">
        <v>0</v>
      </c>
      <c r="N946" s="0" t="n">
        <f aca="false">L946</f>
        <v>0</v>
      </c>
      <c r="O946" s="3" t="n">
        <v>0</v>
      </c>
      <c r="P946" s="3" t="n">
        <f aca="false">(O946*(N946/100)*(J946/1000))*1000</f>
        <v>0</v>
      </c>
      <c r="Q946" s="3"/>
      <c r="R946" s="0" t="n">
        <v>3</v>
      </c>
      <c r="S946" s="0" t="n">
        <v>4.3</v>
      </c>
      <c r="T946" s="0" t="n">
        <f aca="false">(S946/32)*5</f>
        <v>0.671875</v>
      </c>
      <c r="V946" s="0" t="n">
        <v>5.5</v>
      </c>
      <c r="W946" s="0" t="n">
        <v>4</v>
      </c>
      <c r="X946" s="3" t="n">
        <f aca="false">LOOKUP(V946,$AB$3:$AC$123)</f>
        <v>1.01985</v>
      </c>
      <c r="Y946" s="2" t="n">
        <f aca="false">(V946*((W946+T946)/1000)*X946)/((((W946+T946)/1000)*X946)-((W946/1000)*0.9982))</f>
        <v>33.9530533373688</v>
      </c>
      <c r="Z946" s="3" t="n">
        <f aca="false">(X946*(V946/100)*((W946+T946)/1000))*1000</f>
        <v>0.26205364453125</v>
      </c>
    </row>
    <row r="947" customFormat="false" ht="15" hidden="false" customHeight="false" outlineLevel="0" collapsed="false">
      <c r="A947" s="0" t="s">
        <v>98</v>
      </c>
      <c r="B947" s="0" t="s">
        <v>99</v>
      </c>
      <c r="C947" s="0" t="s">
        <v>81</v>
      </c>
      <c r="D947" s="0" t="s">
        <v>147</v>
      </c>
      <c r="E947" s="0" t="n">
        <v>20</v>
      </c>
      <c r="F947" s="0" t="n">
        <v>0</v>
      </c>
      <c r="G947" s="1"/>
      <c r="H947" s="1"/>
      <c r="I947" s="0" t="n">
        <v>0</v>
      </c>
      <c r="J947" s="0" t="n">
        <f aca="false">(I947/32)*5</f>
        <v>0</v>
      </c>
      <c r="L947" s="0" t="n">
        <v>0</v>
      </c>
      <c r="M947" s="0" t="n">
        <v>0</v>
      </c>
      <c r="N947" s="0" t="n">
        <f aca="false">L947</f>
        <v>0</v>
      </c>
      <c r="O947" s="3" t="n">
        <v>0</v>
      </c>
      <c r="P947" s="3" t="n">
        <f aca="false">(O947*(N947/100)*(J947/1000))*1000</f>
        <v>0</v>
      </c>
      <c r="Q947" s="3"/>
      <c r="R947" s="0" t="n">
        <v>5</v>
      </c>
      <c r="S947" s="0" t="n">
        <v>5.9</v>
      </c>
      <c r="T947" s="0" t="n">
        <f aca="false">(S947/32)*5</f>
        <v>0.921875</v>
      </c>
      <c r="V947" s="0" t="n">
        <v>7</v>
      </c>
      <c r="W947" s="0" t="n">
        <v>4</v>
      </c>
      <c r="X947" s="3" t="n">
        <f aca="false">LOOKUP(V947,$AB$3:$AC$123)</f>
        <v>1.0259</v>
      </c>
      <c r="Y947" s="2" t="n">
        <f aca="false">(V947*((W947+T947)/1000)*X947)/((((W947+T947)/1000)*X947)-((W947/1000)*0.9982))</f>
        <v>33.4536071801986</v>
      </c>
      <c r="Z947" s="3" t="n">
        <f aca="false">(X947*(V947/100)*((W947+T947)/1000))*1000</f>
        <v>0.353454609375</v>
      </c>
    </row>
    <row r="948" customFormat="false" ht="15" hidden="false" customHeight="false" outlineLevel="0" collapsed="false">
      <c r="A948" s="0" t="s">
        <v>100</v>
      </c>
      <c r="B948" s="0" t="s">
        <v>101</v>
      </c>
      <c r="C948" s="0" t="s">
        <v>81</v>
      </c>
      <c r="D948" s="0" t="s">
        <v>147</v>
      </c>
      <c r="E948" s="0" t="n">
        <v>20</v>
      </c>
      <c r="F948" s="0" t="n">
        <v>0</v>
      </c>
      <c r="G948" s="1"/>
      <c r="H948" s="1"/>
      <c r="I948" s="0" t="n">
        <v>0</v>
      </c>
      <c r="J948" s="0" t="n">
        <f aca="false">(I948/32)*5</f>
        <v>0</v>
      </c>
      <c r="L948" s="0" t="n">
        <v>0</v>
      </c>
      <c r="M948" s="0" t="n">
        <v>0</v>
      </c>
      <c r="N948" s="0" t="n">
        <f aca="false">L948</f>
        <v>0</v>
      </c>
      <c r="O948" s="3" t="n">
        <v>0</v>
      </c>
      <c r="P948" s="3" t="n">
        <f aca="false">(O948*(N948/100)*(J948/1000))*1000</f>
        <v>0</v>
      </c>
      <c r="Q948" s="3"/>
      <c r="R948" s="0" t="n">
        <v>1</v>
      </c>
      <c r="S948" s="0" t="n">
        <v>3.9</v>
      </c>
      <c r="T948" s="0" t="n">
        <f aca="false">(S948/32)*5</f>
        <v>0.609375</v>
      </c>
      <c r="V948" s="0" t="n">
        <v>7.5</v>
      </c>
      <c r="W948" s="0" t="n">
        <v>4</v>
      </c>
      <c r="X948" s="3" t="n">
        <f aca="false">LOOKUP(V948,$AB$3:$AC$123)</f>
        <v>1.0279</v>
      </c>
      <c r="Y948" s="2" t="n">
        <f aca="false">(V948*((W948+T948)/1000)*X948)/((((W948+T948)/1000)*X948)-((W948/1000)*0.9982))</f>
        <v>47.6864491007794</v>
      </c>
      <c r="Z948" s="3" t="n">
        <f aca="false">(X948*(V948/100)*((W948+T948)/1000))*1000</f>
        <v>0.3553482421875</v>
      </c>
    </row>
    <row r="949" customFormat="false" ht="15" hidden="false" customHeight="false" outlineLevel="0" collapsed="false">
      <c r="A949" s="0" t="s">
        <v>102</v>
      </c>
      <c r="B949" s="0" t="s">
        <v>103</v>
      </c>
      <c r="C949" s="0" t="s">
        <v>81</v>
      </c>
      <c r="D949" s="0" t="s">
        <v>147</v>
      </c>
      <c r="E949" s="0" t="n">
        <v>20</v>
      </c>
      <c r="F949" s="0" t="n">
        <v>0</v>
      </c>
      <c r="G949" s="1"/>
      <c r="H949" s="1"/>
      <c r="I949" s="0" t="n">
        <v>0</v>
      </c>
      <c r="J949" s="0" t="n">
        <f aca="false">(I949/32)*5</f>
        <v>0</v>
      </c>
      <c r="L949" s="0" t="n">
        <v>0</v>
      </c>
      <c r="M949" s="0" t="n">
        <v>0</v>
      </c>
      <c r="N949" s="0" t="n">
        <f aca="false">L949</f>
        <v>0</v>
      </c>
      <c r="O949" s="3" t="n">
        <v>0</v>
      </c>
      <c r="P949" s="3" t="n">
        <f aca="false">(O949*(N949/100)*(J949/1000))*1000</f>
        <v>0</v>
      </c>
      <c r="Q949" s="3"/>
      <c r="R949" s="0" t="n">
        <v>3</v>
      </c>
      <c r="S949" s="0" t="n">
        <v>13.3</v>
      </c>
      <c r="T949" s="0" t="n">
        <f aca="false">(S949/32)*5</f>
        <v>2.078125</v>
      </c>
      <c r="V949" s="0" t="n">
        <v>15</v>
      </c>
      <c r="W949" s="0" t="n">
        <v>4</v>
      </c>
      <c r="X949" s="3" t="n">
        <f aca="false">LOOKUP(V949,$AB$3:$AC$123)</f>
        <v>1.0592</v>
      </c>
      <c r="Y949" s="2" t="n">
        <f aca="false">(V949*((W949+T949)/1000)*X949)/((((W949+T949)/1000)*X949)-((W949/1000)*0.9982))</f>
        <v>39.4942028096436</v>
      </c>
      <c r="Z949" s="3" t="n">
        <f aca="false">(X949*(V949/100)*((W949+T949)/1000))*1000</f>
        <v>0.9656925</v>
      </c>
    </row>
    <row r="950" customFormat="false" ht="15" hidden="false" customHeight="false" outlineLevel="0" collapsed="false">
      <c r="A950" s="0" t="s">
        <v>104</v>
      </c>
      <c r="B950" s="0" t="s">
        <v>105</v>
      </c>
      <c r="C950" s="0" t="s">
        <v>106</v>
      </c>
      <c r="D950" s="0" t="s">
        <v>147</v>
      </c>
      <c r="E950" s="0" t="n">
        <v>20</v>
      </c>
      <c r="F950" s="0" t="n">
        <v>2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0" t="n">
        <v>9</v>
      </c>
      <c r="S950" s="1"/>
      <c r="T950" s="1"/>
      <c r="U950" s="1"/>
      <c r="V950" s="1"/>
      <c r="W950" s="1"/>
      <c r="X950" s="1"/>
      <c r="Y950" s="5"/>
      <c r="Z950" s="1"/>
    </row>
    <row r="951" customFormat="false" ht="15" hidden="false" customHeight="false" outlineLevel="0" collapsed="false">
      <c r="A951" s="0" t="s">
        <v>107</v>
      </c>
      <c r="B951" s="0" t="s">
        <v>37</v>
      </c>
      <c r="C951" s="0" t="s">
        <v>106</v>
      </c>
      <c r="D951" s="0" t="s">
        <v>147</v>
      </c>
      <c r="E951" s="0" t="n">
        <v>20</v>
      </c>
      <c r="F951" s="0" t="n">
        <v>1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0" t="n">
        <v>8</v>
      </c>
      <c r="S951" s="1"/>
      <c r="T951" s="1"/>
      <c r="U951" s="1"/>
      <c r="V951" s="1"/>
      <c r="W951" s="1"/>
      <c r="X951" s="1"/>
      <c r="Y951" s="5"/>
      <c r="Z951" s="1"/>
    </row>
    <row r="952" customFormat="false" ht="15" hidden="false" customHeight="false" outlineLevel="0" collapsed="false">
      <c r="A952" s="0" t="s">
        <v>108</v>
      </c>
      <c r="B952" s="0" t="s">
        <v>109</v>
      </c>
      <c r="C952" s="0" t="s">
        <v>106</v>
      </c>
      <c r="D952" s="0" t="s">
        <v>147</v>
      </c>
      <c r="E952" s="0" t="n">
        <v>20</v>
      </c>
      <c r="F952" s="0" t="n">
        <v>4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0" t="n">
        <v>12</v>
      </c>
      <c r="S952" s="1"/>
      <c r="T952" s="1"/>
      <c r="U952" s="1"/>
      <c r="V952" s="1"/>
      <c r="W952" s="1"/>
      <c r="X952" s="1"/>
      <c r="Y952" s="5"/>
      <c r="Z952" s="1"/>
    </row>
    <row r="953" customFormat="false" ht="15" hidden="false" customHeight="false" outlineLevel="0" collapsed="false">
      <c r="A953" s="0" t="s">
        <v>110</v>
      </c>
      <c r="B953" s="0" t="s">
        <v>111</v>
      </c>
      <c r="C953" s="0" t="s">
        <v>106</v>
      </c>
      <c r="D953" s="0" t="s">
        <v>147</v>
      </c>
      <c r="E953" s="0" t="n">
        <v>20</v>
      </c>
      <c r="F953" s="0" t="n">
        <v>1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0" t="n">
        <v>7</v>
      </c>
      <c r="S953" s="1"/>
      <c r="T953" s="1"/>
      <c r="U953" s="1"/>
      <c r="V953" s="1"/>
      <c r="W953" s="1"/>
      <c r="X953" s="1"/>
      <c r="Y953" s="5"/>
      <c r="Z953" s="1"/>
    </row>
    <row r="954" customFormat="false" ht="15" hidden="false" customHeight="false" outlineLevel="0" collapsed="false">
      <c r="A954" s="0" t="s">
        <v>112</v>
      </c>
      <c r="B954" s="0" t="s">
        <v>113</v>
      </c>
      <c r="C954" s="0" t="s">
        <v>106</v>
      </c>
      <c r="D954" s="0" t="s">
        <v>147</v>
      </c>
      <c r="E954" s="0" t="n">
        <v>20</v>
      </c>
      <c r="F954" s="0" t="n">
        <v>2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0" t="n">
        <v>8</v>
      </c>
      <c r="S954" s="1"/>
      <c r="T954" s="1"/>
      <c r="U954" s="1"/>
      <c r="V954" s="1"/>
      <c r="W954" s="1"/>
      <c r="X954" s="1"/>
      <c r="Y954" s="5"/>
      <c r="Z954" s="1"/>
    </row>
    <row r="955" customFormat="false" ht="15" hidden="false" customHeight="false" outlineLevel="0" collapsed="false">
      <c r="A955" s="0" t="s">
        <v>114</v>
      </c>
      <c r="B955" s="0" t="s">
        <v>115</v>
      </c>
      <c r="C955" s="0" t="s">
        <v>106</v>
      </c>
      <c r="D955" s="0" t="s">
        <v>147</v>
      </c>
      <c r="E955" s="0" t="n">
        <v>20</v>
      </c>
      <c r="F955" s="0" t="n">
        <v>1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0" t="n">
        <v>10</v>
      </c>
      <c r="S955" s="1"/>
      <c r="T955" s="1"/>
      <c r="U955" s="1"/>
      <c r="V955" s="1"/>
      <c r="W955" s="1"/>
      <c r="X955" s="1"/>
      <c r="Y955" s="5"/>
      <c r="Z955" s="1"/>
    </row>
    <row r="956" customFormat="false" ht="15" hidden="false" customHeight="false" outlineLevel="0" collapsed="false">
      <c r="A956" s="0" t="s">
        <v>116</v>
      </c>
      <c r="B956" s="0" t="s">
        <v>117</v>
      </c>
      <c r="C956" s="0" t="s">
        <v>106</v>
      </c>
      <c r="D956" s="0" t="s">
        <v>147</v>
      </c>
      <c r="E956" s="0" t="n">
        <v>20</v>
      </c>
      <c r="F956" s="0" t="n">
        <v>1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0" t="n">
        <v>7</v>
      </c>
      <c r="S956" s="1"/>
      <c r="T956" s="1"/>
      <c r="U956" s="1"/>
      <c r="V956" s="1"/>
      <c r="W956" s="1"/>
      <c r="X956" s="1"/>
      <c r="Y956" s="5"/>
      <c r="Z956" s="1"/>
    </row>
    <row r="957" customFormat="false" ht="15" hidden="false" customHeight="false" outlineLevel="0" collapsed="false">
      <c r="A957" s="0" t="s">
        <v>118</v>
      </c>
      <c r="B957" s="0" t="s">
        <v>119</v>
      </c>
      <c r="C957" s="0" t="s">
        <v>106</v>
      </c>
      <c r="D957" s="0" t="s">
        <v>147</v>
      </c>
      <c r="E957" s="0" t="n">
        <v>20</v>
      </c>
      <c r="F957" s="0" t="n">
        <v>2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0" t="n">
        <v>9</v>
      </c>
      <c r="S957" s="1"/>
      <c r="T957" s="1"/>
      <c r="U957" s="1"/>
      <c r="V957" s="1"/>
      <c r="W957" s="1"/>
      <c r="X957" s="1"/>
      <c r="Y957" s="5"/>
      <c r="Z957" s="1"/>
    </row>
    <row r="958" customFormat="false" ht="15" hidden="false" customHeight="false" outlineLevel="0" collapsed="false">
      <c r="A958" s="0" t="s">
        <v>120</v>
      </c>
      <c r="B958" s="0" t="s">
        <v>121</v>
      </c>
      <c r="C958" s="0" t="s">
        <v>106</v>
      </c>
      <c r="D958" s="0" t="s">
        <v>147</v>
      </c>
      <c r="E958" s="0" t="n">
        <v>20</v>
      </c>
      <c r="F958" s="0" t="n">
        <v>1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0" t="n">
        <v>8</v>
      </c>
      <c r="S958" s="1"/>
      <c r="T958" s="1"/>
      <c r="U958" s="1"/>
      <c r="V958" s="1"/>
      <c r="W958" s="1"/>
      <c r="X958" s="1"/>
      <c r="Y958" s="5"/>
      <c r="Z958" s="1"/>
    </row>
    <row r="959" customFormat="false" ht="15" hidden="false" customHeight="false" outlineLevel="0" collapsed="false">
      <c r="A959" s="0" t="s">
        <v>122</v>
      </c>
      <c r="B959" s="0" t="s">
        <v>123</v>
      </c>
      <c r="C959" s="0" t="s">
        <v>106</v>
      </c>
      <c r="D959" s="0" t="s">
        <v>147</v>
      </c>
      <c r="E959" s="0" t="n">
        <v>20</v>
      </c>
      <c r="F959" s="0" t="n">
        <v>1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0" t="n">
        <v>8</v>
      </c>
      <c r="S959" s="1"/>
      <c r="T959" s="1"/>
      <c r="U959" s="1"/>
      <c r="V959" s="1"/>
      <c r="W959" s="1"/>
      <c r="X959" s="1"/>
      <c r="Y959" s="5"/>
      <c r="Z959" s="1"/>
    </row>
    <row r="960" customFormat="false" ht="15" hidden="false" customHeight="false" outlineLevel="0" collapsed="false">
      <c r="A960" s="0" t="s">
        <v>124</v>
      </c>
      <c r="B960" s="0" t="s">
        <v>125</v>
      </c>
      <c r="C960" s="0" t="s">
        <v>106</v>
      </c>
      <c r="D960" s="0" t="s">
        <v>147</v>
      </c>
      <c r="E960" s="0" t="n">
        <v>20</v>
      </c>
      <c r="F960" s="0" t="n">
        <v>1</v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0" t="n">
        <v>10</v>
      </c>
      <c r="S960" s="1"/>
      <c r="T960" s="1"/>
      <c r="U960" s="1"/>
      <c r="V960" s="1"/>
      <c r="W960" s="1"/>
      <c r="X960" s="1"/>
      <c r="Y960" s="5"/>
      <c r="Z960" s="1"/>
    </row>
    <row r="961" customFormat="false" ht="15" hidden="false" customHeight="false" outlineLevel="0" collapsed="false">
      <c r="A961" s="0" t="s">
        <v>126</v>
      </c>
      <c r="B961" s="0" t="s">
        <v>127</v>
      </c>
      <c r="C961" s="0" t="s">
        <v>106</v>
      </c>
      <c r="D961" s="0" t="s">
        <v>147</v>
      </c>
      <c r="E961" s="0" t="n">
        <v>20</v>
      </c>
      <c r="F961" s="0" t="n">
        <v>1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0" t="n">
        <v>13</v>
      </c>
      <c r="S961" s="1"/>
      <c r="T961" s="1"/>
      <c r="U961" s="1"/>
      <c r="V961" s="1"/>
      <c r="W961" s="1"/>
      <c r="X961" s="1"/>
      <c r="Y961" s="5"/>
      <c r="Z961" s="1"/>
    </row>
    <row r="962" customFormat="false" ht="15" hidden="false" customHeight="false" outlineLevel="0" collapsed="false">
      <c r="A962" s="0" t="s">
        <v>26</v>
      </c>
      <c r="B962" s="0" t="s">
        <v>27</v>
      </c>
      <c r="C962" s="0" t="s">
        <v>28</v>
      </c>
      <c r="D962" s="0" t="s">
        <v>148</v>
      </c>
      <c r="E962" s="0" t="n">
        <v>21</v>
      </c>
      <c r="F962" s="0" t="n">
        <v>1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0" t="n">
        <v>3</v>
      </c>
      <c r="S962" s="0" t="n">
        <v>6.6</v>
      </c>
      <c r="T962" s="0" t="n">
        <f aca="false">(S962/32)*5</f>
        <v>1.03125</v>
      </c>
      <c r="V962" s="0" t="n">
        <v>9</v>
      </c>
      <c r="W962" s="0" t="n">
        <v>4</v>
      </c>
      <c r="X962" s="3" t="n">
        <f aca="false">LOOKUP(V962,$AB$3:$AC$123)</f>
        <v>1.0341</v>
      </c>
      <c r="Y962" s="2" t="n">
        <f aca="false">(V962*((W962+T962)/1000)*X962)/((((W962+T962)/1000)*X962)-((W962/1000)*0.9982))</f>
        <v>38.6981288981289</v>
      </c>
      <c r="Z962" s="3" t="n">
        <f aca="false">(X962*(V962/100)*((W962+T962)/1000))*1000</f>
        <v>0.46825340625</v>
      </c>
    </row>
    <row r="963" customFormat="false" ht="15" hidden="false" customHeight="false" outlineLevel="0" collapsed="false">
      <c r="A963" s="0" t="s">
        <v>32</v>
      </c>
      <c r="B963" s="0" t="s">
        <v>33</v>
      </c>
      <c r="C963" s="0" t="s">
        <v>28</v>
      </c>
      <c r="D963" s="0" t="s">
        <v>148</v>
      </c>
      <c r="E963" s="0" t="n">
        <v>21</v>
      </c>
      <c r="F963" s="0" t="n">
        <v>2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0" t="n">
        <v>5</v>
      </c>
      <c r="S963" s="0" t="n">
        <v>18.1</v>
      </c>
      <c r="T963" s="0" t="n">
        <f aca="false">(S963/32)*5</f>
        <v>2.828125</v>
      </c>
      <c r="V963" s="0" t="n">
        <v>29</v>
      </c>
      <c r="W963" s="0" t="n">
        <v>4</v>
      </c>
      <c r="X963" s="3" t="n">
        <f aca="false">LOOKUP(V963,$AB$3:$AC$123)</f>
        <v>1.12225</v>
      </c>
      <c r="Y963" s="2" t="n">
        <f aca="false">(V963*((W963+T963)/1000)*X963)/((((W963+T963)/1000)*X963)-((W963/1000)*0.9982))</f>
        <v>60.550191679682</v>
      </c>
      <c r="Z963" s="3" t="n">
        <f aca="false">(X963*(V963/100)*((W963+T963)/1000))*1000</f>
        <v>2.2222303515625</v>
      </c>
    </row>
    <row r="964" customFormat="false" ht="15" hidden="false" customHeight="false" outlineLevel="0" collapsed="false">
      <c r="A964" s="0" t="s">
        <v>34</v>
      </c>
      <c r="B964" s="0" t="s">
        <v>35</v>
      </c>
      <c r="C964" s="0" t="s">
        <v>28</v>
      </c>
      <c r="D964" s="0" t="s">
        <v>148</v>
      </c>
      <c r="E964" s="0" t="n">
        <v>21</v>
      </c>
      <c r="F964" s="0" t="n">
        <v>2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0" t="n">
        <v>3</v>
      </c>
      <c r="S964" s="0" t="n">
        <v>6.4</v>
      </c>
      <c r="T964" s="0" t="n">
        <f aca="false">(S964/32)*5</f>
        <v>1</v>
      </c>
      <c r="V964" s="0" t="n">
        <v>14.5</v>
      </c>
      <c r="W964" s="0" t="n">
        <v>4</v>
      </c>
      <c r="X964" s="3" t="n">
        <f aca="false">LOOKUP(V964,$AB$3:$AC$123)</f>
        <v>1.05705</v>
      </c>
      <c r="Y964" s="2" t="n">
        <f aca="false">(V964*((W964+T964)/1000)*X964)/((((W964+T964)/1000)*X964)-((W964/1000)*0.9982))</f>
        <v>59.2952338581763</v>
      </c>
      <c r="Z964" s="3" t="n">
        <f aca="false">(X964*(V964/100)*((W964+T964)/1000))*1000</f>
        <v>0.76636125</v>
      </c>
    </row>
    <row r="965" customFormat="false" ht="15" hidden="false" customHeight="false" outlineLevel="0" collapsed="false">
      <c r="A965" s="0" t="s">
        <v>36</v>
      </c>
      <c r="B965" s="0" t="s">
        <v>37</v>
      </c>
      <c r="C965" s="0" t="s">
        <v>28</v>
      </c>
      <c r="D965" s="0" t="s">
        <v>148</v>
      </c>
      <c r="E965" s="0" t="n">
        <v>21</v>
      </c>
      <c r="F965" s="0" t="n">
        <v>2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0" t="n">
        <v>3</v>
      </c>
      <c r="S965" s="0" t="n">
        <v>12.6</v>
      </c>
      <c r="T965" s="0" t="n">
        <f aca="false">(S965/32)*5</f>
        <v>1.96875</v>
      </c>
      <c r="V965" s="0" t="n">
        <v>18</v>
      </c>
      <c r="W965" s="0" t="n">
        <v>4</v>
      </c>
      <c r="X965" s="3" t="n">
        <f aca="false">LOOKUP(V965,$AB$3:$AC$123)</f>
        <v>1.0722</v>
      </c>
      <c r="Y965" s="2" t="n">
        <f aca="false">(V965*((W965+T965)/1000)*X965)/((((W965+T965)/1000)*X965)-((W965/1000)*0.9982))</f>
        <v>47.860229600912</v>
      </c>
      <c r="Z965" s="3" t="n">
        <f aca="false">(X965*(V965/100)*((W965+T965)/1000))*1000</f>
        <v>1.151944875</v>
      </c>
    </row>
    <row r="966" customFormat="false" ht="15" hidden="false" customHeight="false" outlineLevel="0" collapsed="false">
      <c r="A966" s="0" t="s">
        <v>38</v>
      </c>
      <c r="B966" s="0" t="s">
        <v>39</v>
      </c>
      <c r="C966" s="0" t="s">
        <v>28</v>
      </c>
      <c r="D966" s="0" t="s">
        <v>148</v>
      </c>
      <c r="E966" s="0" t="n">
        <v>21</v>
      </c>
      <c r="F966" s="0" t="n">
        <v>0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0" t="n">
        <v>3</v>
      </c>
      <c r="S966" s="0" t="n">
        <v>11.7</v>
      </c>
      <c r="T966" s="0" t="n">
        <f aca="false">(S966/32)*5</f>
        <v>1.828125</v>
      </c>
      <c r="V966" s="0" t="n">
        <v>18</v>
      </c>
      <c r="W966" s="0" t="n">
        <v>4</v>
      </c>
      <c r="X966" s="3" t="n">
        <f aca="false">LOOKUP(V966,$AB$3:$AC$123)</f>
        <v>1.0722</v>
      </c>
      <c r="Y966" s="2" t="n">
        <f aca="false">(V966*((W966+T966)/1000)*X966)/((((W966+T966)/1000)*X966)-((W966/1000)*0.9982))</f>
        <v>49.8558141274342</v>
      </c>
      <c r="Z966" s="3" t="n">
        <f aca="false">(X966*(V966/100)*((W966+T966)/1000))*1000</f>
        <v>1.1248048125</v>
      </c>
    </row>
    <row r="967" customFormat="false" ht="15" hidden="false" customHeight="false" outlineLevel="0" collapsed="false">
      <c r="A967" s="0" t="s">
        <v>40</v>
      </c>
      <c r="B967" s="0" t="s">
        <v>41</v>
      </c>
      <c r="C967" s="0" t="s">
        <v>28</v>
      </c>
      <c r="D967" s="0" t="s">
        <v>148</v>
      </c>
      <c r="E967" s="0" t="n">
        <v>21</v>
      </c>
      <c r="F967" s="0" t="n">
        <v>1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0" t="n">
        <v>4</v>
      </c>
      <c r="S967" s="0" t="n">
        <v>14.4</v>
      </c>
      <c r="T967" s="0" t="n">
        <f aca="false">(S967/32)*5</f>
        <v>2.25</v>
      </c>
      <c r="V967" s="0" t="n">
        <v>23</v>
      </c>
      <c r="W967" s="0" t="n">
        <v>4</v>
      </c>
      <c r="X967" s="3" t="n">
        <f aca="false">LOOKUP(V967,$AB$3:$AC$123)</f>
        <v>1.09445</v>
      </c>
      <c r="Y967" s="2" t="n">
        <f aca="false">(V967*((W967+T967)/1000)*X967)/((((W967+T967)/1000)*X967)-((W967/1000)*0.9982))</f>
        <v>55.2507451679317</v>
      </c>
      <c r="Z967" s="3" t="n">
        <f aca="false">(X967*(V967/100)*((W967+T967)/1000))*1000</f>
        <v>1.573271875</v>
      </c>
    </row>
    <row r="968" customFormat="false" ht="15" hidden="false" customHeight="false" outlineLevel="0" collapsed="false">
      <c r="A968" s="0" t="s">
        <v>42</v>
      </c>
      <c r="B968" s="0" t="s">
        <v>43</v>
      </c>
      <c r="C968" s="0" t="s">
        <v>28</v>
      </c>
      <c r="D968" s="0" t="s">
        <v>148</v>
      </c>
      <c r="E968" s="0" t="n">
        <v>21</v>
      </c>
      <c r="F968" s="0" t="n">
        <v>0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0" t="n">
        <v>2</v>
      </c>
      <c r="S968" s="0" t="n">
        <v>9.9</v>
      </c>
      <c r="T968" s="0" t="n">
        <f aca="false">(S968/32)*5</f>
        <v>1.546875</v>
      </c>
      <c r="V968" s="0" t="n">
        <v>12.5</v>
      </c>
      <c r="W968" s="0" t="n">
        <v>4</v>
      </c>
      <c r="X968" s="3" t="n">
        <f aca="false">LOOKUP(V968,$AB$3:$AC$123)</f>
        <v>1.0486</v>
      </c>
      <c r="Y968" s="2" t="n">
        <f aca="false">(V968*((W968+T968)/1000)*X968)/((((W968+T968)/1000)*X968)-((W968/1000)*0.9982))</f>
        <v>39.8681432701189</v>
      </c>
      <c r="Z968" s="3" t="n">
        <f aca="false">(X968*(V968/100)*((W968+T968)/1000))*1000</f>
        <v>0.727056640625</v>
      </c>
    </row>
    <row r="969" customFormat="false" ht="15" hidden="false" customHeight="false" outlineLevel="0" collapsed="false">
      <c r="A969" s="0" t="s">
        <v>44</v>
      </c>
      <c r="B969" s="0" t="s">
        <v>45</v>
      </c>
      <c r="C969" s="0" t="s">
        <v>28</v>
      </c>
      <c r="D969" s="0" t="s">
        <v>148</v>
      </c>
      <c r="E969" s="0" t="n">
        <v>21</v>
      </c>
      <c r="F969" s="0" t="n">
        <v>1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0" t="n">
        <v>3</v>
      </c>
      <c r="S969" s="0" t="n">
        <v>14.3</v>
      </c>
      <c r="T969" s="0" t="n">
        <f aca="false">(S969/32)*5</f>
        <v>2.234375</v>
      </c>
      <c r="V969" s="0" t="n">
        <v>33</v>
      </c>
      <c r="W969" s="0" t="n">
        <v>4</v>
      </c>
      <c r="X969" s="3" t="n">
        <f aca="false">LOOKUP(V969,$AB$3:$AC$123)</f>
        <v>1.1415</v>
      </c>
      <c r="Y969" s="2" t="n">
        <f aca="false">(V969*((W969+T969)/1000)*X969)/((((W969+T969)/1000)*X969)-((W969/1000)*0.9982))</f>
        <v>75.1809880286696</v>
      </c>
      <c r="Z969" s="3" t="n">
        <f aca="false">(X969*(V969/100)*((W969+T969)/1000))*1000</f>
        <v>2.348457890625</v>
      </c>
    </row>
    <row r="970" customFormat="false" ht="15" hidden="false" customHeight="false" outlineLevel="0" collapsed="false">
      <c r="A970" s="0" t="s">
        <v>46</v>
      </c>
      <c r="B970" s="0" t="s">
        <v>47</v>
      </c>
      <c r="C970" s="0" t="s">
        <v>28</v>
      </c>
      <c r="D970" s="0" t="s">
        <v>148</v>
      </c>
      <c r="E970" s="0" t="n">
        <v>21</v>
      </c>
      <c r="F970" s="0" t="n">
        <v>1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0" t="n">
        <v>4</v>
      </c>
      <c r="S970" s="0" t="n">
        <v>11.8</v>
      </c>
      <c r="T970" s="0" t="n">
        <f aca="false">(S970/32)*5</f>
        <v>1.84375</v>
      </c>
      <c r="V970" s="0" t="n">
        <v>13</v>
      </c>
      <c r="W970" s="0" t="n">
        <v>4</v>
      </c>
      <c r="X970" s="3" t="n">
        <f aca="false">LOOKUP(V970,$AB$3:$AC$123)</f>
        <v>1.0507</v>
      </c>
      <c r="Y970" s="2" t="n">
        <f aca="false">(V970*((W970+T970)/1000)*X970)/((((W970+T970)/1000)*X970)-((W970/1000)*0.9982))</f>
        <v>37.1736774009515</v>
      </c>
      <c r="Z970" s="3" t="n">
        <f aca="false">(X970*(V970/100)*((W970+T970)/1000))*1000</f>
        <v>0.79820365625</v>
      </c>
    </row>
    <row r="971" customFormat="false" ht="15" hidden="false" customHeight="false" outlineLevel="0" collapsed="false">
      <c r="A971" s="0" t="s">
        <v>48</v>
      </c>
      <c r="B971" s="0" t="s">
        <v>49</v>
      </c>
      <c r="C971" s="0" t="s">
        <v>28</v>
      </c>
      <c r="D971" s="0" t="s">
        <v>148</v>
      </c>
      <c r="E971" s="0" t="n">
        <v>21</v>
      </c>
      <c r="F971" s="0" t="n">
        <v>1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0" t="n">
        <v>2</v>
      </c>
      <c r="S971" s="0" t="n">
        <v>1.4</v>
      </c>
      <c r="T971" s="0" t="n">
        <f aca="false">(S971/32)*5</f>
        <v>0.21875</v>
      </c>
      <c r="V971" s="0" t="n">
        <v>5</v>
      </c>
      <c r="W971" s="0" t="n">
        <v>4</v>
      </c>
      <c r="X971" s="3" t="n">
        <f aca="false">LOOKUP(V971,$AB$3:$AC$123)</f>
        <v>1.0179</v>
      </c>
      <c r="Y971" s="2" t="n">
        <f aca="false">(V971*((W971+T971)/1000)*X971)/((((W971+T971)/1000)*X971)-((W971/1000)*0.9982))</f>
        <v>71.2231390394841</v>
      </c>
      <c r="Z971" s="3" t="n">
        <f aca="false">(X971*(V971/100)*((W971+T971)/1000))*1000</f>
        <v>0.21471328125</v>
      </c>
    </row>
    <row r="972" customFormat="false" ht="15" hidden="false" customHeight="false" outlineLevel="0" collapsed="false">
      <c r="A972" s="0" t="s">
        <v>50</v>
      </c>
      <c r="B972" s="0" t="s">
        <v>51</v>
      </c>
      <c r="C972" s="0" t="s">
        <v>28</v>
      </c>
      <c r="D972" s="0" t="s">
        <v>148</v>
      </c>
      <c r="E972" s="0" t="n">
        <v>21</v>
      </c>
      <c r="F972" s="0" t="n">
        <v>1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0" t="n">
        <v>6</v>
      </c>
      <c r="S972" s="0" t="n">
        <v>10</v>
      </c>
      <c r="T972" s="0" t="n">
        <f aca="false">(S972/32)*5</f>
        <v>1.5625</v>
      </c>
      <c r="V972" s="0" t="n">
        <v>23</v>
      </c>
      <c r="W972" s="0" t="n">
        <v>4</v>
      </c>
      <c r="X972" s="3" t="n">
        <f aca="false">LOOKUP(V972,$AB$3:$AC$123)</f>
        <v>1.09445</v>
      </c>
      <c r="Y972" s="2" t="n">
        <f aca="false">(V972*((W972+T972)/1000)*X972)/((((W972+T972)/1000)*X972)-((W972/1000)*0.9982))</f>
        <v>66.8334012007309</v>
      </c>
      <c r="Z972" s="3" t="n">
        <f aca="false">(X972*(V972/100)*((W972+T972)/1000))*1000</f>
        <v>1.40021196875</v>
      </c>
    </row>
    <row r="973" customFormat="false" ht="15" hidden="false" customHeight="false" outlineLevel="0" collapsed="false">
      <c r="A973" s="0" t="s">
        <v>52</v>
      </c>
      <c r="B973" s="0" t="s">
        <v>53</v>
      </c>
      <c r="C973" s="0" t="s">
        <v>28</v>
      </c>
      <c r="D973" s="0" t="s">
        <v>148</v>
      </c>
      <c r="E973" s="0" t="n">
        <v>21</v>
      </c>
      <c r="F973" s="0" t="n">
        <v>0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0" t="n">
        <v>3</v>
      </c>
      <c r="S973" s="0" t="n">
        <v>4.2</v>
      </c>
      <c r="T973" s="0" t="n">
        <f aca="false">(S973/32)*5</f>
        <v>0.65625</v>
      </c>
      <c r="V973" s="0" t="n">
        <v>6.5</v>
      </c>
      <c r="W973" s="0" t="n">
        <v>4</v>
      </c>
      <c r="X973" s="3" t="n">
        <f aca="false">LOOKUP(V973,$AB$3:$AC$123)</f>
        <v>1.02385</v>
      </c>
      <c r="Y973" s="2" t="n">
        <f aca="false">(V973*((W973+T973)/1000)*X973)/((((W973+T973)/1000)*X973)-((W973/1000)*0.9982))</f>
        <v>40.0095515059081</v>
      </c>
      <c r="Z973" s="3" t="n">
        <f aca="false">(X973*(V973/100)*((W973+T973)/1000))*1000</f>
        <v>0.3098746015625</v>
      </c>
    </row>
    <row r="974" customFormat="false" ht="15" hidden="false" customHeight="false" outlineLevel="0" collapsed="false">
      <c r="A974" s="0" t="s">
        <v>54</v>
      </c>
      <c r="B974" s="0" t="s">
        <v>55</v>
      </c>
      <c r="C974" s="0" t="s">
        <v>56</v>
      </c>
      <c r="D974" s="0" t="s">
        <v>148</v>
      </c>
      <c r="E974" s="0" t="n">
        <v>21</v>
      </c>
      <c r="F974" s="0" t="n">
        <v>0</v>
      </c>
      <c r="G974" s="1"/>
      <c r="H974" s="1"/>
      <c r="I974" s="0" t="n">
        <v>0</v>
      </c>
      <c r="J974" s="0" t="n">
        <f aca="false">(I974/32)*5</f>
        <v>0</v>
      </c>
      <c r="L974" s="0" t="n">
        <v>0</v>
      </c>
      <c r="M974" s="0" t="n">
        <v>0</v>
      </c>
      <c r="N974" s="0" t="n">
        <f aca="false">L974</f>
        <v>0</v>
      </c>
      <c r="O974" s="3" t="n">
        <f aca="false">LOOKUP(L974,$AB$3:$AC$123)</f>
        <v>0.9982</v>
      </c>
      <c r="P974" s="3" t="n">
        <f aca="false">(O974*(N974/100)*(J974/1000))*1000</f>
        <v>0</v>
      </c>
      <c r="Q974" s="3"/>
      <c r="R974" s="1"/>
      <c r="S974" s="1"/>
      <c r="T974" s="1"/>
      <c r="U974" s="1"/>
      <c r="V974" s="1"/>
      <c r="W974" s="1"/>
      <c r="X974" s="1"/>
      <c r="Y974" s="5"/>
      <c r="Z974" s="1"/>
    </row>
    <row r="975" customFormat="false" ht="15" hidden="false" customHeight="false" outlineLevel="0" collapsed="false">
      <c r="A975" s="0" t="s">
        <v>57</v>
      </c>
      <c r="B975" s="0" t="s">
        <v>58</v>
      </c>
      <c r="C975" s="0" t="s">
        <v>56</v>
      </c>
      <c r="D975" s="0" t="s">
        <v>148</v>
      </c>
      <c r="E975" s="0" t="n">
        <v>21</v>
      </c>
      <c r="F975" s="0" t="n">
        <v>0</v>
      </c>
      <c r="G975" s="1"/>
      <c r="H975" s="1"/>
      <c r="I975" s="0" t="n">
        <v>0</v>
      </c>
      <c r="J975" s="0" t="n">
        <f aca="false">(I975/32)*5</f>
        <v>0</v>
      </c>
      <c r="L975" s="0" t="n">
        <v>0</v>
      </c>
      <c r="M975" s="0" t="n">
        <v>0</v>
      </c>
      <c r="N975" s="0" t="n">
        <f aca="false">L975</f>
        <v>0</v>
      </c>
      <c r="O975" s="3" t="n">
        <f aca="false">LOOKUP(L975,$AB$3:$AC$123)</f>
        <v>0.9982</v>
      </c>
      <c r="P975" s="3" t="n">
        <f aca="false">(O975*(N975/100)*(J975/1000))*1000</f>
        <v>0</v>
      </c>
      <c r="Q975" s="3"/>
      <c r="R975" s="1"/>
      <c r="S975" s="1"/>
      <c r="T975" s="1"/>
      <c r="U975" s="1"/>
      <c r="V975" s="1"/>
      <c r="W975" s="1"/>
      <c r="X975" s="1"/>
      <c r="Y975" s="5"/>
      <c r="Z975" s="1"/>
    </row>
    <row r="976" customFormat="false" ht="15" hidden="false" customHeight="false" outlineLevel="0" collapsed="false">
      <c r="A976" s="0" t="s">
        <v>59</v>
      </c>
      <c r="B976" s="0" t="s">
        <v>60</v>
      </c>
      <c r="C976" s="0" t="s">
        <v>56</v>
      </c>
      <c r="D976" s="0" t="s">
        <v>148</v>
      </c>
      <c r="E976" s="0" t="n">
        <v>21</v>
      </c>
      <c r="F976" s="0" t="n">
        <v>1</v>
      </c>
      <c r="G976" s="1"/>
      <c r="H976" s="1"/>
      <c r="I976" s="0" t="n">
        <f aca="false">24.7+17.8</f>
        <v>42.5</v>
      </c>
      <c r="J976" s="0" t="n">
        <f aca="false">(I976/32)*5</f>
        <v>6.640625</v>
      </c>
      <c r="L976" s="0" t="n">
        <v>27</v>
      </c>
      <c r="M976" s="0" t="n">
        <v>0</v>
      </c>
      <c r="N976" s="0" t="n">
        <f aca="false">L976</f>
        <v>27</v>
      </c>
      <c r="O976" s="3" t="n">
        <f aca="false">LOOKUP(L976,$AB$3:$AC$123)</f>
        <v>1.1128</v>
      </c>
      <c r="P976" s="3" t="n">
        <f aca="false">(O976*(N976/100)*(J976/1000))*1000</f>
        <v>1.995215625</v>
      </c>
      <c r="Q976" s="3"/>
      <c r="R976" s="1"/>
      <c r="S976" s="1"/>
      <c r="T976" s="1"/>
      <c r="U976" s="1"/>
      <c r="V976" s="1"/>
      <c r="W976" s="1"/>
      <c r="X976" s="1"/>
      <c r="Y976" s="5"/>
      <c r="Z976" s="1"/>
    </row>
    <row r="977" customFormat="false" ht="15" hidden="false" customHeight="false" outlineLevel="0" collapsed="false">
      <c r="A977" s="0" t="s">
        <v>61</v>
      </c>
      <c r="B977" s="0" t="s">
        <v>62</v>
      </c>
      <c r="C977" s="0" t="s">
        <v>56</v>
      </c>
      <c r="D977" s="0" t="s">
        <v>148</v>
      </c>
      <c r="E977" s="0" t="n">
        <v>21</v>
      </c>
      <c r="F977" s="0" t="n">
        <v>2</v>
      </c>
      <c r="G977" s="1"/>
      <c r="H977" s="1"/>
      <c r="I977" s="0" t="n">
        <f aca="false">29.4+25.2+6.6</f>
        <v>61.2</v>
      </c>
      <c r="J977" s="0" t="n">
        <f aca="false">(I977/32)*5</f>
        <v>9.5625</v>
      </c>
      <c r="L977" s="0" t="n">
        <v>20.5</v>
      </c>
      <c r="M977" s="0" t="n">
        <v>0</v>
      </c>
      <c r="N977" s="0" t="n">
        <f aca="false">L977</f>
        <v>20.5</v>
      </c>
      <c r="O977" s="3" t="n">
        <f aca="false">LOOKUP(L977,$AB$3:$AC$123)</f>
        <v>1.083225</v>
      </c>
      <c r="P977" s="3" t="n">
        <f aca="false">(O977*(N977/100)*(J977/1000))*1000</f>
        <v>2.1234595078125</v>
      </c>
      <c r="Q977" s="3"/>
      <c r="R977" s="1"/>
      <c r="S977" s="1"/>
      <c r="T977" s="1"/>
      <c r="U977" s="1"/>
      <c r="V977" s="1"/>
      <c r="W977" s="1"/>
      <c r="X977" s="1"/>
      <c r="Y977" s="5"/>
      <c r="Z977" s="1"/>
    </row>
    <row r="978" customFormat="false" ht="15" hidden="false" customHeight="false" outlineLevel="0" collapsed="false">
      <c r="A978" s="0" t="s">
        <v>63</v>
      </c>
      <c r="B978" s="0" t="s">
        <v>64</v>
      </c>
      <c r="C978" s="0" t="s">
        <v>56</v>
      </c>
      <c r="D978" s="0" t="s">
        <v>148</v>
      </c>
      <c r="E978" s="0" t="n">
        <v>21</v>
      </c>
      <c r="F978" s="0" t="n">
        <v>2</v>
      </c>
      <c r="G978" s="1"/>
      <c r="H978" s="1"/>
      <c r="I978" s="0" t="n">
        <v>26.3</v>
      </c>
      <c r="J978" s="0" t="n">
        <f aca="false">(I978/32)*5</f>
        <v>4.109375</v>
      </c>
      <c r="L978" s="0" t="n">
        <v>24</v>
      </c>
      <c r="M978" s="0" t="n">
        <v>0</v>
      </c>
      <c r="N978" s="0" t="n">
        <f aca="false">L978</f>
        <v>24</v>
      </c>
      <c r="O978" s="3" t="n">
        <f aca="false">LOOKUP(L978,$AB$3:$AC$123)</f>
        <v>1.099</v>
      </c>
      <c r="P978" s="3" t="n">
        <f aca="false">(O978*(N978/100)*(J978/1000))*1000</f>
        <v>1.08388875</v>
      </c>
      <c r="Q978" s="3"/>
      <c r="R978" s="1"/>
      <c r="S978" s="1"/>
      <c r="T978" s="1"/>
      <c r="U978" s="1"/>
      <c r="V978" s="1"/>
      <c r="W978" s="1"/>
      <c r="X978" s="1"/>
      <c r="Y978" s="5"/>
      <c r="Z978" s="1"/>
    </row>
    <row r="979" customFormat="false" ht="15" hidden="false" customHeight="false" outlineLevel="0" collapsed="false">
      <c r="A979" s="0" t="s">
        <v>65</v>
      </c>
      <c r="B979" s="0" t="s">
        <v>66</v>
      </c>
      <c r="C979" s="0" t="s">
        <v>56</v>
      </c>
      <c r="D979" s="0" t="s">
        <v>148</v>
      </c>
      <c r="E979" s="0" t="n">
        <v>21</v>
      </c>
      <c r="F979" s="0" t="n">
        <v>3</v>
      </c>
      <c r="G979" s="1"/>
      <c r="H979" s="1"/>
      <c r="I979" s="0" t="n">
        <f aca="false">30.5+32</f>
        <v>62.5</v>
      </c>
      <c r="J979" s="0" t="n">
        <f aca="false">(I979/32)*5</f>
        <v>9.765625</v>
      </c>
      <c r="L979" s="0" t="n">
        <v>24.5</v>
      </c>
      <c r="M979" s="0" t="n">
        <v>0</v>
      </c>
      <c r="N979" s="0" t="n">
        <f aca="false">L979</f>
        <v>24.5</v>
      </c>
      <c r="O979" s="3" t="n">
        <f aca="false">LOOKUP(L979,$AB$3:$AC$123)</f>
        <v>1.101275</v>
      </c>
      <c r="P979" s="3" t="n">
        <f aca="false">(O979*(N979/100)*(J979/1000))*1000</f>
        <v>2.63488647460937</v>
      </c>
      <c r="Q979" s="3"/>
      <c r="R979" s="1"/>
      <c r="S979" s="1"/>
      <c r="T979" s="1"/>
      <c r="U979" s="1"/>
      <c r="V979" s="1"/>
      <c r="W979" s="1"/>
      <c r="X979" s="1"/>
      <c r="Y979" s="5"/>
      <c r="Z979" s="1"/>
    </row>
    <row r="980" customFormat="false" ht="15" hidden="false" customHeight="false" outlineLevel="0" collapsed="false">
      <c r="A980" s="0" t="s">
        <v>67</v>
      </c>
      <c r="B980" s="0" t="s">
        <v>68</v>
      </c>
      <c r="C980" s="0" t="s">
        <v>56</v>
      </c>
      <c r="D980" s="0" t="s">
        <v>148</v>
      </c>
      <c r="E980" s="0" t="n">
        <v>21</v>
      </c>
      <c r="F980" s="0" t="n">
        <v>1</v>
      </c>
      <c r="G980" s="1"/>
      <c r="H980" s="1"/>
      <c r="I980" s="0" t="n">
        <v>62.8</v>
      </c>
      <c r="J980" s="0" t="n">
        <f aca="false">(I980/32)*5</f>
        <v>9.8125</v>
      </c>
      <c r="L980" s="0" t="n">
        <v>26.5</v>
      </c>
      <c r="M980" s="0" t="n">
        <v>0</v>
      </c>
      <c r="N980" s="0" t="n">
        <f aca="false">L980</f>
        <v>26.5</v>
      </c>
      <c r="O980" s="3" t="n">
        <f aca="false">LOOKUP(L980,$AB$3:$AC$123)</f>
        <v>1.11045</v>
      </c>
      <c r="P980" s="3" t="n">
        <f aca="false">(O980*(N980/100)*(J980/1000))*1000</f>
        <v>2.887517015625</v>
      </c>
      <c r="Q980" s="3"/>
      <c r="R980" s="1"/>
      <c r="S980" s="1"/>
      <c r="T980" s="1"/>
      <c r="U980" s="1"/>
      <c r="V980" s="1"/>
      <c r="W980" s="1"/>
      <c r="X980" s="1"/>
      <c r="Y980" s="5"/>
      <c r="Z980" s="1"/>
    </row>
    <row r="981" customFormat="false" ht="15" hidden="false" customHeight="false" outlineLevel="0" collapsed="false">
      <c r="A981" s="0" t="s">
        <v>69</v>
      </c>
      <c r="B981" s="0" t="s">
        <v>70</v>
      </c>
      <c r="C981" s="0" t="s">
        <v>56</v>
      </c>
      <c r="D981" s="0" t="s">
        <v>148</v>
      </c>
      <c r="E981" s="0" t="n">
        <v>21</v>
      </c>
      <c r="F981" s="0" t="n">
        <v>2</v>
      </c>
      <c r="G981" s="1"/>
      <c r="H981" s="1"/>
      <c r="I981" s="0" t="n">
        <f aca="false">26.9+12.3</f>
        <v>39.2</v>
      </c>
      <c r="J981" s="0" t="n">
        <f aca="false">(I981/32)*5</f>
        <v>6.125</v>
      </c>
      <c r="L981" s="0" t="n">
        <v>7</v>
      </c>
      <c r="M981" s="0" t="n">
        <v>0</v>
      </c>
      <c r="N981" s="0" t="n">
        <f aca="false">L981</f>
        <v>7</v>
      </c>
      <c r="O981" s="3" t="n">
        <f aca="false">LOOKUP(L981,$AB$3:$AC$123)</f>
        <v>1.0259</v>
      </c>
      <c r="P981" s="3" t="n">
        <f aca="false">(O981*(N981/100)*(J981/1000))*1000</f>
        <v>0.439854625</v>
      </c>
      <c r="Q981" s="3"/>
      <c r="R981" s="1"/>
      <c r="S981" s="1"/>
      <c r="T981" s="1"/>
      <c r="U981" s="1"/>
      <c r="V981" s="1"/>
      <c r="W981" s="1"/>
      <c r="X981" s="1"/>
      <c r="Y981" s="5"/>
      <c r="Z981" s="1"/>
    </row>
    <row r="982" customFormat="false" ht="15" hidden="false" customHeight="false" outlineLevel="0" collapsed="false">
      <c r="A982" s="0" t="s">
        <v>71</v>
      </c>
      <c r="B982" s="0" t="s">
        <v>72</v>
      </c>
      <c r="C982" s="0" t="s">
        <v>56</v>
      </c>
      <c r="D982" s="0" t="s">
        <v>148</v>
      </c>
      <c r="E982" s="0" t="n">
        <v>21</v>
      </c>
      <c r="F982" s="0" t="n">
        <v>0</v>
      </c>
      <c r="G982" s="1"/>
      <c r="H982" s="1"/>
      <c r="I982" s="0" t="n">
        <v>0</v>
      </c>
      <c r="J982" s="0" t="n">
        <f aca="false">(I982/32)*5</f>
        <v>0</v>
      </c>
      <c r="L982" s="0" t="n">
        <v>0</v>
      </c>
      <c r="M982" s="0" t="n">
        <v>0</v>
      </c>
      <c r="N982" s="0" t="n">
        <f aca="false">L982</f>
        <v>0</v>
      </c>
      <c r="O982" s="3" t="n">
        <f aca="false">LOOKUP(L982,$AB$3:$AC$123)</f>
        <v>0.9982</v>
      </c>
      <c r="P982" s="3" t="n">
        <f aca="false">(O982*(N982/100)*(J982/1000))*1000</f>
        <v>0</v>
      </c>
      <c r="Q982" s="3"/>
      <c r="R982" s="1"/>
      <c r="S982" s="1"/>
      <c r="T982" s="1"/>
      <c r="U982" s="1"/>
      <c r="V982" s="1"/>
      <c r="W982" s="1"/>
      <c r="X982" s="1"/>
      <c r="Y982" s="5"/>
      <c r="Z982" s="1"/>
    </row>
    <row r="983" customFormat="false" ht="15" hidden="false" customHeight="false" outlineLevel="0" collapsed="false">
      <c r="A983" s="0" t="s">
        <v>73</v>
      </c>
      <c r="B983" s="0" t="s">
        <v>74</v>
      </c>
      <c r="C983" s="0" t="s">
        <v>56</v>
      </c>
      <c r="D983" s="0" t="s">
        <v>148</v>
      </c>
      <c r="E983" s="0" t="n">
        <v>21</v>
      </c>
      <c r="F983" s="0" t="n">
        <v>0</v>
      </c>
      <c r="G983" s="1"/>
      <c r="H983" s="1"/>
      <c r="I983" s="0" t="n">
        <v>0</v>
      </c>
      <c r="J983" s="0" t="n">
        <f aca="false">(I983/32)*5</f>
        <v>0</v>
      </c>
      <c r="L983" s="0" t="n">
        <v>0</v>
      </c>
      <c r="M983" s="0" t="n">
        <v>0</v>
      </c>
      <c r="N983" s="0" t="n">
        <f aca="false">L983</f>
        <v>0</v>
      </c>
      <c r="O983" s="3" t="n">
        <f aca="false">LOOKUP(L983,$AB$3:$AC$123)</f>
        <v>0.9982</v>
      </c>
      <c r="P983" s="3" t="n">
        <f aca="false">(O983*(N983/100)*(J983/1000))*1000</f>
        <v>0</v>
      </c>
      <c r="Q983" s="3"/>
      <c r="R983" s="1"/>
      <c r="S983" s="1"/>
      <c r="T983" s="1"/>
      <c r="U983" s="1"/>
      <c r="V983" s="1"/>
      <c r="W983" s="1"/>
      <c r="X983" s="1"/>
      <c r="Y983" s="5"/>
      <c r="Z983" s="1"/>
    </row>
    <row r="984" customFormat="false" ht="15" hidden="false" customHeight="false" outlineLevel="0" collapsed="false">
      <c r="A984" s="0" t="s">
        <v>75</v>
      </c>
      <c r="B984" s="0" t="s">
        <v>76</v>
      </c>
      <c r="C984" s="0" t="s">
        <v>56</v>
      </c>
      <c r="D984" s="0" t="s">
        <v>148</v>
      </c>
      <c r="E984" s="0" t="n">
        <v>21</v>
      </c>
      <c r="F984" s="0" t="n">
        <v>1</v>
      </c>
      <c r="G984" s="1"/>
      <c r="H984" s="1"/>
      <c r="I984" s="0" t="n">
        <v>16.5</v>
      </c>
      <c r="J984" s="0" t="n">
        <f aca="false">(I984/32)*5</f>
        <v>2.578125</v>
      </c>
      <c r="L984" s="0" t="n">
        <v>25</v>
      </c>
      <c r="M984" s="0" t="n">
        <v>0</v>
      </c>
      <c r="N984" s="0" t="n">
        <f aca="false">L984</f>
        <v>25</v>
      </c>
      <c r="O984" s="3" t="n">
        <f aca="false">LOOKUP(L984,$AB$3:$AC$123)</f>
        <v>1.10355</v>
      </c>
      <c r="P984" s="3" t="n">
        <f aca="false">(O984*(N984/100)*(J984/1000))*1000</f>
        <v>0.7112724609375</v>
      </c>
      <c r="Q984" s="3"/>
      <c r="R984" s="1"/>
      <c r="S984" s="1"/>
      <c r="T984" s="1"/>
      <c r="U984" s="1"/>
      <c r="V984" s="1"/>
      <c r="W984" s="1"/>
      <c r="X984" s="1"/>
      <c r="Y984" s="5"/>
      <c r="Z984" s="1"/>
    </row>
    <row r="985" customFormat="false" ht="15" hidden="false" customHeight="false" outlineLevel="0" collapsed="false">
      <c r="A985" s="0" t="s">
        <v>77</v>
      </c>
      <c r="B985" s="0" t="s">
        <v>78</v>
      </c>
      <c r="C985" s="0" t="s">
        <v>56</v>
      </c>
      <c r="D985" s="0" t="s">
        <v>148</v>
      </c>
      <c r="E985" s="0" t="n">
        <v>21</v>
      </c>
      <c r="F985" s="0" t="n">
        <v>1</v>
      </c>
      <c r="G985" s="1"/>
      <c r="H985" s="1"/>
      <c r="I985" s="0" t="n">
        <v>18.4</v>
      </c>
      <c r="J985" s="0" t="n">
        <f aca="false">(I985/32)*5</f>
        <v>2.875</v>
      </c>
      <c r="L985" s="0" t="n">
        <v>23.5</v>
      </c>
      <c r="M985" s="0" t="n">
        <v>0</v>
      </c>
      <c r="N985" s="0" t="n">
        <f aca="false">L985</f>
        <v>23.5</v>
      </c>
      <c r="O985" s="3" t="n">
        <f aca="false">LOOKUP(L985,$AB$3:$AC$123)</f>
        <v>1.096725</v>
      </c>
      <c r="P985" s="3" t="n">
        <f aca="false">(O985*(N985/100)*(J985/1000))*1000</f>
        <v>0.740974828125</v>
      </c>
      <c r="Q985" s="3"/>
      <c r="R985" s="1"/>
      <c r="S985" s="1"/>
      <c r="T985" s="1"/>
      <c r="U985" s="1"/>
      <c r="V985" s="1"/>
      <c r="W985" s="1"/>
      <c r="X985" s="1"/>
      <c r="Y985" s="5"/>
      <c r="Z985" s="1"/>
    </row>
    <row r="986" customFormat="false" ht="15" hidden="false" customHeight="false" outlineLevel="0" collapsed="false">
      <c r="A986" s="0" t="s">
        <v>79</v>
      </c>
      <c r="B986" s="0" t="s">
        <v>80</v>
      </c>
      <c r="C986" s="0" t="s">
        <v>81</v>
      </c>
      <c r="D986" s="0" t="s">
        <v>148</v>
      </c>
      <c r="E986" s="0" t="n">
        <v>21</v>
      </c>
      <c r="F986" s="0" t="n">
        <v>0</v>
      </c>
      <c r="G986" s="1"/>
      <c r="H986" s="1"/>
      <c r="I986" s="0" t="n">
        <v>0</v>
      </c>
      <c r="J986" s="0" t="n">
        <f aca="false">(I986/32)*5</f>
        <v>0</v>
      </c>
      <c r="L986" s="0" t="n">
        <v>0</v>
      </c>
      <c r="M986" s="0" t="n">
        <v>0</v>
      </c>
      <c r="N986" s="0" t="n">
        <f aca="false">L986</f>
        <v>0</v>
      </c>
      <c r="O986" s="3" t="n">
        <f aca="false">LOOKUP(L986,$AB$3:$AC$123)</f>
        <v>0.9982</v>
      </c>
      <c r="P986" s="3" t="n">
        <f aca="false">(O986*(N986/100)*(J986/1000))*1000</f>
        <v>0</v>
      </c>
      <c r="Q986" s="3"/>
      <c r="R986" s="0" t="n">
        <v>2</v>
      </c>
      <c r="S986" s="0" t="n">
        <v>6.7</v>
      </c>
      <c r="T986" s="0" t="n">
        <f aca="false">(S986/32)*5</f>
        <v>1.046875</v>
      </c>
      <c r="V986" s="0" t="n">
        <v>6.5</v>
      </c>
      <c r="W986" s="0" t="n">
        <v>4</v>
      </c>
      <c r="X986" s="3" t="n">
        <f aca="false">LOOKUP(V986,$AB$3:$AC$123)</f>
        <v>1.02385</v>
      </c>
      <c r="Y986" s="2" t="n">
        <f aca="false">(V986*((W986+T986)/1000)*X986)/((((W986+T986)/1000)*X986)-((W986/1000)*0.9982))</f>
        <v>28.5983059123108</v>
      </c>
      <c r="Z986" s="3" t="n">
        <f aca="false">(X986*(V986/100)*((W986+T986)/1000))*1000</f>
        <v>0.33587079296875</v>
      </c>
    </row>
    <row r="987" customFormat="false" ht="15" hidden="false" customHeight="false" outlineLevel="0" collapsed="false">
      <c r="A987" s="0" t="s">
        <v>82</v>
      </c>
      <c r="B987" s="0" t="s">
        <v>83</v>
      </c>
      <c r="C987" s="0" t="s">
        <v>81</v>
      </c>
      <c r="D987" s="0" t="s">
        <v>148</v>
      </c>
      <c r="E987" s="0" t="n">
        <v>21</v>
      </c>
      <c r="F987" s="0" t="n">
        <v>2</v>
      </c>
      <c r="G987" s="1"/>
      <c r="H987" s="1"/>
      <c r="I987" s="0" t="n">
        <f aca="false">64+13.4</f>
        <v>77.4</v>
      </c>
      <c r="J987" s="0" t="n">
        <f aca="false">(I987/32)*5</f>
        <v>12.09375</v>
      </c>
      <c r="L987" s="0" t="n">
        <v>26</v>
      </c>
      <c r="M987" s="0" t="n">
        <v>0</v>
      </c>
      <c r="N987" s="0" t="n">
        <f aca="false">L987</f>
        <v>26</v>
      </c>
      <c r="O987" s="3" t="n">
        <f aca="false">LOOKUP(L987,$AB$3:$AC$123)</f>
        <v>1.1081</v>
      </c>
      <c r="P987" s="3" t="n">
        <f aca="false">(O987*(N987/100)*(J987/1000))*1000</f>
        <v>3.4842819375</v>
      </c>
      <c r="Q987" s="3"/>
      <c r="R987" s="0" t="n">
        <v>4</v>
      </c>
      <c r="S987" s="0" t="n">
        <v>21.5</v>
      </c>
      <c r="T987" s="0" t="n">
        <f aca="false">(S987/32)*5</f>
        <v>3.359375</v>
      </c>
      <c r="V987" s="0" t="n">
        <v>27</v>
      </c>
      <c r="W987" s="0" t="n">
        <v>8</v>
      </c>
      <c r="X987" s="3" t="n">
        <f aca="false">LOOKUP(V987,$AB$3:$AC$123)</f>
        <v>1.1128</v>
      </c>
      <c r="Y987" s="2" t="n">
        <f aca="false">(V987*((W987+T987)/1000)*X987)/((((W987+T987)/1000)*X987)-((W987/1000)*0.9982))</f>
        <v>73.3170761179241</v>
      </c>
      <c r="Z987" s="3" t="n">
        <f aca="false">(X987*(V987/100)*((W987+T987)/1000))*1000</f>
        <v>3.412992375</v>
      </c>
    </row>
    <row r="988" customFormat="false" ht="15" hidden="false" customHeight="false" outlineLevel="0" collapsed="false">
      <c r="A988" s="0" t="s">
        <v>84</v>
      </c>
      <c r="B988" s="0" t="s">
        <v>85</v>
      </c>
      <c r="C988" s="0" t="s">
        <v>81</v>
      </c>
      <c r="D988" s="0" t="s">
        <v>148</v>
      </c>
      <c r="E988" s="0" t="n">
        <v>21</v>
      </c>
      <c r="F988" s="0" t="n">
        <v>0</v>
      </c>
      <c r="G988" s="1"/>
      <c r="H988" s="1"/>
      <c r="I988" s="0" t="n">
        <v>0</v>
      </c>
      <c r="J988" s="0" t="n">
        <f aca="false">(I988/32)*5</f>
        <v>0</v>
      </c>
      <c r="L988" s="0" t="n">
        <v>0</v>
      </c>
      <c r="M988" s="0" t="n">
        <v>0</v>
      </c>
      <c r="N988" s="0" t="n">
        <f aca="false">L988</f>
        <v>0</v>
      </c>
      <c r="O988" s="3" t="n">
        <f aca="false">LOOKUP(L988,$AB$3:$AC$123)</f>
        <v>0.9982</v>
      </c>
      <c r="P988" s="3" t="n">
        <f aca="false">(O988*(N988/100)*(J988/1000))*1000</f>
        <v>0</v>
      </c>
      <c r="Q988" s="3"/>
      <c r="R988" s="0" t="n">
        <v>7</v>
      </c>
      <c r="S988" s="0" t="n">
        <v>14.3</v>
      </c>
      <c r="T988" s="0" t="n">
        <f aca="false">(S988/32)*5</f>
        <v>2.234375</v>
      </c>
      <c r="V988" s="0" t="n">
        <v>29.5</v>
      </c>
      <c r="W988" s="0" t="n">
        <v>4</v>
      </c>
      <c r="X988" s="3" t="n">
        <f aca="false">LOOKUP(V988,$AB$3:$AC$123)</f>
        <v>1.124625</v>
      </c>
      <c r="Y988" s="2" t="n">
        <f aca="false">(V988*((W988+T988)/1000)*X988)/((((W988+T988)/1000)*X988)-((W988/1000)*0.9982))</f>
        <v>68.5214589630961</v>
      </c>
      <c r="Z988" s="3" t="n">
        <f aca="false">(X988*(V988/100)*((W988+T988)/1000))*1000</f>
        <v>2.06834352539062</v>
      </c>
    </row>
    <row r="989" customFormat="false" ht="15" hidden="false" customHeight="false" outlineLevel="0" collapsed="false">
      <c r="A989" s="0" t="s">
        <v>86</v>
      </c>
      <c r="B989" s="0" t="s">
        <v>87</v>
      </c>
      <c r="C989" s="0" t="s">
        <v>81</v>
      </c>
      <c r="D989" s="0" t="s">
        <v>148</v>
      </c>
      <c r="E989" s="0" t="n">
        <v>21</v>
      </c>
      <c r="F989" s="0" t="n">
        <v>1</v>
      </c>
      <c r="G989" s="1"/>
      <c r="H989" s="1"/>
      <c r="I989" s="0" t="n">
        <f aca="false">32+17.9</f>
        <v>49.9</v>
      </c>
      <c r="J989" s="0" t="n">
        <f aca="false">(I989/32)*5</f>
        <v>7.796875</v>
      </c>
      <c r="L989" s="0" t="n">
        <v>22</v>
      </c>
      <c r="M989" s="0" t="n">
        <v>0</v>
      </c>
      <c r="N989" s="0" t="n">
        <f aca="false">L989</f>
        <v>22</v>
      </c>
      <c r="O989" s="3" t="n">
        <f aca="false">LOOKUP(L989,$AB$3:$AC$123)</f>
        <v>1.0899</v>
      </c>
      <c r="P989" s="3" t="n">
        <f aca="false">(O989*(N989/100)*(J989/1000))*1000</f>
        <v>1.86951909375</v>
      </c>
      <c r="Q989" s="3"/>
      <c r="R989" s="0" t="n">
        <v>5</v>
      </c>
      <c r="S989" s="0" t="n">
        <v>10</v>
      </c>
      <c r="T989" s="0" t="n">
        <f aca="false">(S989/32)*5</f>
        <v>1.5625</v>
      </c>
      <c r="V989" s="0" t="n">
        <v>16.5</v>
      </c>
      <c r="W989" s="0" t="n">
        <v>4</v>
      </c>
      <c r="X989" s="3" t="n">
        <f aca="false">LOOKUP(V989,$AB$3:$AC$123)</f>
        <v>1.06565</v>
      </c>
      <c r="Y989" s="2" t="n">
        <f aca="false">(V989*((W989+T989)/1000)*X989)/((((W989+T989)/1000)*X989)-((W989/1000)*0.9982))</f>
        <v>50.5492763594607</v>
      </c>
      <c r="Z989" s="3" t="n">
        <f aca="false">(X989*(V989/100)*((W989+T989)/1000))*1000</f>
        <v>0.978066890625</v>
      </c>
    </row>
    <row r="990" customFormat="false" ht="15" hidden="false" customHeight="false" outlineLevel="0" collapsed="false">
      <c r="A990" s="0" t="s">
        <v>88</v>
      </c>
      <c r="B990" s="0" t="s">
        <v>89</v>
      </c>
      <c r="C990" s="0" t="s">
        <v>81</v>
      </c>
      <c r="D990" s="0" t="s">
        <v>148</v>
      </c>
      <c r="E990" s="0" t="n">
        <v>21</v>
      </c>
      <c r="F990" s="0" t="n">
        <v>0</v>
      </c>
      <c r="G990" s="1"/>
      <c r="H990" s="1"/>
      <c r="I990" s="0" t="n">
        <v>0</v>
      </c>
      <c r="J990" s="0" t="n">
        <f aca="false">(I990/32)*5</f>
        <v>0</v>
      </c>
      <c r="L990" s="0" t="n">
        <v>0</v>
      </c>
      <c r="M990" s="0" t="n">
        <v>0</v>
      </c>
      <c r="N990" s="0" t="n">
        <f aca="false">L990</f>
        <v>0</v>
      </c>
      <c r="O990" s="3" t="n">
        <f aca="false">LOOKUP(L990,$AB$3:$AC$123)</f>
        <v>0.9982</v>
      </c>
      <c r="P990" s="3" t="n">
        <f aca="false">(O990*(N990/100)*(J990/1000))*1000</f>
        <v>0</v>
      </c>
      <c r="Q990" s="3"/>
      <c r="R990" s="0" t="n">
        <v>5</v>
      </c>
      <c r="S990" s="0" t="n">
        <v>18.9</v>
      </c>
      <c r="T990" s="0" t="n">
        <f aca="false">(S990/32)*5</f>
        <v>2.953125</v>
      </c>
      <c r="V990" s="0" t="n">
        <v>38</v>
      </c>
      <c r="W990" s="0" t="n">
        <v>4</v>
      </c>
      <c r="X990" s="3" t="n">
        <f aca="false">LOOKUP(V990,$AB$3:$AC$123)</f>
        <v>1.1663</v>
      </c>
      <c r="Y990" s="2" t="n">
        <f aca="false">(V990*((W990+T990)/1000)*X990)/((((W990+T990)/1000)*X990)-((W990/1000)*0.9982))</f>
        <v>74.8569464629553</v>
      </c>
      <c r="Z990" s="3" t="n">
        <f aca="false">(X990*(V990/100)*((W990+T990)/1000))*1000</f>
        <v>3.08158328125</v>
      </c>
    </row>
    <row r="991" customFormat="false" ht="15" hidden="false" customHeight="false" outlineLevel="0" collapsed="false">
      <c r="A991" s="0" t="s">
        <v>90</v>
      </c>
      <c r="B991" s="0" t="s">
        <v>91</v>
      </c>
      <c r="C991" s="0" t="s">
        <v>81</v>
      </c>
      <c r="D991" s="0" t="s">
        <v>148</v>
      </c>
      <c r="E991" s="0" t="n">
        <v>21</v>
      </c>
      <c r="F991" s="0" t="n">
        <v>0</v>
      </c>
      <c r="G991" s="1"/>
      <c r="H991" s="1"/>
      <c r="I991" s="0" t="n">
        <v>0</v>
      </c>
      <c r="J991" s="0" t="n">
        <f aca="false">(I991/32)*5</f>
        <v>0</v>
      </c>
      <c r="L991" s="0" t="n">
        <v>0</v>
      </c>
      <c r="M991" s="0" t="n">
        <v>0</v>
      </c>
      <c r="N991" s="0" t="n">
        <f aca="false">L991</f>
        <v>0</v>
      </c>
      <c r="O991" s="3" t="n">
        <f aca="false">LOOKUP(L991,$AB$3:$AC$123)</f>
        <v>0.9982</v>
      </c>
      <c r="P991" s="3" t="n">
        <f aca="false">(O991*(N991/100)*(J991/1000))*1000</f>
        <v>0</v>
      </c>
      <c r="Q991" s="3"/>
      <c r="R991" s="0" t="n">
        <v>4</v>
      </c>
      <c r="S991" s="0" t="n">
        <v>16.1</v>
      </c>
      <c r="T991" s="0" t="n">
        <f aca="false">(S991/32)*5</f>
        <v>2.515625</v>
      </c>
      <c r="V991" s="0" t="n">
        <v>25</v>
      </c>
      <c r="W991" s="0" t="n">
        <v>5</v>
      </c>
      <c r="X991" s="3" t="n">
        <f aca="false">LOOKUP(V991,$AB$3:$AC$123)</f>
        <v>1.10355</v>
      </c>
      <c r="Y991" s="2" t="n">
        <f aca="false">(V991*((W991+T991)/1000)*X991)/((((W991+T991)/1000)*X991)-((W991/1000)*0.9982))</f>
        <v>62.7777740983156</v>
      </c>
      <c r="Z991" s="3" t="n">
        <f aca="false">(X991*(V991/100)*((W991+T991)/1000))*1000</f>
        <v>2.0734669921875</v>
      </c>
    </row>
    <row r="992" customFormat="false" ht="15" hidden="false" customHeight="false" outlineLevel="0" collapsed="false">
      <c r="A992" s="0" t="s">
        <v>92</v>
      </c>
      <c r="B992" s="0" t="s">
        <v>93</v>
      </c>
      <c r="C992" s="0" t="s">
        <v>81</v>
      </c>
      <c r="D992" s="0" t="s">
        <v>148</v>
      </c>
      <c r="E992" s="0" t="n">
        <v>21</v>
      </c>
      <c r="F992" s="0" t="n">
        <v>1</v>
      </c>
      <c r="G992" s="1"/>
      <c r="H992" s="1"/>
      <c r="I992" s="0" t="n">
        <v>38.8</v>
      </c>
      <c r="J992" s="0" t="n">
        <f aca="false">(I992/32)*5</f>
        <v>6.0625</v>
      </c>
      <c r="L992" s="0" t="n">
        <v>23</v>
      </c>
      <c r="M992" s="0" t="n">
        <v>0</v>
      </c>
      <c r="N992" s="0" t="n">
        <f aca="false">L992</f>
        <v>23</v>
      </c>
      <c r="O992" s="3" t="n">
        <f aca="false">LOOKUP(L992,$AB$3:$AC$123)</f>
        <v>1.09445</v>
      </c>
      <c r="P992" s="3" t="n">
        <f aca="false">(O992*(N992/100)*(J992/1000))*1000</f>
        <v>1.52607371875</v>
      </c>
      <c r="Q992" s="3"/>
      <c r="R992" s="0" t="n">
        <v>4</v>
      </c>
      <c r="S992" s="0" t="n">
        <v>7.8</v>
      </c>
      <c r="T992" s="0" t="n">
        <f aca="false">(S992/32)*5</f>
        <v>1.21875</v>
      </c>
      <c r="V992" s="0" t="n">
        <v>18.5</v>
      </c>
      <c r="W992" s="0" t="n">
        <v>4</v>
      </c>
      <c r="X992" s="3" t="n">
        <f aca="false">LOOKUP(V992,$AB$3:$AC$123)</f>
        <v>1.07435</v>
      </c>
      <c r="Y992" s="2" t="n">
        <f aca="false">(V992*((W992+T992)/1000)*X992)/((((W992+T992)/1000)*X992)-((W992/1000)*0.9982))</f>
        <v>64.2673139794586</v>
      </c>
      <c r="Z992" s="3" t="n">
        <f aca="false">(X992*(V992/100)*((W992+T992)/1000))*1000</f>
        <v>1.0372513515625</v>
      </c>
    </row>
    <row r="993" customFormat="false" ht="15" hidden="false" customHeight="false" outlineLevel="0" collapsed="false">
      <c r="A993" s="0" t="s">
        <v>94</v>
      </c>
      <c r="B993" s="0" t="s">
        <v>95</v>
      </c>
      <c r="C993" s="0" t="s">
        <v>81</v>
      </c>
      <c r="D993" s="0" t="s">
        <v>148</v>
      </c>
      <c r="E993" s="0" t="n">
        <v>21</v>
      </c>
      <c r="F993" s="0" t="n">
        <v>3</v>
      </c>
      <c r="G993" s="1"/>
      <c r="H993" s="1"/>
      <c r="I993" s="0" t="n">
        <f aca="false">64+64+1.3</f>
        <v>129.3</v>
      </c>
      <c r="J993" s="0" t="n">
        <f aca="false">(I993/32)*5</f>
        <v>20.203125</v>
      </c>
      <c r="L993" s="0" t="n">
        <v>24</v>
      </c>
      <c r="M993" s="0" t="n">
        <v>0</v>
      </c>
      <c r="N993" s="0" t="n">
        <f aca="false">L993</f>
        <v>24</v>
      </c>
      <c r="O993" s="3" t="n">
        <f aca="false">LOOKUP(L993,$AB$3:$AC$123)</f>
        <v>1.099</v>
      </c>
      <c r="P993" s="3" t="n">
        <f aca="false">(O993*(N993/100)*(J993/1000))*1000</f>
        <v>5.32877625</v>
      </c>
      <c r="Q993" s="3"/>
      <c r="R993" s="0" t="n">
        <v>8</v>
      </c>
      <c r="S993" s="0" t="n">
        <v>28.6</v>
      </c>
      <c r="T993" s="0" t="n">
        <f aca="false">(S993/32)*5</f>
        <v>4.46875</v>
      </c>
      <c r="V993" s="0" t="n">
        <v>42</v>
      </c>
      <c r="W993" s="0" t="n">
        <v>4</v>
      </c>
      <c r="X993" s="3" t="n">
        <f aca="false">LOOKUP(V993,$AB$3:$AC$123)</f>
        <v>1.1867</v>
      </c>
      <c r="Y993" s="2" t="n">
        <f aca="false">(V993*((W993+T993)/1000)*X993)/((((W993+T993)/1000)*X993)-((W993/1000)*0.9982))</f>
        <v>69.6862775446651</v>
      </c>
      <c r="Z993" s="3" t="n">
        <f aca="false">(X993*(V993/100)*((W993+T993)/1000))*1000</f>
        <v>4.2209435625</v>
      </c>
    </row>
    <row r="994" customFormat="false" ht="15" hidden="false" customHeight="false" outlineLevel="0" collapsed="false">
      <c r="A994" s="0" t="s">
        <v>96</v>
      </c>
      <c r="B994" s="0" t="s">
        <v>97</v>
      </c>
      <c r="C994" s="0" t="s">
        <v>81</v>
      </c>
      <c r="D994" s="0" t="s">
        <v>148</v>
      </c>
      <c r="E994" s="0" t="n">
        <v>21</v>
      </c>
      <c r="F994" s="0" t="n">
        <v>1</v>
      </c>
      <c r="G994" s="1"/>
      <c r="H994" s="1"/>
      <c r="I994" s="0" t="n">
        <v>64</v>
      </c>
      <c r="J994" s="0" t="n">
        <f aca="false">(I994/32)*5</f>
        <v>10</v>
      </c>
      <c r="L994" s="0" t="n">
        <v>18</v>
      </c>
      <c r="M994" s="0" t="n">
        <v>0</v>
      </c>
      <c r="N994" s="0" t="n">
        <f aca="false">L994</f>
        <v>18</v>
      </c>
      <c r="O994" s="3" t="n">
        <f aca="false">LOOKUP(L994,$AB$3:$AC$123)</f>
        <v>1.0722</v>
      </c>
      <c r="P994" s="3" t="n">
        <f aca="false">(O994*(N994/100)*(J994/1000))*1000</f>
        <v>1.92996</v>
      </c>
      <c r="Q994" s="3"/>
      <c r="R994" s="0" t="n">
        <v>2</v>
      </c>
      <c r="S994" s="0" t="n">
        <v>2.8</v>
      </c>
      <c r="T994" s="0" t="n">
        <f aca="false">(S994/32)*5</f>
        <v>0.4375</v>
      </c>
      <c r="V994" s="0" t="n">
        <v>10</v>
      </c>
      <c r="W994" s="0" t="n">
        <v>4</v>
      </c>
      <c r="X994" s="3" t="n">
        <f aca="false">LOOKUP(V994,$AB$3:$AC$123)</f>
        <v>1.0381</v>
      </c>
      <c r="Y994" s="2" t="n">
        <f aca="false">(V994*((W994+T994)/1000)*X994)/((((W994+T994)/1000)*X994)-((W994/1000)*0.9982))</f>
        <v>75.0538170931643</v>
      </c>
      <c r="Z994" s="3" t="n">
        <f aca="false">(X994*(V994/100)*((W994+T994)/1000))*1000</f>
        <v>0.460656875</v>
      </c>
    </row>
    <row r="995" customFormat="false" ht="15" hidden="false" customHeight="false" outlineLevel="0" collapsed="false">
      <c r="A995" s="0" t="s">
        <v>98</v>
      </c>
      <c r="B995" s="0" t="s">
        <v>99</v>
      </c>
      <c r="C995" s="0" t="s">
        <v>81</v>
      </c>
      <c r="D995" s="0" t="s">
        <v>148</v>
      </c>
      <c r="E995" s="0" t="n">
        <v>21</v>
      </c>
      <c r="F995" s="0" t="n">
        <v>0</v>
      </c>
      <c r="G995" s="1"/>
      <c r="H995" s="1"/>
      <c r="I995" s="0" t="n">
        <v>0</v>
      </c>
      <c r="J995" s="0" t="n">
        <f aca="false">(I995/32)*5</f>
        <v>0</v>
      </c>
      <c r="L995" s="0" t="n">
        <v>0</v>
      </c>
      <c r="M995" s="0" t="n">
        <v>0</v>
      </c>
      <c r="N995" s="0" t="n">
        <f aca="false">L995</f>
        <v>0</v>
      </c>
      <c r="O995" s="3" t="n">
        <f aca="false">LOOKUP(L995,$AB$3:$AC$123)</f>
        <v>0.9982</v>
      </c>
      <c r="P995" s="3" t="n">
        <f aca="false">(O995*(N995/100)*(J995/1000))*1000</f>
        <v>0</v>
      </c>
      <c r="Q995" s="3"/>
      <c r="R995" s="0" t="n">
        <v>6</v>
      </c>
      <c r="S995" s="0" t="n">
        <v>16.1</v>
      </c>
      <c r="T995" s="0" t="n">
        <f aca="false">(S995/32)*5</f>
        <v>2.515625</v>
      </c>
      <c r="V995" s="0" t="n">
        <v>29</v>
      </c>
      <c r="W995" s="0" t="n">
        <v>4</v>
      </c>
      <c r="X995" s="3" t="n">
        <f aca="false">LOOKUP(V995,$AB$3:$AC$123)</f>
        <v>1.12225</v>
      </c>
      <c r="Y995" s="2" t="n">
        <f aca="false">(V995*((W995+T995)/1000)*X995)/((((W995+T995)/1000)*X995)-((W995/1000)*0.9982))</f>
        <v>63.8835903756866</v>
      </c>
      <c r="Z995" s="3" t="n">
        <f aca="false">(X995*(V995/100)*((W995+T995)/1000))*1000</f>
        <v>2.1205264453125</v>
      </c>
    </row>
    <row r="996" customFormat="false" ht="15" hidden="false" customHeight="false" outlineLevel="0" collapsed="false">
      <c r="A996" s="0" t="s">
        <v>100</v>
      </c>
      <c r="B996" s="0" t="s">
        <v>101</v>
      </c>
      <c r="C996" s="0" t="s">
        <v>81</v>
      </c>
      <c r="D996" s="0" t="s">
        <v>148</v>
      </c>
      <c r="E996" s="0" t="n">
        <v>21</v>
      </c>
      <c r="F996" s="0" t="n">
        <v>0</v>
      </c>
      <c r="G996" s="1"/>
      <c r="H996" s="1"/>
      <c r="I996" s="0" t="n">
        <v>0</v>
      </c>
      <c r="J996" s="0" t="n">
        <f aca="false">(I996/32)*5</f>
        <v>0</v>
      </c>
      <c r="L996" s="0" t="n">
        <v>0</v>
      </c>
      <c r="M996" s="0" t="n">
        <v>0</v>
      </c>
      <c r="N996" s="0" t="n">
        <f aca="false">L996</f>
        <v>0</v>
      </c>
      <c r="O996" s="3" t="n">
        <f aca="false">LOOKUP(L996,$AB$3:$AC$123)</f>
        <v>0.9982</v>
      </c>
      <c r="P996" s="3" t="n">
        <f aca="false">(O996*(N996/100)*(J996/1000))*1000</f>
        <v>0</v>
      </c>
      <c r="Q996" s="3"/>
      <c r="R996" s="0" t="n">
        <v>2</v>
      </c>
      <c r="S996" s="0" t="n">
        <v>4.2</v>
      </c>
      <c r="T996" s="0" t="n">
        <f aca="false">(S996/32)*5</f>
        <v>0.65625</v>
      </c>
      <c r="V996" s="0" t="n">
        <v>17.5</v>
      </c>
      <c r="W996" s="0" t="n">
        <v>4</v>
      </c>
      <c r="X996" s="3" t="n">
        <f aca="false">LOOKUP(V996,$AB$3:$AC$123)</f>
        <v>1.07</v>
      </c>
      <c r="Y996" s="2" t="n">
        <f aca="false">(V996*((W996+T996)/1000)*X996)/((((W996+T996)/1000)*X996)-((W996/1000)*0.9982))</f>
        <v>88.1234918067998</v>
      </c>
      <c r="Z996" s="3" t="n">
        <f aca="false">(X996*(V996/100)*((W996+T996)/1000))*1000</f>
        <v>0.8718828125</v>
      </c>
    </row>
    <row r="997" customFormat="false" ht="15" hidden="false" customHeight="false" outlineLevel="0" collapsed="false">
      <c r="A997" s="0" t="s">
        <v>102</v>
      </c>
      <c r="B997" s="0" t="s">
        <v>103</v>
      </c>
      <c r="C997" s="0" t="s">
        <v>81</v>
      </c>
      <c r="D997" s="0" t="s">
        <v>148</v>
      </c>
      <c r="E997" s="0" t="n">
        <v>21</v>
      </c>
      <c r="F997" s="0" t="n">
        <v>2</v>
      </c>
      <c r="G997" s="1"/>
      <c r="H997" s="1"/>
      <c r="I997" s="0" t="n">
        <f aca="false">32*4</f>
        <v>128</v>
      </c>
      <c r="J997" s="0" t="n">
        <f aca="false">(I997/32)*5</f>
        <v>20</v>
      </c>
      <c r="L997" s="0" t="n">
        <v>22.5</v>
      </c>
      <c r="M997" s="0" t="n">
        <v>0</v>
      </c>
      <c r="N997" s="0" t="n">
        <f aca="false">L997</f>
        <v>22.5</v>
      </c>
      <c r="O997" s="3" t="n">
        <f aca="false">LOOKUP(L997,$AB$3:$AC$123)</f>
        <v>1.092175</v>
      </c>
      <c r="P997" s="3" t="n">
        <f aca="false">(O997*(N997/100)*(J997/1000))*1000</f>
        <v>4.9147875</v>
      </c>
      <c r="Q997" s="3"/>
      <c r="R997" s="0" t="n">
        <v>6</v>
      </c>
      <c r="S997" s="0" t="n">
        <v>15.5</v>
      </c>
      <c r="T997" s="0" t="n">
        <f aca="false">(S997/32)*5</f>
        <v>2.421875</v>
      </c>
      <c r="V997" s="0" t="n">
        <v>36.5</v>
      </c>
      <c r="W997" s="0" t="n">
        <v>4</v>
      </c>
      <c r="X997" s="3" t="n">
        <f aca="false">LOOKUP(V997,$AB$3:$AC$123)</f>
        <v>1.158725</v>
      </c>
      <c r="Y997" s="2" t="n">
        <f aca="false">(V997*((W997+T997)/1000)*X997)/((((W997+T997)/1000)*X997)-((W997/1000)*0.9982))</f>
        <v>78.7624245415458</v>
      </c>
      <c r="Z997" s="3" t="n">
        <f aca="false">(X997*(V997/100)*((W997+T997)/1000))*1000</f>
        <v>2.71603329492187</v>
      </c>
    </row>
    <row r="998" customFormat="false" ht="15" hidden="false" customHeight="false" outlineLevel="0" collapsed="false">
      <c r="A998" s="0" t="s">
        <v>104</v>
      </c>
      <c r="B998" s="0" t="s">
        <v>105</v>
      </c>
      <c r="C998" s="0" t="s">
        <v>106</v>
      </c>
      <c r="D998" s="0" t="s">
        <v>148</v>
      </c>
      <c r="E998" s="0" t="n">
        <v>21</v>
      </c>
      <c r="F998" s="0" t="n">
        <v>0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0" t="n">
        <v>13</v>
      </c>
      <c r="S998" s="1"/>
      <c r="T998" s="1"/>
      <c r="U998" s="1"/>
      <c r="V998" s="1"/>
      <c r="W998" s="1"/>
      <c r="X998" s="1"/>
      <c r="Y998" s="5"/>
      <c r="Z998" s="1"/>
    </row>
    <row r="999" customFormat="false" ht="15" hidden="false" customHeight="false" outlineLevel="0" collapsed="false">
      <c r="A999" s="0" t="s">
        <v>107</v>
      </c>
      <c r="B999" s="0" t="s">
        <v>37</v>
      </c>
      <c r="C999" s="0" t="s">
        <v>106</v>
      </c>
      <c r="D999" s="0" t="s">
        <v>148</v>
      </c>
      <c r="E999" s="0" t="n">
        <v>21</v>
      </c>
      <c r="F999" s="0" t="n">
        <v>0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0" t="n">
        <v>11</v>
      </c>
      <c r="S999" s="1"/>
      <c r="T999" s="1"/>
      <c r="U999" s="1"/>
      <c r="V999" s="1"/>
      <c r="W999" s="1"/>
      <c r="X999" s="1"/>
      <c r="Y999" s="5"/>
      <c r="Z999" s="1"/>
    </row>
    <row r="1000" customFormat="false" ht="15" hidden="false" customHeight="false" outlineLevel="0" collapsed="false">
      <c r="A1000" s="0" t="s">
        <v>108</v>
      </c>
      <c r="B1000" s="0" t="s">
        <v>109</v>
      </c>
      <c r="C1000" s="0" t="s">
        <v>106</v>
      </c>
      <c r="D1000" s="0" t="s">
        <v>148</v>
      </c>
      <c r="E1000" s="0" t="n">
        <v>21</v>
      </c>
      <c r="F1000" s="0" t="n">
        <v>0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0" t="n">
        <v>16</v>
      </c>
      <c r="S1000" s="1"/>
      <c r="T1000" s="1"/>
      <c r="U1000" s="1"/>
      <c r="V1000" s="1"/>
      <c r="W1000" s="1"/>
      <c r="X1000" s="1"/>
      <c r="Y1000" s="5"/>
      <c r="Z1000" s="1"/>
    </row>
    <row r="1001" customFormat="false" ht="15" hidden="false" customHeight="false" outlineLevel="0" collapsed="false">
      <c r="A1001" s="0" t="s">
        <v>110</v>
      </c>
      <c r="B1001" s="0" t="s">
        <v>111</v>
      </c>
      <c r="C1001" s="0" t="s">
        <v>106</v>
      </c>
      <c r="D1001" s="0" t="s">
        <v>148</v>
      </c>
      <c r="E1001" s="0" t="n">
        <v>21</v>
      </c>
      <c r="F1001" s="0" t="n">
        <v>1</v>
      </c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0" t="n">
        <v>14</v>
      </c>
      <c r="S1001" s="1"/>
      <c r="T1001" s="1"/>
      <c r="U1001" s="1"/>
      <c r="V1001" s="1"/>
      <c r="W1001" s="1"/>
      <c r="X1001" s="1"/>
      <c r="Y1001" s="5"/>
      <c r="Z1001" s="1"/>
    </row>
    <row r="1002" customFormat="false" ht="15" hidden="false" customHeight="false" outlineLevel="0" collapsed="false">
      <c r="A1002" s="0" t="s">
        <v>112</v>
      </c>
      <c r="B1002" s="0" t="s">
        <v>113</v>
      </c>
      <c r="C1002" s="0" t="s">
        <v>106</v>
      </c>
      <c r="D1002" s="0" t="s">
        <v>148</v>
      </c>
      <c r="E1002" s="0" t="n">
        <v>21</v>
      </c>
      <c r="F1002" s="0" t="n">
        <v>0</v>
      </c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0" t="n">
        <v>7</v>
      </c>
      <c r="S1002" s="1"/>
      <c r="T1002" s="1"/>
      <c r="U1002" s="1"/>
      <c r="V1002" s="1"/>
      <c r="W1002" s="1"/>
      <c r="X1002" s="1"/>
      <c r="Y1002" s="5"/>
      <c r="Z1002" s="1"/>
    </row>
    <row r="1003" customFormat="false" ht="15" hidden="false" customHeight="false" outlineLevel="0" collapsed="false">
      <c r="A1003" s="0" t="s">
        <v>114</v>
      </c>
      <c r="B1003" s="0" t="s">
        <v>115</v>
      </c>
      <c r="C1003" s="0" t="s">
        <v>106</v>
      </c>
      <c r="D1003" s="0" t="s">
        <v>148</v>
      </c>
      <c r="E1003" s="0" t="n">
        <v>21</v>
      </c>
      <c r="F1003" s="0" t="n">
        <v>1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0" t="n">
        <v>16</v>
      </c>
      <c r="S1003" s="1"/>
      <c r="T1003" s="1"/>
      <c r="U1003" s="1"/>
      <c r="V1003" s="1"/>
      <c r="W1003" s="1"/>
      <c r="X1003" s="1"/>
      <c r="Y1003" s="5"/>
      <c r="Z1003" s="1"/>
    </row>
    <row r="1004" customFormat="false" ht="15" hidden="false" customHeight="false" outlineLevel="0" collapsed="false">
      <c r="A1004" s="0" t="s">
        <v>116</v>
      </c>
      <c r="B1004" s="0" t="s">
        <v>117</v>
      </c>
      <c r="C1004" s="0" t="s">
        <v>106</v>
      </c>
      <c r="D1004" s="0" t="s">
        <v>148</v>
      </c>
      <c r="E1004" s="0" t="n">
        <v>21</v>
      </c>
      <c r="F1004" s="0" t="n">
        <v>0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0" t="n">
        <v>6</v>
      </c>
      <c r="S1004" s="1"/>
      <c r="T1004" s="1"/>
      <c r="U1004" s="1"/>
      <c r="V1004" s="1"/>
      <c r="W1004" s="1"/>
      <c r="X1004" s="1"/>
      <c r="Y1004" s="5"/>
      <c r="Z1004" s="1"/>
    </row>
    <row r="1005" customFormat="false" ht="15" hidden="false" customHeight="false" outlineLevel="0" collapsed="false">
      <c r="A1005" s="0" t="s">
        <v>118</v>
      </c>
      <c r="B1005" s="0" t="s">
        <v>119</v>
      </c>
      <c r="C1005" s="0" t="s">
        <v>106</v>
      </c>
      <c r="D1005" s="0" t="s">
        <v>148</v>
      </c>
      <c r="E1005" s="0" t="n">
        <v>21</v>
      </c>
      <c r="F1005" s="0" t="n">
        <v>1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0" t="n">
        <v>19</v>
      </c>
      <c r="S1005" s="1"/>
      <c r="T1005" s="1"/>
      <c r="U1005" s="1"/>
      <c r="V1005" s="1"/>
      <c r="W1005" s="1"/>
      <c r="X1005" s="1"/>
      <c r="Y1005" s="5"/>
      <c r="Z1005" s="1"/>
    </row>
    <row r="1006" customFormat="false" ht="15" hidden="false" customHeight="false" outlineLevel="0" collapsed="false">
      <c r="A1006" s="0" t="s">
        <v>120</v>
      </c>
      <c r="B1006" s="0" t="s">
        <v>121</v>
      </c>
      <c r="C1006" s="0" t="s">
        <v>106</v>
      </c>
      <c r="D1006" s="0" t="s">
        <v>148</v>
      </c>
      <c r="E1006" s="0" t="n">
        <v>21</v>
      </c>
      <c r="F1006" s="0" t="n">
        <v>0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0" t="n">
        <v>9</v>
      </c>
      <c r="S1006" s="1"/>
      <c r="T1006" s="1"/>
      <c r="U1006" s="1"/>
      <c r="V1006" s="1"/>
      <c r="W1006" s="1"/>
      <c r="X1006" s="1"/>
      <c r="Y1006" s="5"/>
      <c r="Z1006" s="1"/>
    </row>
    <row r="1007" customFormat="false" ht="15" hidden="false" customHeight="false" outlineLevel="0" collapsed="false">
      <c r="A1007" s="0" t="s">
        <v>122</v>
      </c>
      <c r="B1007" s="0" t="s">
        <v>123</v>
      </c>
      <c r="C1007" s="0" t="s">
        <v>106</v>
      </c>
      <c r="D1007" s="0" t="s">
        <v>148</v>
      </c>
      <c r="E1007" s="0" t="n">
        <v>21</v>
      </c>
      <c r="F1007" s="0" t="n">
        <v>0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0" t="n">
        <v>11</v>
      </c>
      <c r="S1007" s="1"/>
      <c r="T1007" s="1"/>
      <c r="U1007" s="1"/>
      <c r="V1007" s="1"/>
      <c r="W1007" s="1"/>
      <c r="X1007" s="1"/>
      <c r="Y1007" s="5"/>
      <c r="Z1007" s="1"/>
    </row>
    <row r="1008" customFormat="false" ht="15" hidden="false" customHeight="false" outlineLevel="0" collapsed="false">
      <c r="A1008" s="0" t="s">
        <v>124</v>
      </c>
      <c r="B1008" s="0" t="s">
        <v>125</v>
      </c>
      <c r="C1008" s="0" t="s">
        <v>106</v>
      </c>
      <c r="D1008" s="0" t="s">
        <v>148</v>
      </c>
      <c r="E1008" s="0" t="n">
        <v>21</v>
      </c>
      <c r="F1008" s="0" t="n">
        <v>0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0" t="n">
        <v>12</v>
      </c>
      <c r="S1008" s="1"/>
      <c r="T1008" s="1"/>
      <c r="U1008" s="1"/>
      <c r="V1008" s="1"/>
      <c r="W1008" s="1"/>
      <c r="X1008" s="1"/>
      <c r="Y1008" s="5"/>
      <c r="Z1008" s="1"/>
    </row>
    <row r="1009" customFormat="false" ht="15" hidden="false" customHeight="false" outlineLevel="0" collapsed="false">
      <c r="A1009" s="0" t="s">
        <v>126</v>
      </c>
      <c r="B1009" s="0" t="s">
        <v>127</v>
      </c>
      <c r="C1009" s="0" t="s">
        <v>106</v>
      </c>
      <c r="D1009" s="0" t="s">
        <v>148</v>
      </c>
      <c r="E1009" s="0" t="n">
        <v>21</v>
      </c>
      <c r="F1009" s="0" t="n">
        <v>0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0" t="n">
        <v>11</v>
      </c>
      <c r="S1009" s="1"/>
      <c r="T1009" s="1"/>
      <c r="U1009" s="1"/>
      <c r="V1009" s="1"/>
      <c r="W1009" s="1"/>
      <c r="X1009" s="1"/>
      <c r="Y1009" s="5"/>
      <c r="Z1009" s="1"/>
    </row>
    <row r="1010" customFormat="false" ht="15" hidden="false" customHeight="false" outlineLevel="0" collapsed="false">
      <c r="A1010" s="0" t="s">
        <v>26</v>
      </c>
      <c r="B1010" s="0" t="s">
        <v>27</v>
      </c>
      <c r="C1010" s="0" t="s">
        <v>28</v>
      </c>
      <c r="D1010" s="0" t="s">
        <v>149</v>
      </c>
      <c r="E1010" s="0" t="n">
        <v>22</v>
      </c>
      <c r="F1010" s="0" t="n">
        <v>0</v>
      </c>
      <c r="G1010" s="0" t="n">
        <v>9</v>
      </c>
      <c r="H1010" s="0" t="n">
        <v>55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0" t="n">
        <v>4</v>
      </c>
      <c r="S1010" s="0" t="n">
        <v>21</v>
      </c>
      <c r="T1010" s="0" t="n">
        <f aca="false">(S1010/32)*5</f>
        <v>3.28125</v>
      </c>
      <c r="V1010" s="0" t="n">
        <v>19</v>
      </c>
      <c r="W1010" s="0" t="n">
        <v>4</v>
      </c>
      <c r="X1010" s="3" t="n">
        <f aca="false">LOOKUP(V1010,$AB$3:$AC$123)</f>
        <v>1.0765</v>
      </c>
      <c r="Y1010" s="2" t="n">
        <f aca="false">(V1010*((W1010+T1010)/1000)*X1010)/((((W1010+T1010)/1000)*X1010)-((W1010/1000)*0.9982))</f>
        <v>38.7279620722133</v>
      </c>
      <c r="Z1010" s="3" t="n">
        <f aca="false">(X1010*(V1010/100)*((W1010+T1010)/1000))*1000</f>
        <v>1.48927046875</v>
      </c>
    </row>
    <row r="1011" customFormat="false" ht="15" hidden="false" customHeight="false" outlineLevel="0" collapsed="false">
      <c r="A1011" s="0" t="s">
        <v>32</v>
      </c>
      <c r="B1011" s="0" t="s">
        <v>33</v>
      </c>
      <c r="C1011" s="0" t="s">
        <v>28</v>
      </c>
      <c r="D1011" s="0" t="s">
        <v>149</v>
      </c>
      <c r="E1011" s="0" t="n">
        <v>22</v>
      </c>
      <c r="F1011" s="0" t="n">
        <v>1</v>
      </c>
      <c r="G1011" s="0" t="n">
        <v>15</v>
      </c>
      <c r="H1011" s="0" t="n">
        <v>80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0" t="n">
        <v>12</v>
      </c>
      <c r="S1011" s="0" t="n">
        <f aca="false">29.3+6.8</f>
        <v>36.1</v>
      </c>
      <c r="T1011" s="0" t="n">
        <f aca="false">(S1011/32)*5</f>
        <v>5.640625</v>
      </c>
      <c r="V1011" s="0" t="n">
        <v>39.5</v>
      </c>
      <c r="W1011" s="0" t="n">
        <v>8</v>
      </c>
      <c r="X1011" s="3" t="n">
        <f aca="false">LOOKUP(V1011,$AB$3:$AC$123)</f>
        <v>1.17395</v>
      </c>
      <c r="Y1011" s="2" t="n">
        <f aca="false">(V1011*((W1011+T1011)/1000)*X1011)/((((W1011+T1011)/1000)*X1011)-((W1011/1000)*0.9982))</f>
        <v>78.7923016945289</v>
      </c>
      <c r="Z1011" s="3" t="n">
        <f aca="false">(X1011*(V1011/100)*((W1011+T1011)/1000))*1000</f>
        <v>6.32529762890625</v>
      </c>
    </row>
    <row r="1012" customFormat="false" ht="15" hidden="false" customHeight="false" outlineLevel="0" collapsed="false">
      <c r="A1012" s="0" t="s">
        <v>34</v>
      </c>
      <c r="B1012" s="0" t="s">
        <v>35</v>
      </c>
      <c r="C1012" s="0" t="s">
        <v>28</v>
      </c>
      <c r="D1012" s="0" t="s">
        <v>149</v>
      </c>
      <c r="E1012" s="0" t="n">
        <v>22</v>
      </c>
      <c r="F1012" s="0" t="n">
        <v>0</v>
      </c>
      <c r="G1012" s="0" t="n">
        <v>10</v>
      </c>
      <c r="H1012" s="0" t="n">
        <v>57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0" t="n">
        <v>10</v>
      </c>
      <c r="S1012" s="0" t="n">
        <v>22.4</v>
      </c>
      <c r="T1012" s="0" t="n">
        <f aca="false">(S1012/32)*5</f>
        <v>3.5</v>
      </c>
      <c r="V1012" s="0" t="n">
        <v>40.5</v>
      </c>
      <c r="W1012" s="0" t="n">
        <v>4</v>
      </c>
      <c r="X1012" s="3" t="n">
        <f aca="false">LOOKUP(V1012,$AB$3:$AC$123)</f>
        <v>1.17905</v>
      </c>
      <c r="Y1012" s="2" t="n">
        <f aca="false">(V1012*((W1012+T1012)/1000)*X1012)/((((W1012+T1012)/1000)*X1012)-((W1012/1000)*0.9982))</f>
        <v>73.8414225553213</v>
      </c>
      <c r="Z1012" s="3" t="n">
        <f aca="false">(X1012*(V1012/100)*((W1012+T1012)/1000))*1000</f>
        <v>3.581364375</v>
      </c>
    </row>
    <row r="1013" customFormat="false" ht="15" hidden="false" customHeight="false" outlineLevel="0" collapsed="false">
      <c r="A1013" s="0" t="s">
        <v>36</v>
      </c>
      <c r="B1013" s="0" t="s">
        <v>37</v>
      </c>
      <c r="C1013" s="0" t="s">
        <v>28</v>
      </c>
      <c r="D1013" s="0" t="s">
        <v>149</v>
      </c>
      <c r="E1013" s="0" t="n">
        <v>22</v>
      </c>
      <c r="F1013" s="0" t="n">
        <v>1</v>
      </c>
      <c r="G1013" s="0" t="n">
        <v>8</v>
      </c>
      <c r="H1013" s="0" t="n">
        <v>49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0" t="n">
        <v>4</v>
      </c>
      <c r="S1013" s="0" t="n">
        <v>13.8</v>
      </c>
      <c r="T1013" s="0" t="n">
        <f aca="false">(S1013/32)*5</f>
        <v>2.15625</v>
      </c>
      <c r="V1013" s="0" t="n">
        <v>26</v>
      </c>
      <c r="W1013" s="0" t="n">
        <v>4</v>
      </c>
      <c r="X1013" s="3" t="n">
        <f aca="false">LOOKUP(V1013,$AB$3:$AC$123)</f>
        <v>1.1081</v>
      </c>
      <c r="Y1013" s="2" t="n">
        <f aca="false">(V1013*((W1013+T1013)/1000)*X1013)/((((W1013+T1013)/1000)*X1013)-((W1013/1000)*0.9982))</f>
        <v>62.6967051491228</v>
      </c>
      <c r="Z1013" s="3" t="n">
        <f aca="false">(X1013*(V1013/100)*((W1013+T1013)/1000))*1000</f>
        <v>1.7736525625</v>
      </c>
    </row>
    <row r="1014" customFormat="false" ht="15" hidden="false" customHeight="false" outlineLevel="0" collapsed="false">
      <c r="A1014" s="0" t="s">
        <v>38</v>
      </c>
      <c r="B1014" s="0" t="s">
        <v>39</v>
      </c>
      <c r="C1014" s="0" t="s">
        <v>28</v>
      </c>
      <c r="D1014" s="0" t="s">
        <v>149</v>
      </c>
      <c r="E1014" s="0" t="n">
        <v>22</v>
      </c>
      <c r="F1014" s="0" t="n">
        <v>0</v>
      </c>
      <c r="G1014" s="0" t="n">
        <v>22</v>
      </c>
      <c r="H1014" s="0" t="n">
        <v>77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0" t="n">
        <v>8</v>
      </c>
      <c r="S1014" s="0" t="n">
        <v>22</v>
      </c>
      <c r="T1014" s="0" t="n">
        <f aca="false">(S1014/32)*5</f>
        <v>3.4375</v>
      </c>
      <c r="V1014" s="0" t="n">
        <v>30.5</v>
      </c>
      <c r="W1014" s="0" t="n">
        <v>4</v>
      </c>
      <c r="X1014" s="3" t="n">
        <f aca="false">LOOKUP(V1014,$AB$3:$AC$123)</f>
        <v>1.1294</v>
      </c>
      <c r="Y1014" s="2" t="n">
        <f aca="false">(V1014*((W1014+T1014)/1000)*X1014)/((((W1014+T1014)/1000)*X1014)-((W1014/1000)*0.9982))</f>
        <v>58.1326960112772</v>
      </c>
      <c r="Z1014" s="3" t="n">
        <f aca="false">(X1014*(V1014/100)*((W1014+T1014)/1000))*1000</f>
        <v>2.5619733125</v>
      </c>
    </row>
    <row r="1015" customFormat="false" ht="15" hidden="false" customHeight="false" outlineLevel="0" collapsed="false">
      <c r="A1015" s="0" t="s">
        <v>40</v>
      </c>
      <c r="B1015" s="0" t="s">
        <v>41</v>
      </c>
      <c r="C1015" s="0" t="s">
        <v>28</v>
      </c>
      <c r="D1015" s="0" t="s">
        <v>149</v>
      </c>
      <c r="E1015" s="0" t="n">
        <v>22</v>
      </c>
      <c r="F1015" s="0" t="n">
        <v>1</v>
      </c>
      <c r="G1015" s="0" t="n">
        <v>13</v>
      </c>
      <c r="H1015" s="0" t="n">
        <v>64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0" t="n">
        <v>6</v>
      </c>
      <c r="S1015" s="0" t="n">
        <v>15.1</v>
      </c>
      <c r="T1015" s="0" t="n">
        <f aca="false">(S1015/32)*5</f>
        <v>2.359375</v>
      </c>
      <c r="V1015" s="0" t="n">
        <v>21.5</v>
      </c>
      <c r="W1015" s="0" t="n">
        <v>4</v>
      </c>
      <c r="X1015" s="3" t="n">
        <f aca="false">LOOKUP(V1015,$AB$3:$AC$123)</f>
        <v>1.087675</v>
      </c>
      <c r="Y1015" s="2" t="n">
        <f aca="false">(V1015*((W1015+T1015)/1000)*X1015)/((((W1015+T1015)/1000)*X1015)-((W1015/1000)*0.9982))</f>
        <v>50.8574861460681</v>
      </c>
      <c r="Z1015" s="3" t="n">
        <f aca="false">(X1015*(V1015/100)*((W1015+T1015)/1000))*1000</f>
        <v>1.48714063867187</v>
      </c>
    </row>
    <row r="1016" customFormat="false" ht="15" hidden="false" customHeight="false" outlineLevel="0" collapsed="false">
      <c r="A1016" s="0" t="s">
        <v>42</v>
      </c>
      <c r="B1016" s="0" t="s">
        <v>43</v>
      </c>
      <c r="C1016" s="0" t="s">
        <v>28</v>
      </c>
      <c r="D1016" s="0" t="s">
        <v>149</v>
      </c>
      <c r="E1016" s="0" t="n">
        <v>22</v>
      </c>
      <c r="F1016" s="0" t="n">
        <v>1</v>
      </c>
      <c r="G1016" s="0" t="n">
        <v>7</v>
      </c>
      <c r="H1016" s="0" t="n">
        <v>73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0" t="n">
        <v>4</v>
      </c>
      <c r="S1016" s="0" t="n">
        <v>9.6</v>
      </c>
      <c r="T1016" s="0" t="n">
        <f aca="false">(S1016/32)*5</f>
        <v>1.5</v>
      </c>
      <c r="V1016" s="0" t="n">
        <v>18</v>
      </c>
      <c r="W1016" s="0" t="n">
        <v>4</v>
      </c>
      <c r="X1016" s="3" t="n">
        <f aca="false">LOOKUP(V1016,$AB$3:$AC$123)</f>
        <v>1.0722</v>
      </c>
      <c r="Y1016" s="2" t="n">
        <f aca="false">(V1016*((W1016+T1016)/1000)*X1016)/((((W1016+T1016)/1000)*X1016)-((W1016/1000)*0.9982))</f>
        <v>55.7411122197133</v>
      </c>
      <c r="Z1016" s="3" t="n">
        <f aca="false">(X1016*(V1016/100)*((W1016+T1016)/1000))*1000</f>
        <v>1.061478</v>
      </c>
    </row>
    <row r="1017" customFormat="false" ht="15" hidden="false" customHeight="false" outlineLevel="0" collapsed="false">
      <c r="A1017" s="0" t="s">
        <v>44</v>
      </c>
      <c r="B1017" s="0" t="s">
        <v>45</v>
      </c>
      <c r="C1017" s="0" t="s">
        <v>28</v>
      </c>
      <c r="D1017" s="0" t="s">
        <v>149</v>
      </c>
      <c r="E1017" s="0" t="n">
        <v>22</v>
      </c>
      <c r="F1017" s="0" t="n">
        <v>0</v>
      </c>
      <c r="G1017" s="0" t="n">
        <v>8</v>
      </c>
      <c r="H1017" s="0" t="n">
        <v>46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0" t="n">
        <v>3</v>
      </c>
      <c r="S1017" s="0" t="n">
        <v>6.9</v>
      </c>
      <c r="T1017" s="0" t="n">
        <f aca="false">(S1017/32)*5</f>
        <v>1.078125</v>
      </c>
      <c r="V1017" s="0" t="n">
        <v>6.5</v>
      </c>
      <c r="W1017" s="0" t="n">
        <v>4</v>
      </c>
      <c r="X1017" s="3" t="n">
        <f aca="false">LOOKUP(V1017,$AB$3:$AC$123)</f>
        <v>1.02385</v>
      </c>
      <c r="Y1017" s="2" t="n">
        <f aca="false">(V1017*((W1017+T1017)/1000)*X1017)/((((W1017+T1017)/1000)*X1017)-((W1017/1000)*0.9982))</f>
        <v>28.0122484120031</v>
      </c>
      <c r="Z1017" s="3" t="n">
        <f aca="false">(X1017*(V1017/100)*((W1017+T1017)/1000))*1000</f>
        <v>0.33795048828125</v>
      </c>
    </row>
    <row r="1018" customFormat="false" ht="15" hidden="false" customHeight="false" outlineLevel="0" collapsed="false">
      <c r="A1018" s="0" t="s">
        <v>46</v>
      </c>
      <c r="B1018" s="0" t="s">
        <v>47</v>
      </c>
      <c r="C1018" s="0" t="s">
        <v>28</v>
      </c>
      <c r="D1018" s="0" t="s">
        <v>149</v>
      </c>
      <c r="E1018" s="0" t="n">
        <v>22</v>
      </c>
      <c r="F1018" s="0" t="n">
        <v>0</v>
      </c>
      <c r="G1018" s="0" t="n">
        <v>9</v>
      </c>
      <c r="H1018" s="0" t="n">
        <v>52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0" t="n">
        <v>3</v>
      </c>
      <c r="S1018" s="0" t="n">
        <v>6.3</v>
      </c>
      <c r="T1018" s="0" t="n">
        <f aca="false">(S1018/32)*5</f>
        <v>0.984375</v>
      </c>
      <c r="V1018" s="0" t="n">
        <v>14.5</v>
      </c>
      <c r="W1018" s="0" t="n">
        <v>4</v>
      </c>
      <c r="X1018" s="3" t="n">
        <f aca="false">LOOKUP(V1018,$AB$3:$AC$123)</f>
        <v>1.05705</v>
      </c>
      <c r="Y1018" s="2" t="n">
        <f aca="false">(V1018*((W1018+T1018)/1000)*X1018)/((((W1018+T1018)/1000)*X1018)-((W1018/1000)*0.9982))</f>
        <v>59.8750887064924</v>
      </c>
      <c r="Z1018" s="3" t="n">
        <f aca="false">(X1018*(V1018/100)*((W1018+T1018)/1000))*1000</f>
        <v>0.76396637109375</v>
      </c>
    </row>
    <row r="1019" customFormat="false" ht="15" hidden="false" customHeight="false" outlineLevel="0" collapsed="false">
      <c r="A1019" s="0" t="s">
        <v>48</v>
      </c>
      <c r="B1019" s="0" t="s">
        <v>49</v>
      </c>
      <c r="C1019" s="0" t="s">
        <v>28</v>
      </c>
      <c r="D1019" s="0" t="s">
        <v>149</v>
      </c>
      <c r="E1019" s="0" t="n">
        <v>22</v>
      </c>
      <c r="F1019" s="0" t="n">
        <v>0</v>
      </c>
      <c r="G1019" s="0" t="n">
        <v>9</v>
      </c>
      <c r="H1019" s="0" t="n">
        <v>39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0" t="n">
        <v>2</v>
      </c>
      <c r="S1019" s="0" t="n">
        <v>7.3</v>
      </c>
      <c r="T1019" s="0" t="n">
        <f aca="false">(S1019/32)*5</f>
        <v>1.140625</v>
      </c>
      <c r="V1019" s="0" t="n">
        <v>16</v>
      </c>
      <c r="W1019" s="0" t="n">
        <v>4</v>
      </c>
      <c r="X1019" s="3" t="n">
        <f aca="false">LOOKUP(V1019,$AB$3:$AC$123)</f>
        <v>1.0635</v>
      </c>
      <c r="Y1019" s="2" t="n">
        <f aca="false">(V1019*((W1019+T1019)/1000)*X1019)/((((W1019+T1019)/1000)*X1019)-((W1019/1000)*0.9982))</f>
        <v>59.3336251474527</v>
      </c>
      <c r="Z1019" s="3" t="n">
        <f aca="false">(X1019*(V1019/100)*((W1019+T1019)/1000))*1000</f>
        <v>0.87472875</v>
      </c>
    </row>
    <row r="1020" customFormat="false" ht="15" hidden="false" customHeight="false" outlineLevel="0" collapsed="false">
      <c r="A1020" s="0" t="s">
        <v>50</v>
      </c>
      <c r="B1020" s="0" t="s">
        <v>51</v>
      </c>
      <c r="C1020" s="0" t="s">
        <v>28</v>
      </c>
      <c r="D1020" s="0" t="s">
        <v>149</v>
      </c>
      <c r="E1020" s="0" t="n">
        <v>22</v>
      </c>
      <c r="F1020" s="0" t="n">
        <v>0</v>
      </c>
      <c r="G1020" s="0" t="n">
        <v>10</v>
      </c>
      <c r="H1020" s="0" t="n">
        <v>58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0" t="n">
        <v>4</v>
      </c>
      <c r="S1020" s="0" t="n">
        <v>7.3</v>
      </c>
      <c r="T1020" s="0" t="n">
        <f aca="false">(S1020/32)*5</f>
        <v>1.140625</v>
      </c>
      <c r="V1020" s="0" t="n">
        <v>20</v>
      </c>
      <c r="W1020" s="0" t="n">
        <v>4</v>
      </c>
      <c r="X1020" s="3" t="n">
        <f aca="false">LOOKUP(V1020,$AB$3:$AC$123)</f>
        <v>1.081</v>
      </c>
      <c r="Y1020" s="2" t="n">
        <f aca="false">(V1020*((W1020+T1020)/1000)*X1020)/((((W1020+T1020)/1000)*X1020)-((W1020/1000)*0.9982))</f>
        <v>71.0517851399164</v>
      </c>
      <c r="Z1020" s="3" t="n">
        <f aca="false">(X1020*(V1020/100)*((W1020+T1020)/1000))*1000</f>
        <v>1.111403125</v>
      </c>
    </row>
    <row r="1021" customFormat="false" ht="15" hidden="false" customHeight="false" outlineLevel="0" collapsed="false">
      <c r="A1021" s="0" t="s">
        <v>52</v>
      </c>
      <c r="B1021" s="0" t="s">
        <v>53</v>
      </c>
      <c r="C1021" s="0" t="s">
        <v>28</v>
      </c>
      <c r="D1021" s="0" t="s">
        <v>149</v>
      </c>
      <c r="E1021" s="0" t="n">
        <v>22</v>
      </c>
      <c r="F1021" s="0" t="n">
        <v>0</v>
      </c>
      <c r="G1021" s="0" t="n">
        <v>5</v>
      </c>
      <c r="H1021" s="0" t="n">
        <v>45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0" t="n">
        <v>3</v>
      </c>
      <c r="S1021" s="0" t="n">
        <v>8.1</v>
      </c>
      <c r="T1021" s="0" t="n">
        <f aca="false">(S1021/32)*5</f>
        <v>1.265625</v>
      </c>
      <c r="V1021" s="0" t="n">
        <v>27.5</v>
      </c>
      <c r="W1021" s="0" t="n">
        <v>4</v>
      </c>
      <c r="X1021" s="3" t="n">
        <f aca="false">LOOKUP(V1021,$AB$3:$AC$123)</f>
        <v>1.11515</v>
      </c>
      <c r="Y1021" s="2" t="n">
        <f aca="false">(V1021*((W1021+T1021)/1000)*X1021)/((((W1021+T1021)/1000)*X1021)-((W1021/1000)*0.9982))</f>
        <v>85.9313733642037</v>
      </c>
      <c r="Z1021" s="3" t="n">
        <f aca="false">(X1021*(V1021/100)*((W1021+T1021)/1000))*1000</f>
        <v>1.61478947265625</v>
      </c>
    </row>
    <row r="1022" customFormat="false" ht="15" hidden="false" customHeight="false" outlineLevel="0" collapsed="false">
      <c r="A1022" s="0" t="s">
        <v>54</v>
      </c>
      <c r="B1022" s="0" t="s">
        <v>55</v>
      </c>
      <c r="C1022" s="0" t="s">
        <v>56</v>
      </c>
      <c r="D1022" s="0" t="s">
        <v>149</v>
      </c>
      <c r="E1022" s="0" t="n">
        <v>22</v>
      </c>
      <c r="F1022" s="0" t="n">
        <v>1</v>
      </c>
      <c r="G1022" s="0" t="n">
        <v>3</v>
      </c>
      <c r="H1022" s="0" t="n">
        <v>18</v>
      </c>
      <c r="I1022" s="0" t="n">
        <f aca="false">26.2+14.1</f>
        <v>40.3</v>
      </c>
      <c r="J1022" s="0" t="n">
        <f aca="false">(I1022/32)*5</f>
        <v>6.296875</v>
      </c>
      <c r="L1022" s="0" t="n">
        <v>18.5</v>
      </c>
      <c r="M1022" s="0" t="n">
        <v>0</v>
      </c>
      <c r="N1022" s="0" t="n">
        <f aca="false">L1022</f>
        <v>18.5</v>
      </c>
      <c r="O1022" s="3" t="n">
        <f aca="false">LOOKUP(L1022,$AB$3:$AC$123)</f>
        <v>1.07435</v>
      </c>
      <c r="P1022" s="3" t="n">
        <f aca="false">(O1022*(N1022/100)*(J1022/1000))*1000</f>
        <v>1.25153381640625</v>
      </c>
      <c r="Q1022" s="3"/>
      <c r="R1022" s="1"/>
      <c r="S1022" s="1"/>
      <c r="T1022" s="1"/>
      <c r="U1022" s="1"/>
      <c r="V1022" s="1"/>
      <c r="W1022" s="1"/>
      <c r="X1022" s="1"/>
      <c r="Y1022" s="5"/>
      <c r="Z1022" s="1"/>
    </row>
    <row r="1023" customFormat="false" ht="15" hidden="false" customHeight="false" outlineLevel="0" collapsed="false">
      <c r="A1023" s="0" t="s">
        <v>57</v>
      </c>
      <c r="B1023" s="0" t="s">
        <v>58</v>
      </c>
      <c r="C1023" s="0" t="s">
        <v>56</v>
      </c>
      <c r="D1023" s="0" t="s">
        <v>149</v>
      </c>
      <c r="E1023" s="0" t="n">
        <v>22</v>
      </c>
      <c r="F1023" s="0" t="n">
        <v>0</v>
      </c>
      <c r="G1023" s="0" t="n">
        <v>7</v>
      </c>
      <c r="H1023" s="0" t="n">
        <v>54</v>
      </c>
      <c r="I1023" s="0" t="n">
        <v>0</v>
      </c>
      <c r="J1023" s="0" t="n">
        <f aca="false">(I1023/32)*5</f>
        <v>0</v>
      </c>
      <c r="L1023" s="0" t="n">
        <v>0</v>
      </c>
      <c r="M1023" s="0" t="n">
        <v>0</v>
      </c>
      <c r="N1023" s="0" t="n">
        <f aca="false">L1023</f>
        <v>0</v>
      </c>
      <c r="O1023" s="3" t="n">
        <v>0</v>
      </c>
      <c r="P1023" s="3" t="n">
        <f aca="false">(O1023*(N1023/100)*(J1023/1000))*1000</f>
        <v>0</v>
      </c>
      <c r="Q1023" s="3"/>
      <c r="R1023" s="1"/>
      <c r="S1023" s="1"/>
      <c r="T1023" s="1"/>
      <c r="U1023" s="1"/>
      <c r="V1023" s="1"/>
      <c r="W1023" s="1"/>
      <c r="X1023" s="1"/>
      <c r="Y1023" s="5"/>
      <c r="Z1023" s="1"/>
    </row>
    <row r="1024" customFormat="false" ht="15" hidden="false" customHeight="false" outlineLevel="0" collapsed="false">
      <c r="A1024" s="0" t="s">
        <v>59</v>
      </c>
      <c r="B1024" s="0" t="s">
        <v>60</v>
      </c>
      <c r="C1024" s="0" t="s">
        <v>56</v>
      </c>
      <c r="D1024" s="0" t="s">
        <v>149</v>
      </c>
      <c r="E1024" s="0" t="n">
        <v>22</v>
      </c>
      <c r="F1024" s="0" t="n">
        <v>3</v>
      </c>
      <c r="G1024" s="0" t="n">
        <v>13</v>
      </c>
      <c r="H1024" s="0" t="n">
        <v>67</v>
      </c>
      <c r="I1024" s="0" t="n">
        <f aca="false">32+29.2+12</f>
        <v>73.2</v>
      </c>
      <c r="J1024" s="0" t="n">
        <f aca="false">(I1024/32)*5</f>
        <v>11.4375</v>
      </c>
      <c r="L1024" s="0" t="n">
        <v>26</v>
      </c>
      <c r="M1024" s="0" t="n">
        <v>0</v>
      </c>
      <c r="N1024" s="0" t="n">
        <f aca="false">L1024</f>
        <v>26</v>
      </c>
      <c r="O1024" s="3" t="n">
        <f aca="false">LOOKUP(L1024,$AB$3:$AC$123)</f>
        <v>1.1081</v>
      </c>
      <c r="P1024" s="3" t="n">
        <f aca="false">(O1024*(N1024/100)*(J1024/1000))*1000</f>
        <v>3.295212375</v>
      </c>
      <c r="Q1024" s="3"/>
      <c r="R1024" s="1"/>
      <c r="S1024" s="1"/>
      <c r="T1024" s="1"/>
      <c r="U1024" s="1"/>
      <c r="V1024" s="1"/>
      <c r="W1024" s="1"/>
      <c r="X1024" s="1"/>
      <c r="Y1024" s="5"/>
      <c r="Z1024" s="1"/>
    </row>
    <row r="1025" customFormat="false" ht="15" hidden="false" customHeight="false" outlineLevel="0" collapsed="false">
      <c r="A1025" s="0" t="s">
        <v>61</v>
      </c>
      <c r="B1025" s="0" t="s">
        <v>62</v>
      </c>
      <c r="C1025" s="0" t="s">
        <v>56</v>
      </c>
      <c r="D1025" s="0" t="s">
        <v>149</v>
      </c>
      <c r="E1025" s="0" t="n">
        <v>22</v>
      </c>
      <c r="F1025" s="0" t="n">
        <v>1</v>
      </c>
      <c r="G1025" s="0" t="n">
        <v>28</v>
      </c>
      <c r="H1025" s="0" t="n">
        <v>83</v>
      </c>
      <c r="I1025" s="0" t="n">
        <v>24.2</v>
      </c>
      <c r="J1025" s="0" t="n">
        <f aca="false">(I1025/32)*5</f>
        <v>3.78125</v>
      </c>
      <c r="L1025" s="0" t="n">
        <v>20</v>
      </c>
      <c r="M1025" s="0" t="n">
        <v>0</v>
      </c>
      <c r="N1025" s="0" t="n">
        <f aca="false">L1025</f>
        <v>20</v>
      </c>
      <c r="O1025" s="3" t="n">
        <f aca="false">LOOKUP(L1025,$AB$3:$AC$123)</f>
        <v>1.081</v>
      </c>
      <c r="P1025" s="3" t="n">
        <f aca="false">(O1025*(N1025/100)*(J1025/1000))*1000</f>
        <v>0.81750625</v>
      </c>
      <c r="Q1025" s="3"/>
      <c r="R1025" s="1"/>
      <c r="S1025" s="1"/>
      <c r="T1025" s="1"/>
      <c r="U1025" s="1"/>
      <c r="V1025" s="1"/>
      <c r="W1025" s="1"/>
      <c r="X1025" s="1"/>
      <c r="Y1025" s="5"/>
      <c r="Z1025" s="1"/>
    </row>
    <row r="1026" customFormat="false" ht="15" hidden="false" customHeight="false" outlineLevel="0" collapsed="false">
      <c r="A1026" s="0" t="s">
        <v>63</v>
      </c>
      <c r="B1026" s="0" t="s">
        <v>64</v>
      </c>
      <c r="C1026" s="0" t="s">
        <v>56</v>
      </c>
      <c r="D1026" s="0" t="s">
        <v>149</v>
      </c>
      <c r="E1026" s="0" t="n">
        <v>22</v>
      </c>
      <c r="F1026" s="0" t="n">
        <v>0</v>
      </c>
      <c r="G1026" s="0" t="n">
        <v>6</v>
      </c>
      <c r="H1026" s="0" t="n">
        <v>25</v>
      </c>
      <c r="I1026" s="0" t="n">
        <v>0</v>
      </c>
      <c r="J1026" s="0" t="n">
        <f aca="false">(I1026/32)*5</f>
        <v>0</v>
      </c>
      <c r="L1026" s="0" t="n">
        <v>0</v>
      </c>
      <c r="M1026" s="0" t="n">
        <v>0</v>
      </c>
      <c r="N1026" s="0" t="n">
        <f aca="false">L1026</f>
        <v>0</v>
      </c>
      <c r="O1026" s="3" t="n">
        <v>0</v>
      </c>
      <c r="P1026" s="3" t="n">
        <f aca="false">(O1026*(N1026/100)*(J1026/1000))*1000</f>
        <v>0</v>
      </c>
      <c r="Q1026" s="3"/>
      <c r="R1026" s="1"/>
      <c r="S1026" s="1"/>
      <c r="T1026" s="1"/>
      <c r="U1026" s="1"/>
      <c r="V1026" s="1"/>
      <c r="W1026" s="1"/>
      <c r="X1026" s="1"/>
      <c r="Y1026" s="5"/>
      <c r="Z1026" s="1"/>
    </row>
    <row r="1027" customFormat="false" ht="15" hidden="false" customHeight="false" outlineLevel="0" collapsed="false">
      <c r="A1027" s="0" t="s">
        <v>65</v>
      </c>
      <c r="B1027" s="0" t="s">
        <v>66</v>
      </c>
      <c r="C1027" s="0" t="s">
        <v>56</v>
      </c>
      <c r="D1027" s="0" t="s">
        <v>149</v>
      </c>
      <c r="E1027" s="0" t="n">
        <v>22</v>
      </c>
      <c r="F1027" s="0" t="n">
        <v>1</v>
      </c>
      <c r="G1027" s="0" t="n">
        <v>27</v>
      </c>
      <c r="H1027" s="0" t="n">
        <v>147</v>
      </c>
      <c r="I1027" s="0" t="n">
        <f aca="false">27.5+16.6</f>
        <v>44.1</v>
      </c>
      <c r="J1027" s="0" t="n">
        <f aca="false">(I1027/32)*5</f>
        <v>6.890625</v>
      </c>
      <c r="L1027" s="0" t="n">
        <v>24</v>
      </c>
      <c r="M1027" s="0" t="n">
        <v>0</v>
      </c>
      <c r="N1027" s="0" t="n">
        <f aca="false">L1027</f>
        <v>24</v>
      </c>
      <c r="O1027" s="3" t="n">
        <f aca="false">LOOKUP(L1027,$AB$3:$AC$123)</f>
        <v>1.099</v>
      </c>
      <c r="P1027" s="3" t="n">
        <f aca="false">(O1027*(N1027/100)*(J1027/1000))*1000</f>
        <v>1.81747125</v>
      </c>
      <c r="Q1027" s="3"/>
      <c r="R1027" s="1"/>
      <c r="S1027" s="1"/>
      <c r="T1027" s="1"/>
      <c r="U1027" s="1"/>
      <c r="V1027" s="1"/>
      <c r="W1027" s="1"/>
      <c r="X1027" s="1"/>
      <c r="Y1027" s="5"/>
      <c r="Z1027" s="1"/>
    </row>
    <row r="1028" customFormat="false" ht="15" hidden="false" customHeight="false" outlineLevel="0" collapsed="false">
      <c r="A1028" s="0" t="s">
        <v>67</v>
      </c>
      <c r="B1028" s="0" t="s">
        <v>68</v>
      </c>
      <c r="C1028" s="0" t="s">
        <v>56</v>
      </c>
      <c r="D1028" s="0" t="s">
        <v>149</v>
      </c>
      <c r="E1028" s="0" t="n">
        <v>22</v>
      </c>
      <c r="F1028" s="0" t="n">
        <v>1</v>
      </c>
      <c r="G1028" s="0" t="n">
        <v>15</v>
      </c>
      <c r="H1028" s="0" t="n">
        <v>9</v>
      </c>
      <c r="I1028" s="0" t="n">
        <f aca="false">32+25</f>
        <v>57</v>
      </c>
      <c r="J1028" s="0" t="n">
        <f aca="false">(I1028/32)*5</f>
        <v>8.90625</v>
      </c>
      <c r="L1028" s="0" t="n">
        <v>27</v>
      </c>
      <c r="M1028" s="0" t="n">
        <v>0</v>
      </c>
      <c r="N1028" s="0" t="n">
        <f aca="false">L1028</f>
        <v>27</v>
      </c>
      <c r="O1028" s="3" t="n">
        <f aca="false">LOOKUP(L1028,$AB$3:$AC$123)</f>
        <v>1.1128</v>
      </c>
      <c r="P1028" s="3" t="n">
        <f aca="false">(O1028*(N1028/100)*(J1028/1000))*1000</f>
        <v>2.67593625</v>
      </c>
      <c r="Q1028" s="3"/>
      <c r="R1028" s="1"/>
      <c r="S1028" s="1"/>
      <c r="T1028" s="1"/>
      <c r="U1028" s="1"/>
      <c r="V1028" s="1"/>
      <c r="W1028" s="1"/>
      <c r="X1028" s="1"/>
      <c r="Y1028" s="5"/>
      <c r="Z1028" s="1"/>
    </row>
    <row r="1029" customFormat="false" ht="15" hidden="false" customHeight="false" outlineLevel="0" collapsed="false">
      <c r="A1029" s="0" t="s">
        <v>69</v>
      </c>
      <c r="B1029" s="0" t="s">
        <v>70</v>
      </c>
      <c r="C1029" s="0" t="s">
        <v>56</v>
      </c>
      <c r="D1029" s="0" t="s">
        <v>149</v>
      </c>
      <c r="E1029" s="0" t="n">
        <v>22</v>
      </c>
      <c r="F1029" s="0" t="n">
        <v>0</v>
      </c>
      <c r="G1029" s="0" t="n">
        <v>24</v>
      </c>
      <c r="H1029" s="0" t="n">
        <v>104</v>
      </c>
      <c r="I1029" s="0" t="n">
        <v>0</v>
      </c>
      <c r="J1029" s="0" t="n">
        <f aca="false">(I1029/32)*5</f>
        <v>0</v>
      </c>
      <c r="L1029" s="0" t="n">
        <v>0</v>
      </c>
      <c r="M1029" s="0" t="n">
        <v>0</v>
      </c>
      <c r="N1029" s="0" t="n">
        <f aca="false">L1029</f>
        <v>0</v>
      </c>
      <c r="O1029" s="3" t="n">
        <v>0</v>
      </c>
      <c r="P1029" s="3" t="n">
        <f aca="false">(O1029*(N1029/100)*(J1029/1000))*1000</f>
        <v>0</v>
      </c>
      <c r="Q1029" s="3"/>
      <c r="R1029" s="1"/>
      <c r="S1029" s="1"/>
      <c r="T1029" s="1"/>
      <c r="U1029" s="1"/>
      <c r="V1029" s="1"/>
      <c r="W1029" s="1"/>
      <c r="X1029" s="1"/>
      <c r="Y1029" s="5"/>
      <c r="Z1029" s="1"/>
    </row>
    <row r="1030" customFormat="false" ht="15" hidden="false" customHeight="false" outlineLevel="0" collapsed="false">
      <c r="A1030" s="0" t="s">
        <v>71</v>
      </c>
      <c r="B1030" s="0" t="s">
        <v>72</v>
      </c>
      <c r="C1030" s="0" t="s">
        <v>56</v>
      </c>
      <c r="D1030" s="0" t="s">
        <v>149</v>
      </c>
      <c r="E1030" s="0" t="n">
        <v>22</v>
      </c>
      <c r="F1030" s="0" t="n">
        <v>2</v>
      </c>
      <c r="G1030" s="0" t="n">
        <v>8</v>
      </c>
      <c r="H1030" s="0" t="n">
        <v>47</v>
      </c>
      <c r="I1030" s="0" t="n">
        <f aca="false">31.8+28.4</f>
        <v>60.2</v>
      </c>
      <c r="J1030" s="0" t="n">
        <f aca="false">(I1030/32)*5</f>
        <v>9.40625</v>
      </c>
      <c r="L1030" s="0" t="n">
        <v>16</v>
      </c>
      <c r="M1030" s="0" t="n">
        <v>0</v>
      </c>
      <c r="N1030" s="0" t="n">
        <f aca="false">L1030</f>
        <v>16</v>
      </c>
      <c r="O1030" s="3" t="n">
        <f aca="false">LOOKUP(L1030,$AB$3:$AC$123)</f>
        <v>1.0635</v>
      </c>
      <c r="P1030" s="3" t="n">
        <f aca="false">(O1030*(N1030/100)*(J1030/1000))*1000</f>
        <v>1.6005675</v>
      </c>
      <c r="Q1030" s="3"/>
      <c r="R1030" s="1"/>
      <c r="S1030" s="1"/>
      <c r="T1030" s="1"/>
      <c r="U1030" s="1"/>
      <c r="V1030" s="1"/>
      <c r="W1030" s="1"/>
      <c r="X1030" s="1"/>
      <c r="Y1030" s="5"/>
      <c r="Z1030" s="1"/>
    </row>
    <row r="1031" customFormat="false" ht="15" hidden="false" customHeight="false" outlineLevel="0" collapsed="false">
      <c r="A1031" s="0" t="s">
        <v>73</v>
      </c>
      <c r="B1031" s="0" t="s">
        <v>74</v>
      </c>
      <c r="C1031" s="0" t="s">
        <v>56</v>
      </c>
      <c r="D1031" s="0" t="s">
        <v>149</v>
      </c>
      <c r="E1031" s="0" t="n">
        <v>22</v>
      </c>
      <c r="F1031" s="0" t="n">
        <v>1</v>
      </c>
      <c r="G1031" s="0" t="n">
        <v>8</v>
      </c>
      <c r="H1031" s="0" t="n">
        <v>59</v>
      </c>
      <c r="I1031" s="0" t="n">
        <f aca="false">29.9+4.2</f>
        <v>34.1</v>
      </c>
      <c r="J1031" s="0" t="n">
        <f aca="false">(I1031/32)*5</f>
        <v>5.328125</v>
      </c>
      <c r="L1031" s="0" t="n">
        <v>21</v>
      </c>
      <c r="M1031" s="0" t="n">
        <v>0</v>
      </c>
      <c r="N1031" s="0" t="n">
        <f aca="false">L1031</f>
        <v>21</v>
      </c>
      <c r="O1031" s="3" t="n">
        <f aca="false">LOOKUP(L1031,$AB$3:$AC$123)</f>
        <v>1.08545</v>
      </c>
      <c r="P1031" s="3" t="n">
        <f aca="false">(O1031*(N1031/100)*(J1031/1000))*1000</f>
        <v>1.2145167890625</v>
      </c>
      <c r="Q1031" s="3"/>
      <c r="R1031" s="1"/>
      <c r="S1031" s="1"/>
      <c r="T1031" s="1"/>
      <c r="U1031" s="1"/>
      <c r="V1031" s="1"/>
      <c r="W1031" s="1"/>
      <c r="X1031" s="1"/>
      <c r="Y1031" s="5"/>
      <c r="Z1031" s="1"/>
    </row>
    <row r="1032" customFormat="false" ht="15" hidden="false" customHeight="false" outlineLevel="0" collapsed="false">
      <c r="A1032" s="0" t="s">
        <v>75</v>
      </c>
      <c r="B1032" s="0" t="s">
        <v>76</v>
      </c>
      <c r="C1032" s="0" t="s">
        <v>56</v>
      </c>
      <c r="D1032" s="0" t="s">
        <v>149</v>
      </c>
      <c r="E1032" s="0" t="n">
        <v>22</v>
      </c>
      <c r="F1032" s="0" t="n">
        <v>0</v>
      </c>
      <c r="G1032" s="0" t="n">
        <v>14</v>
      </c>
      <c r="H1032" s="0" t="n">
        <v>96</v>
      </c>
      <c r="I1032" s="0" t="n">
        <v>0</v>
      </c>
      <c r="J1032" s="0" t="n">
        <f aca="false">(I1032/32)*5</f>
        <v>0</v>
      </c>
      <c r="L1032" s="0" t="n">
        <v>0</v>
      </c>
      <c r="M1032" s="0" t="n">
        <v>0</v>
      </c>
      <c r="N1032" s="0" t="n">
        <f aca="false">L1032</f>
        <v>0</v>
      </c>
      <c r="O1032" s="3" t="n">
        <v>0</v>
      </c>
      <c r="P1032" s="3" t="n">
        <f aca="false">(O1032*(N1032/100)*(J1032/1000))*1000</f>
        <v>0</v>
      </c>
      <c r="Q1032" s="3"/>
      <c r="R1032" s="1"/>
      <c r="S1032" s="1"/>
      <c r="T1032" s="1"/>
      <c r="U1032" s="1"/>
      <c r="V1032" s="1"/>
      <c r="W1032" s="1"/>
      <c r="X1032" s="1"/>
      <c r="Y1032" s="5"/>
      <c r="Z1032" s="1"/>
    </row>
    <row r="1033" customFormat="false" ht="15" hidden="false" customHeight="false" outlineLevel="0" collapsed="false">
      <c r="A1033" s="0" t="s">
        <v>77</v>
      </c>
      <c r="B1033" s="0" t="s">
        <v>78</v>
      </c>
      <c r="C1033" s="0" t="s">
        <v>56</v>
      </c>
      <c r="D1033" s="0" t="s">
        <v>149</v>
      </c>
      <c r="E1033" s="0" t="n">
        <v>22</v>
      </c>
      <c r="F1033" s="0" t="n">
        <v>1</v>
      </c>
      <c r="G1033" s="0" t="n">
        <v>15</v>
      </c>
      <c r="H1033" s="0" t="n">
        <v>88</v>
      </c>
      <c r="I1033" s="0" t="n">
        <f aca="false">17.9+29.9</f>
        <v>47.8</v>
      </c>
      <c r="J1033" s="0" t="n">
        <f aca="false">(I1033/32)*5</f>
        <v>7.46875</v>
      </c>
      <c r="L1033" s="0" t="n">
        <v>25</v>
      </c>
      <c r="M1033" s="0" t="n">
        <v>0</v>
      </c>
      <c r="N1033" s="0" t="n">
        <f aca="false">L1033</f>
        <v>25</v>
      </c>
      <c r="O1033" s="3" t="n">
        <f aca="false">LOOKUP(L1033,$AB$3:$AC$123)</f>
        <v>1.10355</v>
      </c>
      <c r="P1033" s="3" t="n">
        <f aca="false">(O1033*(N1033/100)*(J1033/1000))*1000</f>
        <v>2.060534765625</v>
      </c>
      <c r="Q1033" s="3"/>
      <c r="R1033" s="1"/>
      <c r="S1033" s="1"/>
      <c r="T1033" s="1"/>
      <c r="U1033" s="1"/>
      <c r="V1033" s="1"/>
      <c r="W1033" s="1"/>
      <c r="X1033" s="1"/>
      <c r="Y1033" s="5"/>
      <c r="Z1033" s="1"/>
    </row>
    <row r="1034" customFormat="false" ht="15" hidden="false" customHeight="false" outlineLevel="0" collapsed="false">
      <c r="A1034" s="0" t="s">
        <v>79</v>
      </c>
      <c r="B1034" s="0" t="s">
        <v>80</v>
      </c>
      <c r="C1034" s="0" t="s">
        <v>81</v>
      </c>
      <c r="D1034" s="0" t="s">
        <v>149</v>
      </c>
      <c r="E1034" s="0" t="n">
        <v>22</v>
      </c>
      <c r="F1034" s="0" t="n">
        <v>0</v>
      </c>
      <c r="G1034" s="0" t="n">
        <v>7</v>
      </c>
      <c r="H1034" s="0" t="n">
        <v>51</v>
      </c>
      <c r="I1034" s="0" t="n">
        <v>0</v>
      </c>
      <c r="J1034" s="0" t="n">
        <f aca="false">(I1034/32)*5</f>
        <v>0</v>
      </c>
      <c r="L1034" s="0" t="n">
        <v>0</v>
      </c>
      <c r="M1034" s="0" t="n">
        <v>0</v>
      </c>
      <c r="N1034" s="0" t="n">
        <f aca="false">L1034</f>
        <v>0</v>
      </c>
      <c r="O1034" s="3" t="n">
        <v>0</v>
      </c>
      <c r="P1034" s="3" t="n">
        <f aca="false">(O1034*(N1034/100)*(J1034/1000))*1000</f>
        <v>0</v>
      </c>
      <c r="Q1034" s="3"/>
      <c r="R1034" s="3" t="n">
        <v>6</v>
      </c>
      <c r="S1034" s="3" t="n">
        <v>7.7</v>
      </c>
      <c r="T1034" s="0" t="n">
        <f aca="false">(S1034/32)*5</f>
        <v>1.203125</v>
      </c>
      <c r="V1034" s="0" t="n">
        <v>20.5</v>
      </c>
      <c r="W1034" s="0" t="n">
        <v>4</v>
      </c>
      <c r="X1034" s="3" t="n">
        <f aca="false">LOOKUP(V1034,$AB$3:$AC$123)</f>
        <v>1.083225</v>
      </c>
      <c r="Y1034" s="2" t="n">
        <f aca="false">(V1034*((W1034+T1034)/1000)*X1034)/((((W1034+T1034)/1000)*X1034)-((W1034/1000)*0.9982))</f>
        <v>70.3081036104444</v>
      </c>
      <c r="Z1034" s="3" t="n">
        <f aca="false">(X1034*(V1034/100)*((W1034+T1034)/1000))*1000</f>
        <v>1.15541179101563</v>
      </c>
    </row>
    <row r="1035" customFormat="false" ht="15" hidden="false" customHeight="false" outlineLevel="0" collapsed="false">
      <c r="A1035" s="0" t="s">
        <v>82</v>
      </c>
      <c r="B1035" s="0" t="s">
        <v>83</v>
      </c>
      <c r="C1035" s="0" t="s">
        <v>81</v>
      </c>
      <c r="D1035" s="0" t="s">
        <v>149</v>
      </c>
      <c r="E1035" s="0" t="n">
        <v>22</v>
      </c>
      <c r="F1035" s="0" t="n">
        <v>0</v>
      </c>
      <c r="G1035" s="0" t="n">
        <v>6</v>
      </c>
      <c r="H1035" s="0" t="n">
        <v>31</v>
      </c>
      <c r="I1035" s="0" t="n">
        <v>0</v>
      </c>
      <c r="J1035" s="0" t="n">
        <f aca="false">(I1035/32)*5</f>
        <v>0</v>
      </c>
      <c r="L1035" s="0" t="n">
        <v>0</v>
      </c>
      <c r="M1035" s="0" t="n">
        <v>0</v>
      </c>
      <c r="N1035" s="0" t="n">
        <f aca="false">L1035</f>
        <v>0</v>
      </c>
      <c r="O1035" s="3" t="n">
        <v>0</v>
      </c>
      <c r="P1035" s="3" t="n">
        <f aca="false">(O1035*(N1035/100)*(J1035/1000))*1000</f>
        <v>0</v>
      </c>
      <c r="Q1035" s="3"/>
      <c r="R1035" s="3" t="n">
        <v>5</v>
      </c>
      <c r="S1035" s="3" t="n">
        <v>18</v>
      </c>
      <c r="T1035" s="0" t="n">
        <f aca="false">(S1035/32)*5</f>
        <v>2.8125</v>
      </c>
      <c r="V1035" s="0" t="n">
        <v>21.5</v>
      </c>
      <c r="W1035" s="0" t="n">
        <v>4</v>
      </c>
      <c r="X1035" s="3" t="n">
        <f aca="false">LOOKUP(V1035,$AB$3:$AC$123)</f>
        <v>1.087675</v>
      </c>
      <c r="Y1035" s="2" t="n">
        <f aca="false">(V1035*((W1035+T1035)/1000)*X1035)/((((W1035+T1035)/1000)*X1035)-((W1035/1000)*0.9982))</f>
        <v>46.6230767612722</v>
      </c>
      <c r="Z1035" s="3" t="n">
        <f aca="false">(X1035*(V1035/100)*((W1035+T1035)/1000))*1000</f>
        <v>1.5931039765625</v>
      </c>
    </row>
    <row r="1036" customFormat="false" ht="15" hidden="false" customHeight="false" outlineLevel="0" collapsed="false">
      <c r="A1036" s="0" t="s">
        <v>84</v>
      </c>
      <c r="B1036" s="0" t="s">
        <v>85</v>
      </c>
      <c r="C1036" s="0" t="s">
        <v>81</v>
      </c>
      <c r="D1036" s="0" t="s">
        <v>149</v>
      </c>
      <c r="E1036" s="0" t="n">
        <v>22</v>
      </c>
      <c r="F1036" s="0" t="n">
        <v>1</v>
      </c>
      <c r="G1036" s="0" t="n">
        <v>10</v>
      </c>
      <c r="H1036" s="0" t="n">
        <v>54</v>
      </c>
      <c r="I1036" s="0" t="n">
        <f aca="false">31.9+23.1</f>
        <v>55</v>
      </c>
      <c r="J1036" s="0" t="n">
        <f aca="false">(I1036/32)*5</f>
        <v>8.59375</v>
      </c>
      <c r="L1036" s="0" t="n">
        <v>28</v>
      </c>
      <c r="M1036" s="0" t="n">
        <v>0</v>
      </c>
      <c r="N1036" s="0" t="n">
        <f aca="false">L1036</f>
        <v>28</v>
      </c>
      <c r="O1036" s="3" t="n">
        <f aca="false">LOOKUP(L1036,$AB$3:$AC$123)</f>
        <v>1.1175</v>
      </c>
      <c r="P1036" s="3" t="n">
        <f aca="false">(O1036*(N1036/100)*(J1036/1000))*1000</f>
        <v>2.688984375</v>
      </c>
      <c r="Q1036" s="3"/>
      <c r="R1036" s="0" t="n">
        <v>14</v>
      </c>
      <c r="S1036" s="0" t="n">
        <f aca="false">32+6.5</f>
        <v>38.5</v>
      </c>
      <c r="T1036" s="0" t="n">
        <f aca="false">(S1036/32)*5</f>
        <v>6.015625</v>
      </c>
      <c r="V1036" s="0" t="n">
        <v>47</v>
      </c>
      <c r="W1036" s="0" t="n">
        <v>4</v>
      </c>
      <c r="X1036" s="3" t="n">
        <f aca="false">LOOKUP(V1036,$AB$3:$AC$123)</f>
        <v>1.2132</v>
      </c>
      <c r="Y1036" s="2" t="n">
        <f aca="false">(V1036*((W1036+T1036)/1000)*X1036)/((((W1036+T1036)/1000)*X1036)-((W1036/1000)*0.9982))</f>
        <v>70.0029426072834</v>
      </c>
      <c r="Z1036" s="3" t="n">
        <f aca="false">(X1036*(V1036/100)*((W1036+T1036)/1000))*1000</f>
        <v>5.7109494375</v>
      </c>
    </row>
    <row r="1037" customFormat="false" ht="15" hidden="false" customHeight="false" outlineLevel="0" collapsed="false">
      <c r="A1037" s="0" t="s">
        <v>86</v>
      </c>
      <c r="B1037" s="0" t="s">
        <v>87</v>
      </c>
      <c r="C1037" s="0" t="s">
        <v>81</v>
      </c>
      <c r="D1037" s="0" t="s">
        <v>149</v>
      </c>
      <c r="E1037" s="0" t="n">
        <v>22</v>
      </c>
      <c r="F1037" s="0" t="n">
        <v>0</v>
      </c>
      <c r="G1037" s="0" t="n">
        <v>14</v>
      </c>
      <c r="H1037" s="0" t="n">
        <v>70</v>
      </c>
      <c r="I1037" s="0" t="n">
        <v>0</v>
      </c>
      <c r="J1037" s="0" t="n">
        <f aca="false">(I1037/32)*5</f>
        <v>0</v>
      </c>
      <c r="L1037" s="0" t="n">
        <v>0</v>
      </c>
      <c r="M1037" s="0" t="n">
        <v>0</v>
      </c>
      <c r="N1037" s="0" t="n">
        <f aca="false">L1037</f>
        <v>0</v>
      </c>
      <c r="O1037" s="3" t="n">
        <v>0</v>
      </c>
      <c r="P1037" s="3" t="n">
        <f aca="false">(O1037*(N1037/100)*(J1037/1000))*1000</f>
        <v>0</v>
      </c>
      <c r="Q1037" s="3"/>
      <c r="R1037" s="3" t="n">
        <v>10</v>
      </c>
      <c r="S1037" s="3" t="n">
        <v>17.8</v>
      </c>
      <c r="T1037" s="0" t="n">
        <f aca="false">(S1037/32)*5</f>
        <v>2.78125</v>
      </c>
      <c r="V1037" s="0" t="n">
        <v>20</v>
      </c>
      <c r="W1037" s="0" t="n">
        <v>4</v>
      </c>
      <c r="X1037" s="3" t="n">
        <f aca="false">LOOKUP(V1037,$AB$3:$AC$123)</f>
        <v>1.081</v>
      </c>
      <c r="Y1037" s="2" t="n">
        <f aca="false">(V1037*((W1037+T1037)/1000)*X1037)/((((W1037+T1037)/1000)*X1037)-((W1037/1000)*0.9982))</f>
        <v>43.9252336448598</v>
      </c>
      <c r="Z1037" s="3" t="n">
        <f aca="false">(X1037*(V1037/100)*((W1037+T1037)/1000))*1000</f>
        <v>1.46610625</v>
      </c>
    </row>
    <row r="1038" customFormat="false" ht="15" hidden="false" customHeight="false" outlineLevel="0" collapsed="false">
      <c r="A1038" s="0" t="s">
        <v>88</v>
      </c>
      <c r="B1038" s="0" t="s">
        <v>89</v>
      </c>
      <c r="C1038" s="0" t="s">
        <v>81</v>
      </c>
      <c r="D1038" s="0" t="s">
        <v>149</v>
      </c>
      <c r="E1038" s="0" t="n">
        <v>22</v>
      </c>
      <c r="F1038" s="0" t="n">
        <v>1</v>
      </c>
      <c r="G1038" s="0" t="n">
        <v>12</v>
      </c>
      <c r="H1038" s="0" t="n">
        <v>72</v>
      </c>
      <c r="I1038" s="0" t="n">
        <f aca="false">31.7+18.2</f>
        <v>49.9</v>
      </c>
      <c r="J1038" s="0" t="n">
        <f aca="false">(I1038/32)*5</f>
        <v>7.796875</v>
      </c>
      <c r="L1038" s="0" t="n">
        <v>26</v>
      </c>
      <c r="M1038" s="0" t="n">
        <v>0</v>
      </c>
      <c r="N1038" s="0" t="n">
        <f aca="false">L1038</f>
        <v>26</v>
      </c>
      <c r="O1038" s="3" t="n">
        <f aca="false">LOOKUP(L1038,$AB$3:$AC$123)</f>
        <v>1.1081</v>
      </c>
      <c r="P1038" s="3" t="n">
        <f aca="false">(O1038*(N1038/100)*(J1038/1000))*1000</f>
        <v>2.24632646875</v>
      </c>
      <c r="Q1038" s="3"/>
      <c r="R1038" s="3" t="n">
        <v>5</v>
      </c>
      <c r="S1038" s="3" t="n">
        <v>24.4</v>
      </c>
      <c r="T1038" s="0" t="n">
        <f aca="false">(S1038/32)*5</f>
        <v>3.8125</v>
      </c>
      <c r="V1038" s="0" t="n">
        <v>31</v>
      </c>
      <c r="W1038" s="0" t="n">
        <v>4</v>
      </c>
      <c r="X1038" s="3" t="n">
        <f aca="false">LOOKUP(V1038,$AB$3:$AC$123)</f>
        <v>1.1318</v>
      </c>
      <c r="Y1038" s="2" t="n">
        <f aca="false">(V1038*((W1038+T1038)/1000)*X1038)/((((W1038+T1038)/1000)*X1038)-((W1038/1000)*0.9982))</f>
        <v>56.5242131093875</v>
      </c>
      <c r="Z1038" s="3" t="n">
        <f aca="false">(X1038*(V1038/100)*((W1038+T1038)/1000))*1000</f>
        <v>2.741078125</v>
      </c>
    </row>
    <row r="1039" customFormat="false" ht="15" hidden="false" customHeight="false" outlineLevel="0" collapsed="false">
      <c r="A1039" s="0" t="s">
        <v>90</v>
      </c>
      <c r="B1039" s="0" t="s">
        <v>91</v>
      </c>
      <c r="C1039" s="0" t="s">
        <v>81</v>
      </c>
      <c r="D1039" s="0" t="s">
        <v>149</v>
      </c>
      <c r="E1039" s="0" t="n">
        <v>22</v>
      </c>
      <c r="F1039" s="0" t="n">
        <v>1</v>
      </c>
      <c r="G1039" s="0" t="n">
        <v>10</v>
      </c>
      <c r="H1039" s="0" t="n">
        <v>44</v>
      </c>
      <c r="I1039" s="0" t="n">
        <f aca="false">29.4+22.1</f>
        <v>51.5</v>
      </c>
      <c r="J1039" s="0" t="n">
        <f aca="false">(I1039/32)*5</f>
        <v>8.046875</v>
      </c>
      <c r="L1039" s="0" t="n">
        <v>23</v>
      </c>
      <c r="M1039" s="0" t="n">
        <v>0</v>
      </c>
      <c r="N1039" s="0" t="n">
        <f aca="false">L1039</f>
        <v>23</v>
      </c>
      <c r="O1039" s="3" t="n">
        <f aca="false">LOOKUP(L1039,$AB$3:$AC$123)</f>
        <v>1.09445</v>
      </c>
      <c r="P1039" s="3" t="n">
        <f aca="false">(O1039*(N1039/100)*(J1039/1000))*1000</f>
        <v>2.0255875390625</v>
      </c>
      <c r="Q1039" s="3"/>
      <c r="R1039" s="3" t="n">
        <v>5</v>
      </c>
      <c r="S1039" s="3" t="n">
        <v>19</v>
      </c>
      <c r="T1039" s="0" t="n">
        <f aca="false">(S1039/32)*5</f>
        <v>2.96875</v>
      </c>
      <c r="V1039" s="0" t="n">
        <v>36</v>
      </c>
      <c r="W1039" s="0" t="n">
        <v>4</v>
      </c>
      <c r="X1039" s="3" t="n">
        <f aca="false">LOOKUP(V1039,$AB$3:$AC$123)</f>
        <v>1.1562</v>
      </c>
      <c r="Y1039" s="2" t="n">
        <f aca="false">(V1039*((W1039+T1039)/1000)*X1039)/((((W1039+T1039)/1000)*X1039)-((W1039/1000)*0.9982))</f>
        <v>71.3652122432975</v>
      </c>
      <c r="Z1039" s="3" t="n">
        <f aca="false">(X1039*(V1039/100)*((W1039+T1039)/1000))*1000</f>
        <v>2.90061675</v>
      </c>
    </row>
    <row r="1040" customFormat="false" ht="15" hidden="false" customHeight="false" outlineLevel="0" collapsed="false">
      <c r="A1040" s="0" t="s">
        <v>92</v>
      </c>
      <c r="B1040" s="0" t="s">
        <v>93</v>
      </c>
      <c r="C1040" s="0" t="s">
        <v>81</v>
      </c>
      <c r="D1040" s="0" t="s">
        <v>149</v>
      </c>
      <c r="E1040" s="0" t="n">
        <v>22</v>
      </c>
      <c r="F1040" s="0" t="n">
        <v>0</v>
      </c>
      <c r="G1040" s="0" t="n">
        <v>12</v>
      </c>
      <c r="H1040" s="0" t="n">
        <v>80</v>
      </c>
      <c r="I1040" s="0" t="n">
        <v>0</v>
      </c>
      <c r="J1040" s="0" t="n">
        <f aca="false">(I1040/32)*5</f>
        <v>0</v>
      </c>
      <c r="L1040" s="0" t="n">
        <v>0</v>
      </c>
      <c r="M1040" s="0" t="n">
        <v>0</v>
      </c>
      <c r="N1040" s="0" t="n">
        <f aca="false">L1040</f>
        <v>0</v>
      </c>
      <c r="O1040" s="3" t="n">
        <v>0</v>
      </c>
      <c r="P1040" s="3" t="n">
        <f aca="false">(O1040*(N1040/100)*(J1040/1000))*1000</f>
        <v>0</v>
      </c>
      <c r="Q1040" s="3"/>
      <c r="R1040" s="3" t="n">
        <v>6</v>
      </c>
      <c r="S1040" s="3" t="n">
        <v>16.9</v>
      </c>
      <c r="T1040" s="0" t="n">
        <f aca="false">(S1040/32)*5</f>
        <v>2.640625</v>
      </c>
      <c r="V1040" s="0" t="n">
        <v>33.5</v>
      </c>
      <c r="W1040" s="0" t="n">
        <v>4</v>
      </c>
      <c r="X1040" s="3" t="n">
        <f aca="false">LOOKUP(V1040,$AB$3:$AC$123)</f>
        <v>1.14395</v>
      </c>
      <c r="Y1040" s="2" t="n">
        <f aca="false">(V1040*((W1040+T1040)/1000)*X1040)/((((W1040+T1040)/1000)*X1040)-((W1040/1000)*0.9982))</f>
        <v>70.6166315577706</v>
      </c>
      <c r="Z1040" s="3" t="n">
        <f aca="false">(X1040*(V1040/100)*((W1040+T1040)/1000))*1000</f>
        <v>2.54484189453125</v>
      </c>
    </row>
    <row r="1041" customFormat="false" ht="15" hidden="false" customHeight="false" outlineLevel="0" collapsed="false">
      <c r="A1041" s="0" t="s">
        <v>94</v>
      </c>
      <c r="B1041" s="0" t="s">
        <v>95</v>
      </c>
      <c r="C1041" s="0" t="s">
        <v>81</v>
      </c>
      <c r="D1041" s="0" t="s">
        <v>149</v>
      </c>
      <c r="E1041" s="0" t="n">
        <v>22</v>
      </c>
      <c r="F1041" s="0" t="n">
        <v>0</v>
      </c>
      <c r="G1041" s="0" t="n">
        <v>25</v>
      </c>
      <c r="H1041" s="0" t="n">
        <v>101</v>
      </c>
      <c r="I1041" s="0" t="n">
        <v>0</v>
      </c>
      <c r="J1041" s="0" t="n">
        <f aca="false">(I1041/32)*5</f>
        <v>0</v>
      </c>
      <c r="L1041" s="0" t="n">
        <v>0</v>
      </c>
      <c r="M1041" s="0" t="n">
        <v>0</v>
      </c>
      <c r="N1041" s="0" t="n">
        <f aca="false">L1041</f>
        <v>0</v>
      </c>
      <c r="O1041" s="3" t="n">
        <v>0</v>
      </c>
      <c r="P1041" s="3" t="n">
        <f aca="false">(O1041*(N1041/100)*(J1041/1000))*1000</f>
        <v>0</v>
      </c>
      <c r="Q1041" s="3"/>
      <c r="R1041" s="3" t="n">
        <v>10</v>
      </c>
      <c r="S1041" s="3" t="n">
        <v>32</v>
      </c>
      <c r="T1041" s="0" t="n">
        <f aca="false">(S1041/32)*5</f>
        <v>5</v>
      </c>
      <c r="V1041" s="0" t="n">
        <v>44</v>
      </c>
      <c r="W1041" s="0" t="n">
        <v>4</v>
      </c>
      <c r="X1041" s="3" t="n">
        <f aca="false">LOOKUP(V1041,$AB$3:$AC$123)</f>
        <v>1.1973</v>
      </c>
      <c r="Y1041" s="2" t="n">
        <f aca="false">(V1041*((W1041+T1041)/1000)*X1041)/((((W1041+T1041)/1000)*X1041)-((W1041/1000)*0.9982))</f>
        <v>69.9008978460541</v>
      </c>
      <c r="Z1041" s="3" t="n">
        <f aca="false">(X1041*(V1041/100)*((W1041+T1041)/1000))*1000</f>
        <v>4.741308</v>
      </c>
    </row>
    <row r="1042" customFormat="false" ht="15" hidden="false" customHeight="false" outlineLevel="0" collapsed="false">
      <c r="A1042" s="0" t="s">
        <v>96</v>
      </c>
      <c r="B1042" s="0" t="s">
        <v>97</v>
      </c>
      <c r="C1042" s="0" t="s">
        <v>81</v>
      </c>
      <c r="D1042" s="0" t="s">
        <v>149</v>
      </c>
      <c r="E1042" s="0" t="n">
        <v>22</v>
      </c>
      <c r="F1042" s="0" t="n">
        <v>0</v>
      </c>
      <c r="G1042" s="0" t="n">
        <v>7</v>
      </c>
      <c r="H1042" s="0" t="n">
        <v>39</v>
      </c>
      <c r="I1042" s="0" t="n">
        <v>0</v>
      </c>
      <c r="J1042" s="0" t="n">
        <f aca="false">(I1042/32)*5</f>
        <v>0</v>
      </c>
      <c r="L1042" s="0" t="n">
        <v>0</v>
      </c>
      <c r="M1042" s="0" t="n">
        <v>0</v>
      </c>
      <c r="N1042" s="0" t="n">
        <f aca="false">L1042</f>
        <v>0</v>
      </c>
      <c r="O1042" s="3" t="n">
        <v>0</v>
      </c>
      <c r="P1042" s="3" t="n">
        <f aca="false">(O1042*(N1042/100)*(J1042/1000))*1000</f>
        <v>0</v>
      </c>
      <c r="Q1042" s="3"/>
      <c r="R1042" s="3" t="n">
        <v>3</v>
      </c>
      <c r="S1042" s="3" t="n">
        <v>4.8</v>
      </c>
      <c r="T1042" s="0" t="n">
        <f aca="false">(S1042/32)*5</f>
        <v>0.75</v>
      </c>
      <c r="V1042" s="0" t="n">
        <v>16</v>
      </c>
      <c r="W1042" s="0" t="n">
        <v>4</v>
      </c>
      <c r="X1042" s="3" t="n">
        <f aca="false">LOOKUP(V1042,$AB$3:$AC$123)</f>
        <v>1.0635</v>
      </c>
      <c r="Y1042" s="2" t="n">
        <f aca="false">(V1042*((W1042+T1042)/1000)*X1042)/((((W1042+T1042)/1000)*X1042)-((W1042/1000)*0.9982))</f>
        <v>76.3355606450547</v>
      </c>
      <c r="Z1042" s="3" t="n">
        <f aca="false">(X1042*(V1042/100)*((W1042+T1042)/1000))*1000</f>
        <v>0.80826</v>
      </c>
    </row>
    <row r="1043" customFormat="false" ht="15" hidden="false" customHeight="false" outlineLevel="0" collapsed="false">
      <c r="A1043" s="0" t="s">
        <v>98</v>
      </c>
      <c r="B1043" s="0" t="s">
        <v>99</v>
      </c>
      <c r="C1043" s="0" t="s">
        <v>81</v>
      </c>
      <c r="D1043" s="0" t="s">
        <v>149</v>
      </c>
      <c r="E1043" s="0" t="n">
        <v>22</v>
      </c>
      <c r="F1043" s="0" t="n">
        <v>1</v>
      </c>
      <c r="G1043" s="0" t="n">
        <v>18</v>
      </c>
      <c r="H1043" s="0" t="n">
        <v>66</v>
      </c>
      <c r="I1043" s="0" t="n">
        <v>26.9</v>
      </c>
      <c r="J1043" s="0" t="n">
        <f aca="false">(I1043/32)*5</f>
        <v>4.203125</v>
      </c>
      <c r="L1043" s="0" t="n">
        <v>26</v>
      </c>
      <c r="M1043" s="0" t="n">
        <v>0</v>
      </c>
      <c r="N1043" s="0" t="n">
        <f aca="false">L1043</f>
        <v>26</v>
      </c>
      <c r="O1043" s="3" t="n">
        <f aca="false">LOOKUP(L1043,$AB$3:$AC$123)</f>
        <v>1.1081</v>
      </c>
      <c r="P1043" s="3" t="n">
        <f aca="false">(O1043*(N1043/100)*(J1043/1000))*1000</f>
        <v>1.21094553125</v>
      </c>
      <c r="Q1043" s="3"/>
      <c r="R1043" s="3" t="n">
        <v>5</v>
      </c>
      <c r="S1043" s="3" t="n">
        <v>11.5</v>
      </c>
      <c r="T1043" s="0" t="n">
        <f aca="false">(S1043/32)*5</f>
        <v>1.796875</v>
      </c>
      <c r="V1043" s="0" t="n">
        <v>20.5</v>
      </c>
      <c r="W1043" s="0" t="n">
        <v>4</v>
      </c>
      <c r="X1043" s="3" t="n">
        <f aca="false">LOOKUP(V1043,$AB$3:$AC$123)</f>
        <v>1.083225</v>
      </c>
      <c r="Y1043" s="2" t="n">
        <f aca="false">(V1043*((W1043+T1043)/1000)*X1043)/((((W1043+T1043)/1000)*X1043)-((W1043/1000)*0.9982))</f>
        <v>56.2978074964154</v>
      </c>
      <c r="Z1043" s="3" t="n">
        <f aca="false">(X1043*(V1043/100)*((W1043+T1043)/1000))*1000</f>
        <v>1.28726058398438</v>
      </c>
    </row>
    <row r="1044" customFormat="false" ht="15" hidden="false" customHeight="false" outlineLevel="0" collapsed="false">
      <c r="A1044" s="0" t="s">
        <v>100</v>
      </c>
      <c r="B1044" s="0" t="s">
        <v>101</v>
      </c>
      <c r="C1044" s="0" t="s">
        <v>81</v>
      </c>
      <c r="D1044" s="0" t="s">
        <v>149</v>
      </c>
      <c r="E1044" s="0" t="n">
        <v>22</v>
      </c>
      <c r="F1044" s="0" t="n">
        <v>0</v>
      </c>
      <c r="G1044" s="0" t="n">
        <v>4</v>
      </c>
      <c r="H1044" s="0" t="n">
        <v>23</v>
      </c>
      <c r="I1044" s="0" t="n">
        <v>0</v>
      </c>
      <c r="J1044" s="0" t="n">
        <f aca="false">(I1044/32)*5</f>
        <v>0</v>
      </c>
      <c r="L1044" s="0" t="n">
        <v>0</v>
      </c>
      <c r="M1044" s="0" t="n">
        <v>0</v>
      </c>
      <c r="N1044" s="0" t="n">
        <f aca="false">L1044</f>
        <v>0</v>
      </c>
      <c r="O1044" s="3" t="n">
        <v>0</v>
      </c>
      <c r="P1044" s="3" t="n">
        <f aca="false">(O1044*(N1044/100)*(J1044/1000))*1000</f>
        <v>0</v>
      </c>
      <c r="Q1044" s="3"/>
      <c r="R1044" s="3" t="n">
        <v>2</v>
      </c>
      <c r="S1044" s="3" t="n">
        <v>3.9</v>
      </c>
      <c r="T1044" s="0" t="n">
        <f aca="false">(S1044/32)*5</f>
        <v>0.609375</v>
      </c>
      <c r="V1044" s="0" t="n">
        <v>16</v>
      </c>
      <c r="W1044" s="0" t="n">
        <v>4</v>
      </c>
      <c r="X1044" s="3" t="n">
        <f aca="false">LOOKUP(V1044,$AB$3:$AC$123)</f>
        <v>1.0635</v>
      </c>
      <c r="Y1044" s="2" t="n">
        <f aca="false">(V1044*((W1044+T1044)/1000)*X1044)/((((W1044+T1044)/1000)*X1044)-((W1044/1000)*0.9982))</f>
        <v>86.2594147436218</v>
      </c>
      <c r="Z1044" s="3" t="n">
        <f aca="false">(X1044*(V1044/100)*((W1044+T1044)/1000))*1000</f>
        <v>0.78433125</v>
      </c>
    </row>
    <row r="1045" customFormat="false" ht="15" hidden="false" customHeight="false" outlineLevel="0" collapsed="false">
      <c r="A1045" s="0" t="s">
        <v>102</v>
      </c>
      <c r="B1045" s="0" t="s">
        <v>103</v>
      </c>
      <c r="C1045" s="0" t="s">
        <v>81</v>
      </c>
      <c r="D1045" s="0" t="s">
        <v>149</v>
      </c>
      <c r="E1045" s="0" t="n">
        <v>22</v>
      </c>
      <c r="F1045" s="0" t="n">
        <v>0</v>
      </c>
      <c r="G1045" s="0" t="n">
        <v>11</v>
      </c>
      <c r="H1045" s="0" t="n">
        <v>67</v>
      </c>
      <c r="I1045" s="0" t="n">
        <v>0</v>
      </c>
      <c r="J1045" s="0" t="n">
        <f aca="false">(I1045/32)*5</f>
        <v>0</v>
      </c>
      <c r="L1045" s="0" t="n">
        <v>0</v>
      </c>
      <c r="M1045" s="0" t="n">
        <v>0</v>
      </c>
      <c r="N1045" s="0" t="n">
        <f aca="false">L1045</f>
        <v>0</v>
      </c>
      <c r="O1045" s="3" t="n">
        <v>0</v>
      </c>
      <c r="P1045" s="3" t="n">
        <f aca="false">(O1045*(N1045/100)*(J1045/1000))*1000</f>
        <v>0</v>
      </c>
      <c r="Q1045" s="3"/>
      <c r="R1045" s="3" t="n">
        <v>5</v>
      </c>
      <c r="S1045" s="3" t="n">
        <v>19.1</v>
      </c>
      <c r="T1045" s="0" t="n">
        <f aca="false">(S1045/32)*5</f>
        <v>2.984375</v>
      </c>
      <c r="V1045" s="0" t="n">
        <v>36.5</v>
      </c>
      <c r="W1045" s="0" t="n">
        <v>4</v>
      </c>
      <c r="X1045" s="3" t="n">
        <f aca="false">LOOKUP(V1045,$AB$3:$AC$123)</f>
        <v>1.158725</v>
      </c>
      <c r="Y1045" s="2" t="n">
        <f aca="false">(V1045*((W1045+T1045)/1000)*X1045)/((((W1045+T1045)/1000)*X1045)-((W1045/1000)*0.9982))</f>
        <v>72.0441854305772</v>
      </c>
      <c r="Z1045" s="3" t="n">
        <f aca="false">(X1045*(V1045/100)*((W1045+T1045)/1000))*1000</f>
        <v>2.95393402148437</v>
      </c>
    </row>
    <row r="1046" customFormat="false" ht="15" hidden="false" customHeight="false" outlineLevel="0" collapsed="false">
      <c r="A1046" s="0" t="s">
        <v>104</v>
      </c>
      <c r="B1046" s="0" t="s">
        <v>105</v>
      </c>
      <c r="C1046" s="0" t="s">
        <v>106</v>
      </c>
      <c r="D1046" s="0" t="s">
        <v>149</v>
      </c>
      <c r="E1046" s="0" t="n">
        <v>22</v>
      </c>
      <c r="F1046" s="0" t="n">
        <v>3</v>
      </c>
      <c r="G1046" s="0" t="n">
        <v>13</v>
      </c>
      <c r="H1046" s="0" t="n">
        <v>59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3" t="n">
        <v>10</v>
      </c>
      <c r="S1046" s="1"/>
      <c r="T1046" s="1"/>
      <c r="U1046" s="1"/>
      <c r="V1046" s="1"/>
      <c r="W1046" s="1"/>
      <c r="X1046" s="1"/>
      <c r="Y1046" s="5"/>
      <c r="Z1046" s="1"/>
    </row>
    <row r="1047" customFormat="false" ht="15" hidden="false" customHeight="false" outlineLevel="0" collapsed="false">
      <c r="A1047" s="0" t="s">
        <v>107</v>
      </c>
      <c r="B1047" s="0" t="s">
        <v>37</v>
      </c>
      <c r="C1047" s="0" t="s">
        <v>106</v>
      </c>
      <c r="D1047" s="0" t="s">
        <v>149</v>
      </c>
      <c r="E1047" s="0" t="n">
        <v>22</v>
      </c>
      <c r="F1047" s="0" t="n">
        <v>1</v>
      </c>
      <c r="G1047" s="0" t="n">
        <v>7</v>
      </c>
      <c r="H1047" s="0" t="n">
        <v>32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3" t="n">
        <v>9</v>
      </c>
      <c r="S1047" s="1"/>
      <c r="T1047" s="1"/>
      <c r="U1047" s="1"/>
      <c r="V1047" s="1"/>
      <c r="W1047" s="1"/>
      <c r="X1047" s="1"/>
      <c r="Y1047" s="5"/>
      <c r="Z1047" s="1"/>
    </row>
    <row r="1048" customFormat="false" ht="15" hidden="false" customHeight="false" outlineLevel="0" collapsed="false">
      <c r="A1048" s="0" t="s">
        <v>108</v>
      </c>
      <c r="B1048" s="0" t="s">
        <v>109</v>
      </c>
      <c r="C1048" s="0" t="s">
        <v>106</v>
      </c>
      <c r="D1048" s="0" t="s">
        <v>149</v>
      </c>
      <c r="E1048" s="0" t="n">
        <v>22</v>
      </c>
      <c r="F1048" s="0" t="n">
        <v>0</v>
      </c>
      <c r="G1048" s="0" t="n">
        <v>19</v>
      </c>
      <c r="H1048" s="0" t="n">
        <v>104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3" t="n">
        <v>22</v>
      </c>
      <c r="S1048" s="1"/>
      <c r="T1048" s="1"/>
      <c r="U1048" s="1"/>
      <c r="V1048" s="1"/>
      <c r="W1048" s="1"/>
      <c r="X1048" s="1"/>
      <c r="Y1048" s="5"/>
      <c r="Z1048" s="1"/>
    </row>
    <row r="1049" customFormat="false" ht="15" hidden="false" customHeight="false" outlineLevel="0" collapsed="false">
      <c r="A1049" s="0" t="s">
        <v>110</v>
      </c>
      <c r="B1049" s="0" t="s">
        <v>111</v>
      </c>
      <c r="C1049" s="0" t="s">
        <v>106</v>
      </c>
      <c r="D1049" s="0" t="s">
        <v>149</v>
      </c>
      <c r="E1049" s="0" t="n">
        <v>22</v>
      </c>
      <c r="F1049" s="0" t="n">
        <v>0</v>
      </c>
      <c r="G1049" s="0" t="n">
        <v>9</v>
      </c>
      <c r="H1049" s="0" t="n">
        <v>52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3" t="n">
        <v>17</v>
      </c>
      <c r="S1049" s="1"/>
      <c r="T1049" s="1"/>
      <c r="U1049" s="1"/>
      <c r="V1049" s="1"/>
      <c r="W1049" s="1"/>
      <c r="X1049" s="1"/>
      <c r="Y1049" s="5"/>
      <c r="Z1049" s="1"/>
    </row>
    <row r="1050" customFormat="false" ht="15" hidden="false" customHeight="false" outlineLevel="0" collapsed="false">
      <c r="A1050" s="0" t="s">
        <v>112</v>
      </c>
      <c r="B1050" s="0" t="s">
        <v>113</v>
      </c>
      <c r="C1050" s="0" t="s">
        <v>106</v>
      </c>
      <c r="D1050" s="0" t="s">
        <v>149</v>
      </c>
      <c r="E1050" s="0" t="n">
        <v>22</v>
      </c>
      <c r="F1050" s="0" t="n">
        <v>0</v>
      </c>
      <c r="G1050" s="0" t="n">
        <v>7</v>
      </c>
      <c r="H1050" s="0" t="n">
        <v>45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3" t="n">
        <v>16</v>
      </c>
      <c r="S1050" s="1"/>
      <c r="T1050" s="1"/>
      <c r="U1050" s="1"/>
      <c r="V1050" s="1"/>
      <c r="W1050" s="1"/>
      <c r="X1050" s="1"/>
      <c r="Y1050" s="5"/>
      <c r="Z1050" s="1"/>
    </row>
    <row r="1051" customFormat="false" ht="15" hidden="false" customHeight="false" outlineLevel="0" collapsed="false">
      <c r="A1051" s="0" t="s">
        <v>114</v>
      </c>
      <c r="B1051" s="0" t="s">
        <v>115</v>
      </c>
      <c r="C1051" s="0" t="s">
        <v>106</v>
      </c>
      <c r="D1051" s="0" t="s">
        <v>149</v>
      </c>
      <c r="E1051" s="0" t="n">
        <v>22</v>
      </c>
      <c r="F1051" s="0" t="n">
        <v>1</v>
      </c>
      <c r="G1051" s="0" t="n">
        <v>4</v>
      </c>
      <c r="H1051" s="0" t="n">
        <v>47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3" t="n">
        <v>15</v>
      </c>
      <c r="S1051" s="1"/>
      <c r="T1051" s="1"/>
      <c r="U1051" s="1"/>
      <c r="V1051" s="1"/>
      <c r="W1051" s="1"/>
      <c r="X1051" s="1"/>
      <c r="Y1051" s="5"/>
      <c r="Z1051" s="1"/>
    </row>
    <row r="1052" customFormat="false" ht="15" hidden="false" customHeight="false" outlineLevel="0" collapsed="false">
      <c r="A1052" s="0" t="s">
        <v>116</v>
      </c>
      <c r="B1052" s="0" t="s">
        <v>117</v>
      </c>
      <c r="C1052" s="0" t="s">
        <v>106</v>
      </c>
      <c r="D1052" s="0" t="s">
        <v>149</v>
      </c>
      <c r="E1052" s="0" t="n">
        <v>22</v>
      </c>
      <c r="F1052" s="0" t="n">
        <v>1</v>
      </c>
      <c r="G1052" s="0" t="n">
        <v>5</v>
      </c>
      <c r="H1052" s="0" t="n">
        <v>44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3" t="n">
        <v>10</v>
      </c>
      <c r="S1052" s="1"/>
      <c r="T1052" s="1"/>
      <c r="U1052" s="1"/>
      <c r="V1052" s="1"/>
      <c r="W1052" s="1"/>
      <c r="X1052" s="1"/>
      <c r="Y1052" s="5"/>
      <c r="Z1052" s="1"/>
    </row>
    <row r="1053" customFormat="false" ht="15" hidden="false" customHeight="false" outlineLevel="0" collapsed="false">
      <c r="A1053" s="0" t="s">
        <v>118</v>
      </c>
      <c r="B1053" s="0" t="s">
        <v>119</v>
      </c>
      <c r="C1053" s="0" t="s">
        <v>106</v>
      </c>
      <c r="D1053" s="0" t="s">
        <v>149</v>
      </c>
      <c r="E1053" s="0" t="n">
        <v>22</v>
      </c>
      <c r="F1053" s="0" t="n">
        <v>0</v>
      </c>
      <c r="G1053" s="0" t="n">
        <v>23</v>
      </c>
      <c r="H1053" s="0" t="n">
        <v>69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3" t="n">
        <v>18</v>
      </c>
      <c r="S1053" s="1"/>
      <c r="T1053" s="1"/>
      <c r="U1053" s="1"/>
      <c r="V1053" s="1"/>
      <c r="W1053" s="1"/>
      <c r="X1053" s="1"/>
      <c r="Y1053" s="5"/>
      <c r="Z1053" s="1"/>
    </row>
    <row r="1054" customFormat="false" ht="15" hidden="false" customHeight="false" outlineLevel="0" collapsed="false">
      <c r="A1054" s="0" t="s">
        <v>120</v>
      </c>
      <c r="B1054" s="0" t="s">
        <v>121</v>
      </c>
      <c r="C1054" s="0" t="s">
        <v>106</v>
      </c>
      <c r="D1054" s="0" t="s">
        <v>149</v>
      </c>
      <c r="E1054" s="0" t="n">
        <v>22</v>
      </c>
      <c r="F1054" s="0" t="n">
        <v>0</v>
      </c>
      <c r="G1054" s="0" t="n">
        <v>16</v>
      </c>
      <c r="H1054" s="0" t="n">
        <v>85</v>
      </c>
      <c r="I1054" s="1"/>
      <c r="J1054" s="1"/>
      <c r="K1054" s="1"/>
      <c r="L1054" s="1"/>
      <c r="M1054" s="1"/>
      <c r="N1054" s="1"/>
      <c r="O1054" s="1"/>
      <c r="P1054" s="1"/>
      <c r="Q1054" s="1"/>
      <c r="R1054" s="3" t="n">
        <v>13</v>
      </c>
      <c r="S1054" s="1"/>
      <c r="T1054" s="1"/>
      <c r="U1054" s="1"/>
      <c r="V1054" s="1"/>
      <c r="W1054" s="1"/>
      <c r="X1054" s="1"/>
      <c r="Y1054" s="5"/>
      <c r="Z1054" s="1"/>
    </row>
    <row r="1055" customFormat="false" ht="15" hidden="false" customHeight="false" outlineLevel="0" collapsed="false">
      <c r="A1055" s="0" t="s">
        <v>122</v>
      </c>
      <c r="B1055" s="0" t="s">
        <v>123</v>
      </c>
      <c r="C1055" s="0" t="s">
        <v>106</v>
      </c>
      <c r="D1055" s="0" t="s">
        <v>149</v>
      </c>
      <c r="E1055" s="0" t="n">
        <v>22</v>
      </c>
      <c r="F1055" s="0" t="n">
        <v>0</v>
      </c>
      <c r="G1055" s="0" t="n">
        <v>4</v>
      </c>
      <c r="H1055" s="0" t="n">
        <v>40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3" t="n">
        <v>10</v>
      </c>
      <c r="S1055" s="1"/>
      <c r="T1055" s="1"/>
      <c r="U1055" s="1"/>
      <c r="V1055" s="1"/>
      <c r="W1055" s="1"/>
      <c r="X1055" s="1"/>
      <c r="Y1055" s="5"/>
      <c r="Z1055" s="1"/>
    </row>
    <row r="1056" customFormat="false" ht="15" hidden="false" customHeight="false" outlineLevel="0" collapsed="false">
      <c r="A1056" s="0" t="s">
        <v>124</v>
      </c>
      <c r="B1056" s="0" t="s">
        <v>125</v>
      </c>
      <c r="C1056" s="0" t="s">
        <v>106</v>
      </c>
      <c r="D1056" s="0" t="s">
        <v>149</v>
      </c>
      <c r="E1056" s="0" t="n">
        <v>22</v>
      </c>
      <c r="F1056" s="0" t="n">
        <v>0</v>
      </c>
      <c r="G1056" s="0" t="n">
        <v>17</v>
      </c>
      <c r="H1056" s="0" t="n">
        <v>81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3" t="n">
        <v>20</v>
      </c>
      <c r="S1056" s="1"/>
      <c r="T1056" s="1"/>
      <c r="U1056" s="1"/>
      <c r="V1056" s="1"/>
      <c r="W1056" s="1"/>
      <c r="X1056" s="1"/>
      <c r="Y1056" s="5"/>
      <c r="Z1056" s="1"/>
    </row>
    <row r="1057" customFormat="false" ht="15" hidden="false" customHeight="false" outlineLevel="0" collapsed="false">
      <c r="A1057" s="0" t="s">
        <v>126</v>
      </c>
      <c r="B1057" s="0" t="s">
        <v>127</v>
      </c>
      <c r="C1057" s="0" t="s">
        <v>106</v>
      </c>
      <c r="D1057" s="0" t="s">
        <v>149</v>
      </c>
      <c r="E1057" s="0" t="n">
        <v>22</v>
      </c>
      <c r="F1057" s="0" t="n">
        <v>3</v>
      </c>
      <c r="G1057" s="0" t="n">
        <v>12</v>
      </c>
      <c r="H1057" s="0" t="n">
        <v>68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3" t="n">
        <v>26</v>
      </c>
      <c r="S1057" s="1"/>
      <c r="T1057" s="1"/>
      <c r="U1057" s="1"/>
      <c r="V1057" s="1"/>
      <c r="W1057" s="1"/>
      <c r="X1057" s="1"/>
      <c r="Y1057" s="5"/>
      <c r="Z1057" s="1"/>
    </row>
    <row r="1058" customFormat="false" ht="15" hidden="false" customHeight="false" outlineLevel="0" collapsed="false">
      <c r="A1058" s="0" t="s">
        <v>26</v>
      </c>
      <c r="B1058" s="0" t="s">
        <v>27</v>
      </c>
      <c r="C1058" s="0" t="s">
        <v>28</v>
      </c>
      <c r="D1058" s="0" t="s">
        <v>150</v>
      </c>
      <c r="E1058" s="0" t="n">
        <v>23</v>
      </c>
      <c r="F1058" s="0" t="n">
        <v>1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3" t="n">
        <v>3</v>
      </c>
      <c r="S1058" s="0" t="n">
        <v>12.5</v>
      </c>
      <c r="T1058" s="0" t="n">
        <f aca="false">(S1058/32)*5</f>
        <v>1.953125</v>
      </c>
      <c r="V1058" s="0" t="n">
        <v>14</v>
      </c>
      <c r="W1058" s="0" t="n">
        <v>4</v>
      </c>
      <c r="X1058" s="3" t="n">
        <f aca="false">LOOKUP(V1058,$AB$3:$AC$123)</f>
        <v>1.0549</v>
      </c>
      <c r="Y1058" s="2" t="n">
        <f aca="false">(V1058*((W1058+T1058)/1000)*X1058)/((((W1058+T1058)/1000)*X1058)-((W1058/1000)*0.9982))</f>
        <v>38.4405315837043</v>
      </c>
      <c r="Z1058" s="3" t="n">
        <f aca="false">(X1058*(V1058/100)*((W1058+T1058)/1000))*1000</f>
        <v>0.87919321875</v>
      </c>
    </row>
    <row r="1059" customFormat="false" ht="15" hidden="false" customHeight="false" outlineLevel="0" collapsed="false">
      <c r="A1059" s="0" t="s">
        <v>32</v>
      </c>
      <c r="B1059" s="0" t="s">
        <v>33</v>
      </c>
      <c r="C1059" s="0" t="s">
        <v>28</v>
      </c>
      <c r="D1059" s="0" t="s">
        <v>150</v>
      </c>
      <c r="E1059" s="0" t="n">
        <v>23</v>
      </c>
      <c r="F1059" s="0" t="n">
        <v>2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3" t="n">
        <v>10</v>
      </c>
      <c r="S1059" s="0" t="n">
        <f aca="false">27+18</f>
        <v>45</v>
      </c>
      <c r="T1059" s="0" t="n">
        <f aca="false">(S1059/32)*5</f>
        <v>7.03125</v>
      </c>
      <c r="V1059" s="0" t="n">
        <v>36</v>
      </c>
      <c r="W1059" s="0" t="n">
        <v>4</v>
      </c>
      <c r="X1059" s="3" t="n">
        <f aca="false">LOOKUP(V1059,$AB$3:$AC$123)</f>
        <v>1.1562</v>
      </c>
      <c r="Y1059" s="2" t="n">
        <f aca="false">(V1059*((W1059+T1059)/1000)*X1059)/((((W1059+T1059)/1000)*X1059)-((W1059/1000)*0.9982))</f>
        <v>52.4058993683325</v>
      </c>
      <c r="Z1059" s="3" t="n">
        <f aca="false">(X1059*(V1059/100)*((W1059+T1059)/1000))*1000</f>
        <v>4.59155925</v>
      </c>
    </row>
    <row r="1060" customFormat="false" ht="15" hidden="false" customHeight="false" outlineLevel="0" collapsed="false">
      <c r="A1060" s="0" t="s">
        <v>34</v>
      </c>
      <c r="B1060" s="0" t="s">
        <v>35</v>
      </c>
      <c r="C1060" s="0" t="s">
        <v>28</v>
      </c>
      <c r="D1060" s="0" t="s">
        <v>150</v>
      </c>
      <c r="E1060" s="0" t="n">
        <v>23</v>
      </c>
      <c r="F1060" s="0" t="n">
        <v>2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3" t="n">
        <v>2</v>
      </c>
      <c r="S1060" s="0" t="n">
        <v>5.5</v>
      </c>
      <c r="T1060" s="0" t="n">
        <f aca="false">(S1060/32)*5</f>
        <v>0.859375</v>
      </c>
      <c r="V1060" s="0" t="n">
        <v>10</v>
      </c>
      <c r="W1060" s="0" t="n">
        <v>4</v>
      </c>
      <c r="X1060" s="3" t="n">
        <f aca="false">LOOKUP(V1060,$AB$3:$AC$123)</f>
        <v>1.0381</v>
      </c>
      <c r="Y1060" s="2" t="n">
        <f aca="false">(V1060*((W1060+T1060)/1000)*X1060)/((((W1060+T1060)/1000)*X1060)-((W1060/1000)*0.9982))</f>
        <v>47.9645787618167</v>
      </c>
      <c r="Z1060" s="3" t="n">
        <f aca="false">(X1060*(V1060/100)*((W1060+T1060)/1000))*1000</f>
        <v>0.50445171875</v>
      </c>
    </row>
    <row r="1061" customFormat="false" ht="15" hidden="false" customHeight="false" outlineLevel="0" collapsed="false">
      <c r="A1061" s="0" t="s">
        <v>36</v>
      </c>
      <c r="B1061" s="0" t="s">
        <v>37</v>
      </c>
      <c r="C1061" s="0" t="s">
        <v>28</v>
      </c>
      <c r="D1061" s="0" t="s">
        <v>150</v>
      </c>
      <c r="E1061" s="0" t="n">
        <v>23</v>
      </c>
      <c r="F1061" s="0" t="n">
        <v>0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3" t="n">
        <v>4</v>
      </c>
      <c r="S1061" s="0" t="n">
        <v>14.4</v>
      </c>
      <c r="T1061" s="0" t="n">
        <f aca="false">(S1061/32)*5</f>
        <v>2.25</v>
      </c>
      <c r="V1061" s="0" t="n">
        <v>20</v>
      </c>
      <c r="W1061" s="0" t="n">
        <v>4</v>
      </c>
      <c r="X1061" s="3" t="n">
        <f aca="false">LOOKUP(V1061,$AB$3:$AC$123)</f>
        <v>1.081</v>
      </c>
      <c r="Y1061" s="2" t="n">
        <f aca="false">(V1061*((W1061+T1061)/1000)*X1061)/((((W1061+T1061)/1000)*X1061)-((W1061/1000)*0.9982))</f>
        <v>48.8972118185601</v>
      </c>
      <c r="Z1061" s="3" t="n">
        <f aca="false">(X1061*(V1061/100)*((W1061+T1061)/1000))*1000</f>
        <v>1.35125</v>
      </c>
    </row>
    <row r="1062" customFormat="false" ht="15" hidden="false" customHeight="false" outlineLevel="0" collapsed="false">
      <c r="A1062" s="0" t="s">
        <v>38</v>
      </c>
      <c r="B1062" s="0" t="s">
        <v>39</v>
      </c>
      <c r="C1062" s="0" t="s">
        <v>28</v>
      </c>
      <c r="D1062" s="0" t="s">
        <v>150</v>
      </c>
      <c r="E1062" s="0" t="n">
        <v>23</v>
      </c>
      <c r="F1062" s="0" t="n">
        <v>3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3" t="n">
        <v>7</v>
      </c>
      <c r="S1062" s="0" t="n">
        <v>32</v>
      </c>
      <c r="T1062" s="0" t="n">
        <f aca="false">(S1062/32)*5</f>
        <v>5</v>
      </c>
      <c r="V1062" s="0" t="n">
        <v>24</v>
      </c>
      <c r="W1062" s="0" t="n">
        <v>4</v>
      </c>
      <c r="X1062" s="3" t="n">
        <f aca="false">LOOKUP(V1062,$AB$3:$AC$123)</f>
        <v>1.099</v>
      </c>
      <c r="Y1062" s="2" t="n">
        <f aca="false">(V1062*((W1062+T1062)/1000)*X1062)/((((W1062+T1062)/1000)*X1062)-((W1062/1000)*0.9982))</f>
        <v>40.2468549727035</v>
      </c>
      <c r="Z1062" s="3" t="n">
        <f aca="false">(X1062*(V1062/100)*((W1062+T1062)/1000))*1000</f>
        <v>2.37384</v>
      </c>
    </row>
    <row r="1063" customFormat="false" ht="15" hidden="false" customHeight="false" outlineLevel="0" collapsed="false">
      <c r="A1063" s="0" t="s">
        <v>40</v>
      </c>
      <c r="B1063" s="0" t="s">
        <v>41</v>
      </c>
      <c r="C1063" s="0" t="s">
        <v>28</v>
      </c>
      <c r="D1063" s="0" t="s">
        <v>150</v>
      </c>
      <c r="E1063" s="0" t="n">
        <v>23</v>
      </c>
      <c r="F1063" s="0" t="n">
        <v>1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3" t="n">
        <v>2</v>
      </c>
      <c r="S1063" s="0" t="n">
        <v>6.3</v>
      </c>
      <c r="T1063" s="0" t="n">
        <f aca="false">(S1063/32)*5</f>
        <v>0.984375</v>
      </c>
      <c r="V1063" s="0" t="n">
        <v>10</v>
      </c>
      <c r="W1063" s="0" t="n">
        <v>4</v>
      </c>
      <c r="X1063" s="3" t="n">
        <f aca="false">LOOKUP(V1063,$AB$3:$AC$123)</f>
        <v>1.0381</v>
      </c>
      <c r="Y1063" s="2" t="n">
        <f aca="false">(V1063*((W1063+T1063)/1000)*X1063)/((((W1063+T1063)/1000)*X1063)-((W1063/1000)*0.9982))</f>
        <v>43.7949102489331</v>
      </c>
      <c r="Z1063" s="3" t="n">
        <f aca="false">(X1063*(V1063/100)*((W1063+T1063)/1000))*1000</f>
        <v>0.51742796875</v>
      </c>
    </row>
    <row r="1064" customFormat="false" ht="15" hidden="false" customHeight="false" outlineLevel="0" collapsed="false">
      <c r="A1064" s="0" t="s">
        <v>42</v>
      </c>
      <c r="B1064" s="0" t="s">
        <v>43</v>
      </c>
      <c r="C1064" s="0" t="s">
        <v>28</v>
      </c>
      <c r="D1064" s="0" t="s">
        <v>150</v>
      </c>
      <c r="E1064" s="0" t="n">
        <v>23</v>
      </c>
      <c r="F1064" s="0" t="n">
        <v>1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3" t="n">
        <v>6</v>
      </c>
      <c r="S1064" s="0" t="n">
        <v>29.4</v>
      </c>
      <c r="T1064" s="0" t="n">
        <f aca="false">(S1064/32)*5</f>
        <v>4.59375</v>
      </c>
      <c r="V1064" s="0" t="n">
        <v>35.5</v>
      </c>
      <c r="W1064" s="0" t="n">
        <v>4</v>
      </c>
      <c r="X1064" s="3" t="n">
        <f aca="false">LOOKUP(V1064,$AB$3:$AC$123)</f>
        <v>1.15375</v>
      </c>
      <c r="Y1064" s="2" t="n">
        <f aca="false">(V1064*((W1064+T1064)/1000)*X1064)/((((W1064+T1064)/1000)*X1064)-((W1064/1000)*0.9982))</f>
        <v>59.4342583951963</v>
      </c>
      <c r="Z1064" s="3" t="n">
        <f aca="false">(X1064*(V1064/100)*((W1064+T1064)/1000))*1000</f>
        <v>3.5198388671875</v>
      </c>
    </row>
    <row r="1065" customFormat="false" ht="15" hidden="false" customHeight="false" outlineLevel="0" collapsed="false">
      <c r="A1065" s="0" t="s">
        <v>44</v>
      </c>
      <c r="B1065" s="0" t="s">
        <v>45</v>
      </c>
      <c r="C1065" s="0" t="s">
        <v>28</v>
      </c>
      <c r="D1065" s="0" t="s">
        <v>150</v>
      </c>
      <c r="E1065" s="0" t="n">
        <v>23</v>
      </c>
      <c r="F1065" s="0" t="n">
        <v>2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3" t="n">
        <v>3</v>
      </c>
      <c r="S1065" s="0" t="n">
        <v>20.2</v>
      </c>
      <c r="T1065" s="0" t="n">
        <f aca="false">(S1065/32)*5</f>
        <v>3.15625</v>
      </c>
      <c r="V1065" s="0" t="n">
        <v>21</v>
      </c>
      <c r="W1065" s="0" t="n">
        <v>4</v>
      </c>
      <c r="X1065" s="3" t="n">
        <f aca="false">LOOKUP(V1065,$AB$3:$AC$123)</f>
        <v>1.08545</v>
      </c>
      <c r="Y1065" s="2" t="n">
        <f aca="false">(V1065*((W1065+T1065)/1000)*X1065)/((((W1065+T1065)/1000)*X1065)-((W1065/1000)*0.9982))</f>
        <v>43.211887652532</v>
      </c>
      <c r="Z1065" s="3" t="n">
        <f aca="false">(X1065*(V1065/100)*((W1065+T1065)/1000))*1000</f>
        <v>1.631227828125</v>
      </c>
    </row>
    <row r="1066" customFormat="false" ht="15" hidden="false" customHeight="false" outlineLevel="0" collapsed="false">
      <c r="A1066" s="0" t="s">
        <v>46</v>
      </c>
      <c r="B1066" s="0" t="s">
        <v>47</v>
      </c>
      <c r="C1066" s="0" t="s">
        <v>28</v>
      </c>
      <c r="D1066" s="0" t="s">
        <v>150</v>
      </c>
      <c r="E1066" s="0" t="n">
        <v>23</v>
      </c>
      <c r="F1066" s="0" t="n">
        <v>0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3" t="n">
        <v>6</v>
      </c>
      <c r="S1066" s="0" t="n">
        <v>19.2</v>
      </c>
      <c r="T1066" s="0" t="n">
        <f aca="false">(S1066/32)*5</f>
        <v>3</v>
      </c>
      <c r="V1066" s="0" t="n">
        <v>25</v>
      </c>
      <c r="W1066" s="0" t="n">
        <v>4</v>
      </c>
      <c r="X1066" s="3" t="n">
        <f aca="false">LOOKUP(V1066,$AB$3:$AC$123)</f>
        <v>1.10355</v>
      </c>
      <c r="Y1066" s="2" t="n">
        <f aca="false">(V1066*((W1066+T1066)/1000)*X1066)/((((W1066+T1066)/1000)*X1066)-((W1066/1000)*0.9982))</f>
        <v>51.7466941761231</v>
      </c>
      <c r="Z1066" s="3" t="n">
        <f aca="false">(X1066*(V1066/100)*((W1066+T1066)/1000))*1000</f>
        <v>1.9312125</v>
      </c>
    </row>
    <row r="1067" customFormat="false" ht="15" hidden="false" customHeight="false" outlineLevel="0" collapsed="false">
      <c r="A1067" s="0" t="s">
        <v>48</v>
      </c>
      <c r="B1067" s="0" t="s">
        <v>49</v>
      </c>
      <c r="C1067" s="0" t="s">
        <v>28</v>
      </c>
      <c r="D1067" s="0" t="s">
        <v>150</v>
      </c>
      <c r="E1067" s="0" t="n">
        <v>23</v>
      </c>
      <c r="F1067" s="0" t="n">
        <v>2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3" t="n">
        <v>7</v>
      </c>
      <c r="S1067" s="0" t="n">
        <v>12.3</v>
      </c>
      <c r="T1067" s="0" t="n">
        <f aca="false">(S1067/32)*5</f>
        <v>1.921875</v>
      </c>
      <c r="V1067" s="0" t="n">
        <v>24</v>
      </c>
      <c r="W1067" s="0" t="n">
        <v>4</v>
      </c>
      <c r="X1067" s="3" t="n">
        <f aca="false">LOOKUP(V1067,$AB$3:$AC$123)</f>
        <v>1.099</v>
      </c>
      <c r="Y1067" s="2" t="n">
        <f aca="false">(V1067*((W1067+T1067)/1000)*X1067)/((((W1067+T1067)/1000)*X1067)-((W1067/1000)*0.9982))</f>
        <v>62.0971066294451</v>
      </c>
      <c r="Z1067" s="3" t="n">
        <f aca="false">(X1067*(V1067/100)*((W1067+T1067)/1000))*1000</f>
        <v>1.56195375</v>
      </c>
    </row>
    <row r="1068" customFormat="false" ht="15" hidden="false" customHeight="false" outlineLevel="0" collapsed="false">
      <c r="A1068" s="0" t="s">
        <v>50</v>
      </c>
      <c r="B1068" s="0" t="s">
        <v>51</v>
      </c>
      <c r="C1068" s="0" t="s">
        <v>28</v>
      </c>
      <c r="D1068" s="0" t="s">
        <v>150</v>
      </c>
      <c r="E1068" s="0" t="n">
        <v>23</v>
      </c>
      <c r="F1068" s="0" t="n">
        <v>1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3" t="n">
        <v>4</v>
      </c>
      <c r="S1068" s="0" t="n">
        <v>10.5</v>
      </c>
      <c r="T1068" s="0" t="n">
        <f aca="false">(S1068/32)*5</f>
        <v>1.640625</v>
      </c>
      <c r="V1068" s="0" t="n">
        <v>22</v>
      </c>
      <c r="W1068" s="0" t="n">
        <v>4</v>
      </c>
      <c r="X1068" s="3" t="n">
        <f aca="false">LOOKUP(V1068,$AB$3:$AC$123)</f>
        <v>1.0899</v>
      </c>
      <c r="Y1068" s="2" t="n">
        <f aca="false">(V1068*((W1068+T1068)/1000)*X1068)/((((W1068+T1068)/1000)*X1068)-((W1068/1000)*0.9982))</f>
        <v>62.7633297973313</v>
      </c>
      <c r="Z1068" s="3" t="n">
        <f aca="false">(X1068*(V1068/100)*((W1068+T1068)/1000))*1000</f>
        <v>1.35249778125</v>
      </c>
    </row>
    <row r="1069" customFormat="false" ht="15" hidden="false" customHeight="false" outlineLevel="0" collapsed="false">
      <c r="A1069" s="0" t="s">
        <v>52</v>
      </c>
      <c r="B1069" s="0" t="s">
        <v>53</v>
      </c>
      <c r="C1069" s="0" t="s">
        <v>28</v>
      </c>
      <c r="D1069" s="0" t="s">
        <v>150</v>
      </c>
      <c r="E1069" s="0" t="n">
        <v>23</v>
      </c>
      <c r="F1069" s="0" t="n">
        <v>2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3" t="n">
        <v>2</v>
      </c>
      <c r="S1069" s="0" t="n">
        <v>9.1</v>
      </c>
      <c r="T1069" s="0" t="n">
        <f aca="false">(S1069/32)*5</f>
        <v>1.421875</v>
      </c>
      <c r="V1069" s="0" t="n">
        <v>12</v>
      </c>
      <c r="W1069" s="0" t="n">
        <v>4</v>
      </c>
      <c r="X1069" s="3" t="n">
        <f aca="false">LOOKUP(V1069,$AB$3:$AC$123)</f>
        <v>1.0465</v>
      </c>
      <c r="Y1069" s="2" t="n">
        <f aca="false">(V1069*((W1069+T1069)/1000)*X1069)/((((W1069+T1069)/1000)*X1069)-((W1069/1000)*0.9982))</f>
        <v>40.4997755499028</v>
      </c>
      <c r="Z1069" s="3" t="n">
        <f aca="false">(X1069*(V1069/100)*((W1069+T1069)/1000))*1000</f>
        <v>0.6808790625</v>
      </c>
    </row>
    <row r="1070" customFormat="false" ht="15" hidden="false" customHeight="false" outlineLevel="0" collapsed="false">
      <c r="A1070" s="0" t="s">
        <v>54</v>
      </c>
      <c r="B1070" s="0" t="s">
        <v>55</v>
      </c>
      <c r="C1070" s="0" t="s">
        <v>56</v>
      </c>
      <c r="D1070" s="0" t="s">
        <v>150</v>
      </c>
      <c r="E1070" s="0" t="n">
        <v>23</v>
      </c>
      <c r="F1070" s="0" t="n">
        <v>0</v>
      </c>
      <c r="G1070" s="1"/>
      <c r="H1070" s="1"/>
      <c r="I1070" s="0" t="n">
        <v>0</v>
      </c>
      <c r="J1070" s="0" t="n">
        <f aca="false">(I1070/32)*5</f>
        <v>0</v>
      </c>
      <c r="L1070" s="0" t="n">
        <v>0</v>
      </c>
      <c r="M1070" s="0" t="n">
        <v>0</v>
      </c>
      <c r="N1070" s="0" t="n">
        <f aca="false">L1070</f>
        <v>0</v>
      </c>
      <c r="O1070" s="3" t="n">
        <v>0</v>
      </c>
      <c r="P1070" s="3" t="n">
        <f aca="false">(O1070*(N1070/100)*(J1070/1000))*1000</f>
        <v>0</v>
      </c>
      <c r="Q1070" s="3"/>
      <c r="R1070" s="1"/>
      <c r="S1070" s="1"/>
      <c r="T1070" s="1"/>
      <c r="U1070" s="1"/>
      <c r="V1070" s="1"/>
      <c r="W1070" s="1"/>
      <c r="X1070" s="1"/>
      <c r="Y1070" s="5"/>
      <c r="Z1070" s="1"/>
    </row>
    <row r="1071" customFormat="false" ht="15" hidden="false" customHeight="false" outlineLevel="0" collapsed="false">
      <c r="A1071" s="0" t="s">
        <v>57</v>
      </c>
      <c r="B1071" s="0" t="s">
        <v>58</v>
      </c>
      <c r="C1071" s="0" t="s">
        <v>56</v>
      </c>
      <c r="D1071" s="0" t="s">
        <v>150</v>
      </c>
      <c r="E1071" s="0" t="n">
        <v>23</v>
      </c>
      <c r="F1071" s="0" t="n">
        <v>1</v>
      </c>
      <c r="G1071" s="1"/>
      <c r="H1071" s="1"/>
      <c r="I1071" s="0" t="n">
        <v>26.1</v>
      </c>
      <c r="J1071" s="0" t="n">
        <f aca="false">(I1071/32)*5</f>
        <v>4.078125</v>
      </c>
      <c r="L1071" s="0" t="n">
        <v>27</v>
      </c>
      <c r="M1071" s="0" t="n">
        <v>0</v>
      </c>
      <c r="N1071" s="0" t="n">
        <f aca="false">L1071</f>
        <v>27</v>
      </c>
      <c r="O1071" s="3" t="n">
        <f aca="false">LOOKUP(L1071,$AB$3:$AC$123)</f>
        <v>1.1128</v>
      </c>
      <c r="P1071" s="3" t="n">
        <f aca="false">(O1071*(N1071/100)*(J1071/1000))*1000</f>
        <v>1.225297125</v>
      </c>
      <c r="Q1071" s="3"/>
      <c r="R1071" s="1"/>
      <c r="S1071" s="1"/>
      <c r="T1071" s="1"/>
      <c r="U1071" s="1"/>
      <c r="V1071" s="1"/>
      <c r="W1071" s="1"/>
      <c r="X1071" s="1"/>
      <c r="Y1071" s="5"/>
      <c r="Z1071" s="1"/>
    </row>
    <row r="1072" customFormat="false" ht="15" hidden="false" customHeight="false" outlineLevel="0" collapsed="false">
      <c r="A1072" s="0" t="s">
        <v>59</v>
      </c>
      <c r="B1072" s="0" t="s">
        <v>60</v>
      </c>
      <c r="C1072" s="0" t="s">
        <v>56</v>
      </c>
      <c r="D1072" s="0" t="s">
        <v>150</v>
      </c>
      <c r="E1072" s="0" t="n">
        <v>23</v>
      </c>
      <c r="F1072" s="0" t="n">
        <v>0</v>
      </c>
      <c r="G1072" s="1"/>
      <c r="H1072" s="1"/>
      <c r="I1072" s="0" t="n">
        <v>0</v>
      </c>
      <c r="J1072" s="0" t="n">
        <f aca="false">(I1072/32)*5</f>
        <v>0</v>
      </c>
      <c r="L1072" s="0" t="n">
        <v>0</v>
      </c>
      <c r="M1072" s="0" t="n">
        <v>0</v>
      </c>
      <c r="N1072" s="0" t="n">
        <f aca="false">L1072</f>
        <v>0</v>
      </c>
      <c r="O1072" s="3" t="n">
        <v>0</v>
      </c>
      <c r="P1072" s="3" t="n">
        <f aca="false">(O1072*(N1072/100)*(J1072/1000))*1000</f>
        <v>0</v>
      </c>
      <c r="Q1072" s="3"/>
      <c r="R1072" s="1"/>
      <c r="S1072" s="1"/>
      <c r="T1072" s="1"/>
      <c r="U1072" s="1"/>
      <c r="V1072" s="1"/>
      <c r="W1072" s="1"/>
      <c r="X1072" s="1"/>
      <c r="Y1072" s="5"/>
      <c r="Z1072" s="1"/>
    </row>
    <row r="1073" customFormat="false" ht="15" hidden="false" customHeight="false" outlineLevel="0" collapsed="false">
      <c r="A1073" s="0" t="s">
        <v>61</v>
      </c>
      <c r="B1073" s="0" t="s">
        <v>62</v>
      </c>
      <c r="C1073" s="0" t="s">
        <v>56</v>
      </c>
      <c r="D1073" s="0" t="s">
        <v>150</v>
      </c>
      <c r="E1073" s="0" t="n">
        <v>23</v>
      </c>
      <c r="F1073" s="0" t="n">
        <v>3</v>
      </c>
      <c r="G1073" s="1"/>
      <c r="H1073" s="1"/>
      <c r="I1073" s="0" t="n">
        <f aca="false">26.2+32+28.2</f>
        <v>86.4</v>
      </c>
      <c r="J1073" s="0" t="n">
        <f aca="false">(I1073/32)*5</f>
        <v>13.5</v>
      </c>
      <c r="L1073" s="0" t="n">
        <v>23</v>
      </c>
      <c r="M1073" s="0" t="n">
        <v>0</v>
      </c>
      <c r="N1073" s="0" t="n">
        <f aca="false">L1073</f>
        <v>23</v>
      </c>
      <c r="O1073" s="3" t="n">
        <f aca="false">LOOKUP(L1073,$AB$3:$AC$123)</f>
        <v>1.09445</v>
      </c>
      <c r="P1073" s="3" t="n">
        <f aca="false">(O1073*(N1073/100)*(J1073/1000))*1000</f>
        <v>3.39826725</v>
      </c>
      <c r="Q1073" s="3"/>
      <c r="R1073" s="1"/>
      <c r="S1073" s="1"/>
      <c r="T1073" s="1"/>
      <c r="U1073" s="1"/>
      <c r="V1073" s="1"/>
      <c r="W1073" s="1"/>
      <c r="X1073" s="1"/>
      <c r="Y1073" s="5"/>
      <c r="Z1073" s="1"/>
    </row>
    <row r="1074" customFormat="false" ht="15" hidden="false" customHeight="false" outlineLevel="0" collapsed="false">
      <c r="A1074" s="0" t="s">
        <v>63</v>
      </c>
      <c r="B1074" s="0" t="s">
        <v>64</v>
      </c>
      <c r="C1074" s="0" t="s">
        <v>56</v>
      </c>
      <c r="D1074" s="0" t="s">
        <v>150</v>
      </c>
      <c r="E1074" s="0" t="n">
        <v>23</v>
      </c>
      <c r="F1074" s="0" t="n">
        <v>0</v>
      </c>
      <c r="G1074" s="1"/>
      <c r="H1074" s="1"/>
      <c r="I1074" s="0" t="n">
        <v>0</v>
      </c>
      <c r="J1074" s="0" t="n">
        <f aca="false">(I1074/32)*5</f>
        <v>0</v>
      </c>
      <c r="L1074" s="0" t="n">
        <v>0</v>
      </c>
      <c r="M1074" s="0" t="n">
        <v>0</v>
      </c>
      <c r="N1074" s="0" t="n">
        <f aca="false">L1074</f>
        <v>0</v>
      </c>
      <c r="O1074" s="3" t="n">
        <v>0</v>
      </c>
      <c r="P1074" s="3" t="n">
        <f aca="false">(O1074*(N1074/100)*(J1074/1000))*1000</f>
        <v>0</v>
      </c>
      <c r="Q1074" s="3"/>
      <c r="R1074" s="1"/>
      <c r="S1074" s="1"/>
      <c r="T1074" s="1"/>
      <c r="U1074" s="1"/>
      <c r="V1074" s="1"/>
      <c r="W1074" s="1"/>
      <c r="X1074" s="1"/>
      <c r="Y1074" s="5"/>
      <c r="Z1074" s="1"/>
    </row>
    <row r="1075" customFormat="false" ht="15" hidden="false" customHeight="false" outlineLevel="0" collapsed="false">
      <c r="A1075" s="0" t="s">
        <v>65</v>
      </c>
      <c r="B1075" s="0" t="s">
        <v>66</v>
      </c>
      <c r="C1075" s="0" t="s">
        <v>56</v>
      </c>
      <c r="D1075" s="0" t="s">
        <v>150</v>
      </c>
      <c r="E1075" s="0" t="n">
        <v>23</v>
      </c>
      <c r="F1075" s="0" t="n">
        <v>4</v>
      </c>
      <c r="G1075" s="1"/>
      <c r="H1075" s="1"/>
      <c r="I1075" s="0" t="n">
        <f aca="false">21.7+32+29.3+17.6</f>
        <v>100.6</v>
      </c>
      <c r="J1075" s="0" t="n">
        <f aca="false">(I1075/32)*5</f>
        <v>15.71875</v>
      </c>
      <c r="L1075" s="0" t="n">
        <v>21</v>
      </c>
      <c r="M1075" s="0" t="n">
        <v>0</v>
      </c>
      <c r="N1075" s="0" t="n">
        <f aca="false">L1075</f>
        <v>21</v>
      </c>
      <c r="O1075" s="3" t="n">
        <f aca="false">LOOKUP(L1075,$AB$3:$AC$123)</f>
        <v>1.08545</v>
      </c>
      <c r="P1075" s="3" t="n">
        <f aca="false">(O1075*(N1075/100)*(J1075/1000))*1000</f>
        <v>3.583002609375</v>
      </c>
      <c r="Q1075" s="3"/>
      <c r="R1075" s="1"/>
      <c r="S1075" s="1"/>
      <c r="T1075" s="1"/>
      <c r="U1075" s="1"/>
      <c r="V1075" s="1"/>
      <c r="W1075" s="1"/>
      <c r="X1075" s="1"/>
      <c r="Y1075" s="5"/>
      <c r="Z1075" s="1"/>
    </row>
    <row r="1076" customFormat="false" ht="15" hidden="false" customHeight="false" outlineLevel="0" collapsed="false">
      <c r="A1076" s="0" t="s">
        <v>67</v>
      </c>
      <c r="B1076" s="0" t="s">
        <v>68</v>
      </c>
      <c r="C1076" s="0" t="s">
        <v>56</v>
      </c>
      <c r="D1076" s="0" t="s">
        <v>150</v>
      </c>
      <c r="E1076" s="0" t="n">
        <v>23</v>
      </c>
      <c r="F1076" s="0" t="n">
        <v>2</v>
      </c>
      <c r="G1076" s="1"/>
      <c r="H1076" s="1"/>
      <c r="I1076" s="0" t="n">
        <v>21.4</v>
      </c>
      <c r="J1076" s="0" t="n">
        <f aca="false">(I1076/32)*5</f>
        <v>3.34375</v>
      </c>
      <c r="L1076" s="0" t="n">
        <v>26</v>
      </c>
      <c r="M1076" s="0" t="n">
        <v>0</v>
      </c>
      <c r="N1076" s="0" t="n">
        <f aca="false">L1076</f>
        <v>26</v>
      </c>
      <c r="O1076" s="3" t="n">
        <f aca="false">LOOKUP(L1076,$AB$3:$AC$123)</f>
        <v>1.1081</v>
      </c>
      <c r="P1076" s="3" t="n">
        <f aca="false">(O1076*(N1076/100)*(J1076/1000))*1000</f>
        <v>0.9633544375</v>
      </c>
      <c r="Q1076" s="3"/>
      <c r="R1076" s="1"/>
      <c r="S1076" s="1"/>
      <c r="T1076" s="1"/>
      <c r="U1076" s="1"/>
      <c r="V1076" s="1"/>
      <c r="W1076" s="1"/>
      <c r="X1076" s="1"/>
      <c r="Y1076" s="5"/>
      <c r="Z1076" s="1"/>
    </row>
    <row r="1077" customFormat="false" ht="15" hidden="false" customHeight="false" outlineLevel="0" collapsed="false">
      <c r="A1077" s="0" t="s">
        <v>69</v>
      </c>
      <c r="B1077" s="0" t="s">
        <v>70</v>
      </c>
      <c r="C1077" s="0" t="s">
        <v>56</v>
      </c>
      <c r="D1077" s="0" t="s">
        <v>150</v>
      </c>
      <c r="E1077" s="0" t="n">
        <v>23</v>
      </c>
      <c r="F1077" s="0" t="n">
        <v>1</v>
      </c>
      <c r="G1077" s="1"/>
      <c r="H1077" s="1"/>
      <c r="I1077" s="0" t="n">
        <v>15.2</v>
      </c>
      <c r="J1077" s="0" t="n">
        <f aca="false">(I1077/32)*5</f>
        <v>2.375</v>
      </c>
      <c r="L1077" s="0" t="n">
        <v>25.5</v>
      </c>
      <c r="M1077" s="0" t="n">
        <v>0</v>
      </c>
      <c r="N1077" s="0" t="n">
        <f aca="false">L1077</f>
        <v>25.5</v>
      </c>
      <c r="O1077" s="3" t="n">
        <f aca="false">LOOKUP(L1077,$AB$3:$AC$123)</f>
        <v>1.105825</v>
      </c>
      <c r="P1077" s="3" t="n">
        <f aca="false">(O1077*(N1077/100)*(J1077/1000))*1000</f>
        <v>0.669715265625</v>
      </c>
      <c r="Q1077" s="3"/>
      <c r="R1077" s="1"/>
      <c r="S1077" s="1"/>
      <c r="T1077" s="1"/>
      <c r="U1077" s="1"/>
      <c r="V1077" s="1"/>
      <c r="W1077" s="1"/>
      <c r="X1077" s="1"/>
      <c r="Y1077" s="5"/>
      <c r="Z1077" s="1"/>
    </row>
    <row r="1078" customFormat="false" ht="15" hidden="false" customHeight="false" outlineLevel="0" collapsed="false">
      <c r="A1078" s="0" t="s">
        <v>71</v>
      </c>
      <c r="B1078" s="0" t="s">
        <v>72</v>
      </c>
      <c r="C1078" s="0" t="s">
        <v>56</v>
      </c>
      <c r="D1078" s="0" t="s">
        <v>150</v>
      </c>
      <c r="E1078" s="0" t="n">
        <v>23</v>
      </c>
      <c r="F1078" s="0" t="n">
        <v>1</v>
      </c>
      <c r="G1078" s="1"/>
      <c r="H1078" s="1"/>
      <c r="I1078" s="0" t="n">
        <v>16.4</v>
      </c>
      <c r="J1078" s="0" t="n">
        <f aca="false">(I1078/32)*5</f>
        <v>2.5625</v>
      </c>
      <c r="L1078" s="0" t="n">
        <v>28.5</v>
      </c>
      <c r="M1078" s="0" t="n">
        <v>0</v>
      </c>
      <c r="N1078" s="0" t="n">
        <f aca="false">L1078</f>
        <v>28.5</v>
      </c>
      <c r="O1078" s="3" t="n">
        <f aca="false">LOOKUP(L1078,$AB$3:$AC$123)</f>
        <v>1.119875</v>
      </c>
      <c r="P1078" s="3" t="n">
        <f aca="false">(O1078*(N1078/100)*(J1078/1000))*1000</f>
        <v>0.8178587109375</v>
      </c>
      <c r="Q1078" s="3"/>
      <c r="R1078" s="1"/>
      <c r="S1078" s="1"/>
      <c r="T1078" s="1"/>
      <c r="U1078" s="1"/>
      <c r="V1078" s="1"/>
      <c r="W1078" s="1"/>
      <c r="X1078" s="1"/>
      <c r="Y1078" s="5"/>
      <c r="Z1078" s="1"/>
    </row>
    <row r="1079" customFormat="false" ht="15" hidden="false" customHeight="false" outlineLevel="0" collapsed="false">
      <c r="A1079" s="0" t="s">
        <v>73</v>
      </c>
      <c r="B1079" s="0" t="s">
        <v>74</v>
      </c>
      <c r="C1079" s="0" t="s">
        <v>56</v>
      </c>
      <c r="D1079" s="0" t="s">
        <v>150</v>
      </c>
      <c r="E1079" s="0" t="n">
        <v>23</v>
      </c>
      <c r="F1079" s="0" t="n">
        <v>1</v>
      </c>
      <c r="G1079" s="1"/>
      <c r="H1079" s="1"/>
      <c r="I1079" s="0" t="n">
        <v>13.4</v>
      </c>
      <c r="J1079" s="0" t="n">
        <f aca="false">(I1079/32)*5</f>
        <v>2.09375</v>
      </c>
      <c r="L1079" s="0" t="n">
        <v>27</v>
      </c>
      <c r="M1079" s="0" t="n">
        <v>0</v>
      </c>
      <c r="N1079" s="0" t="n">
        <f aca="false">L1079</f>
        <v>27</v>
      </c>
      <c r="O1079" s="3" t="n">
        <f aca="false">LOOKUP(L1079,$AB$3:$AC$123)</f>
        <v>1.1128</v>
      </c>
      <c r="P1079" s="3" t="n">
        <f aca="false">(O1079*(N1079/100)*(J1079/1000))*1000</f>
        <v>0.62907975</v>
      </c>
      <c r="Q1079" s="3"/>
      <c r="R1079" s="1"/>
      <c r="S1079" s="1"/>
      <c r="T1079" s="1"/>
      <c r="U1079" s="1"/>
      <c r="V1079" s="1"/>
      <c r="W1079" s="1"/>
      <c r="X1079" s="1"/>
      <c r="Y1079" s="5"/>
      <c r="Z1079" s="1"/>
    </row>
    <row r="1080" customFormat="false" ht="15" hidden="false" customHeight="false" outlineLevel="0" collapsed="false">
      <c r="A1080" s="0" t="s">
        <v>75</v>
      </c>
      <c r="B1080" s="0" t="s">
        <v>76</v>
      </c>
      <c r="C1080" s="0" t="s">
        <v>56</v>
      </c>
      <c r="D1080" s="0" t="s">
        <v>150</v>
      </c>
      <c r="E1080" s="0" t="n">
        <v>23</v>
      </c>
      <c r="F1080" s="0" t="n">
        <v>3</v>
      </c>
      <c r="G1080" s="1"/>
      <c r="H1080" s="1"/>
      <c r="I1080" s="0" t="n">
        <v>64</v>
      </c>
      <c r="J1080" s="0" t="n">
        <f aca="false">(I1080/32)*5</f>
        <v>10</v>
      </c>
      <c r="L1080" s="0" t="n">
        <v>26.5</v>
      </c>
      <c r="M1080" s="0" t="n">
        <v>0</v>
      </c>
      <c r="N1080" s="0" t="n">
        <f aca="false">L1080</f>
        <v>26.5</v>
      </c>
      <c r="O1080" s="3" t="n">
        <f aca="false">LOOKUP(L1080,$AB$3:$AC$123)</f>
        <v>1.11045</v>
      </c>
      <c r="P1080" s="3" t="n">
        <f aca="false">(O1080*(N1080/100)*(J1080/1000))*1000</f>
        <v>2.9426925</v>
      </c>
      <c r="Q1080" s="3"/>
      <c r="R1080" s="1"/>
      <c r="S1080" s="1"/>
      <c r="T1080" s="1"/>
      <c r="U1080" s="1"/>
      <c r="V1080" s="1"/>
      <c r="W1080" s="1"/>
      <c r="X1080" s="1"/>
      <c r="Y1080" s="5"/>
      <c r="Z1080" s="1"/>
    </row>
    <row r="1081" customFormat="false" ht="15" hidden="false" customHeight="false" outlineLevel="0" collapsed="false">
      <c r="A1081" s="0" t="s">
        <v>77</v>
      </c>
      <c r="B1081" s="0" t="s">
        <v>78</v>
      </c>
      <c r="C1081" s="0" t="s">
        <v>56</v>
      </c>
      <c r="D1081" s="0" t="s">
        <v>150</v>
      </c>
      <c r="E1081" s="0" t="n">
        <v>23</v>
      </c>
      <c r="F1081" s="0" t="n">
        <v>2</v>
      </c>
      <c r="G1081" s="1"/>
      <c r="H1081" s="1"/>
      <c r="I1081" s="0" t="n">
        <f aca="false">32+9.6</f>
        <v>41.6</v>
      </c>
      <c r="J1081" s="0" t="n">
        <f aca="false">(I1081/32)*5</f>
        <v>6.5</v>
      </c>
      <c r="L1081" s="0" t="n">
        <v>20.5</v>
      </c>
      <c r="M1081" s="0" t="n">
        <v>0</v>
      </c>
      <c r="N1081" s="0" t="n">
        <f aca="false">L1081</f>
        <v>20.5</v>
      </c>
      <c r="O1081" s="3" t="n">
        <f aca="false">LOOKUP(L1081,$AB$3:$AC$123)</f>
        <v>1.083225</v>
      </c>
      <c r="P1081" s="3" t="n">
        <f aca="false">(O1081*(N1081/100)*(J1081/1000))*1000</f>
        <v>1.4433973125</v>
      </c>
      <c r="Q1081" s="3"/>
      <c r="R1081" s="1"/>
      <c r="S1081" s="1"/>
      <c r="T1081" s="1"/>
      <c r="U1081" s="1"/>
      <c r="V1081" s="1"/>
      <c r="W1081" s="1"/>
      <c r="X1081" s="1"/>
      <c r="Y1081" s="5"/>
      <c r="Z1081" s="1"/>
    </row>
    <row r="1082" customFormat="false" ht="15" hidden="false" customHeight="false" outlineLevel="0" collapsed="false">
      <c r="A1082" s="0" t="s">
        <v>79</v>
      </c>
      <c r="B1082" s="0" t="s">
        <v>80</v>
      </c>
      <c r="C1082" s="0" t="s">
        <v>81</v>
      </c>
      <c r="D1082" s="0" t="s">
        <v>150</v>
      </c>
      <c r="E1082" s="0" t="n">
        <v>23</v>
      </c>
      <c r="F1082" s="0" t="n">
        <v>0</v>
      </c>
      <c r="G1082" s="1"/>
      <c r="H1082" s="1"/>
      <c r="I1082" s="0" t="n">
        <v>0</v>
      </c>
      <c r="J1082" s="0" t="n">
        <f aca="false">(I1082/32)*5</f>
        <v>0</v>
      </c>
      <c r="L1082" s="0" t="n">
        <v>0</v>
      </c>
      <c r="M1082" s="0" t="n">
        <v>0</v>
      </c>
      <c r="N1082" s="0" t="n">
        <f aca="false">L1082</f>
        <v>0</v>
      </c>
      <c r="O1082" s="3" t="n">
        <v>0</v>
      </c>
      <c r="P1082" s="3" t="n">
        <f aca="false">(O1082*(N1082/100)*(J1082/1000))*1000</f>
        <v>0</v>
      </c>
      <c r="Q1082" s="3"/>
      <c r="R1082" s="0" t="n">
        <v>1</v>
      </c>
      <c r="S1082" s="0" t="n">
        <v>1.2</v>
      </c>
      <c r="T1082" s="0" t="n">
        <f aca="false">(S1082/32)*5</f>
        <v>0.1875</v>
      </c>
      <c r="V1082" s="0" t="n">
        <v>6</v>
      </c>
      <c r="W1082" s="0" t="n">
        <v>1</v>
      </c>
      <c r="X1082" s="3" t="n">
        <f aca="false">LOOKUP(V1082,$AB$3:$AC$123)</f>
        <v>1.0218</v>
      </c>
      <c r="Y1082" s="2" t="n">
        <f aca="false">(V1082*((W1082+T1082)/1000)*X1082)/((((W1082+T1082)/1000)*X1082)-((W1082/1000)*0.9982))</f>
        <v>33.832471681673</v>
      </c>
      <c r="Z1082" s="3" t="n">
        <f aca="false">(X1082*(V1082/100)*((W1082+T1082)/1000))*1000</f>
        <v>0.07280325</v>
      </c>
    </row>
    <row r="1083" customFormat="false" ht="15" hidden="false" customHeight="false" outlineLevel="0" collapsed="false">
      <c r="A1083" s="0" t="s">
        <v>82</v>
      </c>
      <c r="B1083" s="0" t="s">
        <v>83</v>
      </c>
      <c r="C1083" s="0" t="s">
        <v>81</v>
      </c>
      <c r="D1083" s="0" t="s">
        <v>150</v>
      </c>
      <c r="E1083" s="0" t="n">
        <v>23</v>
      </c>
      <c r="F1083" s="0" t="n">
        <v>0</v>
      </c>
      <c r="G1083" s="1"/>
      <c r="H1083" s="1"/>
      <c r="I1083" s="0" t="n">
        <v>0</v>
      </c>
      <c r="J1083" s="0" t="n">
        <f aca="false">(I1083/32)*5</f>
        <v>0</v>
      </c>
      <c r="L1083" s="0" t="n">
        <v>0</v>
      </c>
      <c r="M1083" s="0" t="n">
        <v>0</v>
      </c>
      <c r="N1083" s="0" t="n">
        <f aca="false">L1083</f>
        <v>0</v>
      </c>
      <c r="O1083" s="3" t="n">
        <v>0</v>
      </c>
      <c r="P1083" s="3" t="n">
        <f aca="false">(O1083*(N1083/100)*(J1083/1000))*1000</f>
        <v>0</v>
      </c>
      <c r="Q1083" s="3"/>
      <c r="R1083" s="0" t="n">
        <v>2</v>
      </c>
      <c r="S1083" s="0" t="n">
        <v>4.9</v>
      </c>
      <c r="T1083" s="0" t="n">
        <f aca="false">(S1083/32)*5</f>
        <v>0.765625</v>
      </c>
      <c r="V1083" s="0" t="n">
        <v>16</v>
      </c>
      <c r="W1083" s="0" t="n">
        <v>4</v>
      </c>
      <c r="X1083" s="3" t="n">
        <f aca="false">LOOKUP(V1083,$AB$3:$AC$123)</f>
        <v>1.0635</v>
      </c>
      <c r="Y1083" s="2" t="n">
        <f aca="false">(V1083*((W1083+T1083)/1000)*X1083)/((((W1083+T1083)/1000)*X1083)-((W1083/1000)*0.9982))</f>
        <v>75.403286148285</v>
      </c>
      <c r="Z1083" s="3" t="n">
        <f aca="false">(X1083*(V1083/100)*((W1083+T1083)/1000))*1000</f>
        <v>0.81091875</v>
      </c>
    </row>
    <row r="1084" customFormat="false" ht="15" hidden="false" customHeight="false" outlineLevel="0" collapsed="false">
      <c r="A1084" s="0" t="s">
        <v>84</v>
      </c>
      <c r="B1084" s="0" t="s">
        <v>85</v>
      </c>
      <c r="C1084" s="0" t="s">
        <v>81</v>
      </c>
      <c r="D1084" s="0" t="s">
        <v>150</v>
      </c>
      <c r="E1084" s="0" t="n">
        <v>23</v>
      </c>
      <c r="F1084" s="0" t="n">
        <v>2</v>
      </c>
      <c r="G1084" s="1"/>
      <c r="H1084" s="1"/>
      <c r="I1084" s="0" t="n">
        <f aca="false">27+17</f>
        <v>44</v>
      </c>
      <c r="J1084" s="0" t="n">
        <f aca="false">(I1084/32)*5</f>
        <v>6.875</v>
      </c>
      <c r="L1084" s="0" t="n">
        <v>17.5</v>
      </c>
      <c r="M1084" s="0" t="n">
        <v>0</v>
      </c>
      <c r="N1084" s="0" t="n">
        <f aca="false">L1084</f>
        <v>17.5</v>
      </c>
      <c r="O1084" s="3" t="n">
        <f aca="false">LOOKUP(L1084,$AB$3:$AC$123)</f>
        <v>1.07</v>
      </c>
      <c r="P1084" s="3" t="n">
        <f aca="false">(O1084*(N1084/100)*(J1084/1000))*1000</f>
        <v>1.28734375</v>
      </c>
      <c r="Q1084" s="3"/>
      <c r="R1084" s="0" t="n">
        <v>2</v>
      </c>
      <c r="S1084" s="0" t="n">
        <v>7.9</v>
      </c>
      <c r="T1084" s="0" t="n">
        <f aca="false">(S1084/32)*5</f>
        <v>1.234375</v>
      </c>
      <c r="V1084" s="0" t="n">
        <v>14</v>
      </c>
      <c r="W1084" s="0" t="n">
        <v>4</v>
      </c>
      <c r="X1084" s="3" t="n">
        <f aca="false">LOOKUP(V1084,$AB$3:$AC$123)</f>
        <v>1.0549</v>
      </c>
      <c r="Y1084" s="2" t="n">
        <f aca="false">(V1084*((W1084+T1084)/1000)*X1084)/((((W1084+T1084)/1000)*X1084)-((W1084/1000)*0.9982))</f>
        <v>50.5607022011746</v>
      </c>
      <c r="Z1084" s="3" t="n">
        <f aca="false">(X1084*(V1084/100)*((W1084+T1084)/1000))*1000</f>
        <v>0.77304390625</v>
      </c>
    </row>
    <row r="1085" customFormat="false" ht="15" hidden="false" customHeight="false" outlineLevel="0" collapsed="false">
      <c r="A1085" s="0" t="s">
        <v>86</v>
      </c>
      <c r="B1085" s="0" t="s">
        <v>87</v>
      </c>
      <c r="C1085" s="0" t="s">
        <v>81</v>
      </c>
      <c r="D1085" s="0" t="s">
        <v>150</v>
      </c>
      <c r="E1085" s="0" t="n">
        <v>23</v>
      </c>
      <c r="F1085" s="0" t="n">
        <v>1</v>
      </c>
      <c r="G1085" s="1"/>
      <c r="H1085" s="1"/>
      <c r="I1085" s="0" t="n">
        <v>16.1</v>
      </c>
      <c r="J1085" s="0" t="n">
        <f aca="false">(I1085/32)*5</f>
        <v>2.515625</v>
      </c>
      <c r="L1085" s="0" t="n">
        <v>16</v>
      </c>
      <c r="M1085" s="0" t="n">
        <v>0</v>
      </c>
      <c r="N1085" s="0" t="n">
        <f aca="false">L1085</f>
        <v>16</v>
      </c>
      <c r="O1085" s="3" t="n">
        <f aca="false">LOOKUP(L1085,$AB$3:$AC$123)</f>
        <v>1.0635</v>
      </c>
      <c r="P1085" s="3" t="n">
        <f aca="false">(O1085*(N1085/100)*(J1085/1000))*1000</f>
        <v>0.42805875</v>
      </c>
      <c r="Q1085" s="3"/>
      <c r="R1085" s="0" t="n">
        <v>2</v>
      </c>
      <c r="S1085" s="0" t="n">
        <v>6.8</v>
      </c>
      <c r="T1085" s="0" t="n">
        <f aca="false">(S1085/32)*5</f>
        <v>1.0625</v>
      </c>
      <c r="V1085" s="0" t="n">
        <v>10</v>
      </c>
      <c r="W1085" s="0" t="n">
        <v>4</v>
      </c>
      <c r="X1085" s="3" t="n">
        <f aca="false">LOOKUP(V1085,$AB$3:$AC$123)</f>
        <v>1.0381</v>
      </c>
      <c r="Y1085" s="2" t="n">
        <f aca="false">(V1085*((W1085+T1085)/1000)*X1085)/((((W1085+T1085)/1000)*X1085)-((W1085/1000)*0.9982))</f>
        <v>41.6241033992862</v>
      </c>
      <c r="Z1085" s="3" t="n">
        <f aca="false">(X1085*(V1085/100)*((W1085+T1085)/1000))*1000</f>
        <v>0.525538125</v>
      </c>
    </row>
    <row r="1086" customFormat="false" ht="15" hidden="false" customHeight="false" outlineLevel="0" collapsed="false">
      <c r="A1086" s="0" t="s">
        <v>88</v>
      </c>
      <c r="B1086" s="0" t="s">
        <v>89</v>
      </c>
      <c r="C1086" s="0" t="s">
        <v>81</v>
      </c>
      <c r="D1086" s="0" t="s">
        <v>150</v>
      </c>
      <c r="E1086" s="0" t="n">
        <v>23</v>
      </c>
      <c r="F1086" s="0" t="n">
        <v>2</v>
      </c>
      <c r="G1086" s="1"/>
      <c r="H1086" s="1"/>
      <c r="I1086" s="0" t="n">
        <f aca="false">63.5+23.6</f>
        <v>87.1</v>
      </c>
      <c r="J1086" s="0" t="n">
        <f aca="false">(I1086/32)*5</f>
        <v>13.609375</v>
      </c>
      <c r="L1086" s="0" t="n">
        <v>23</v>
      </c>
      <c r="M1086" s="0" t="n">
        <v>0</v>
      </c>
      <c r="N1086" s="0" t="n">
        <f aca="false">L1086</f>
        <v>23</v>
      </c>
      <c r="O1086" s="3" t="n">
        <f aca="false">LOOKUP(L1086,$AB$3:$AC$123)</f>
        <v>1.09445</v>
      </c>
      <c r="P1086" s="3" t="n">
        <f aca="false">(O1086*(N1086/100)*(J1086/1000))*1000</f>
        <v>3.4257995078125</v>
      </c>
      <c r="Q1086" s="3"/>
      <c r="R1086" s="0" t="n">
        <v>3</v>
      </c>
      <c r="S1086" s="0" t="n">
        <v>9.4</v>
      </c>
      <c r="T1086" s="0" t="n">
        <f aca="false">(S1086/32)*5</f>
        <v>1.46875</v>
      </c>
      <c r="V1086" s="0" t="n">
        <v>17</v>
      </c>
      <c r="W1086" s="0" t="n">
        <v>4</v>
      </c>
      <c r="X1086" s="3" t="n">
        <f aca="false">LOOKUP(V1086,$AB$3:$AC$123)</f>
        <v>1.0678</v>
      </c>
      <c r="Y1086" s="2" t="n">
        <f aca="false">(V1086*((W1086+T1086)/1000)*X1086)/((((W1086+T1086)/1000)*X1086)-((W1086/1000)*0.9982))</f>
        <v>53.7555376560612</v>
      </c>
      <c r="Z1086" s="3" t="n">
        <f aca="false">(X1086*(V1086/100)*((W1086+T1086)/1000))*1000</f>
        <v>0.9927203125</v>
      </c>
    </row>
    <row r="1087" customFormat="false" ht="15" hidden="false" customHeight="false" outlineLevel="0" collapsed="false">
      <c r="A1087" s="0" t="s">
        <v>90</v>
      </c>
      <c r="B1087" s="0" t="s">
        <v>91</v>
      </c>
      <c r="C1087" s="0" t="s">
        <v>81</v>
      </c>
      <c r="D1087" s="0" t="s">
        <v>150</v>
      </c>
      <c r="E1087" s="0" t="n">
        <v>23</v>
      </c>
      <c r="F1087" s="0" t="n">
        <v>0</v>
      </c>
      <c r="G1087" s="1"/>
      <c r="H1087" s="1"/>
      <c r="I1087" s="0" t="n">
        <v>0</v>
      </c>
      <c r="J1087" s="0" t="n">
        <f aca="false">(I1087/32)*5</f>
        <v>0</v>
      </c>
      <c r="L1087" s="0" t="n">
        <v>0</v>
      </c>
      <c r="M1087" s="0" t="n">
        <v>0</v>
      </c>
      <c r="N1087" s="0" t="n">
        <f aca="false">L1087</f>
        <v>0</v>
      </c>
      <c r="O1087" s="3" t="n">
        <v>0</v>
      </c>
      <c r="P1087" s="3" t="n">
        <f aca="false">(O1087*(N1087/100)*(J1087/1000))*1000</f>
        <v>0</v>
      </c>
      <c r="Q1087" s="3"/>
      <c r="R1087" s="0" t="n">
        <v>4</v>
      </c>
      <c r="S1087" s="0" t="n">
        <v>16.4</v>
      </c>
      <c r="T1087" s="0" t="n">
        <f aca="false">(S1087/32)*5</f>
        <v>2.5625</v>
      </c>
      <c r="V1087" s="0" t="n">
        <v>18</v>
      </c>
      <c r="W1087" s="0" t="n">
        <v>4</v>
      </c>
      <c r="X1087" s="3" t="n">
        <f aca="false">LOOKUP(V1087,$AB$3:$AC$123)</f>
        <v>1.0722</v>
      </c>
      <c r="Y1087" s="2" t="n">
        <f aca="false">(V1087*((W1087+T1087)/1000)*X1087)/((((W1087+T1087)/1000)*X1087)-((W1087/1000)*0.9982))</f>
        <v>41.6142943391887</v>
      </c>
      <c r="Z1087" s="3" t="n">
        <f aca="false">(X1087*(V1087/100)*((W1087+T1087)/1000))*1000</f>
        <v>1.26653625</v>
      </c>
    </row>
    <row r="1088" customFormat="false" ht="15" hidden="false" customHeight="false" outlineLevel="0" collapsed="false">
      <c r="A1088" s="0" t="s">
        <v>92</v>
      </c>
      <c r="B1088" s="0" t="s">
        <v>93</v>
      </c>
      <c r="C1088" s="0" t="s">
        <v>81</v>
      </c>
      <c r="D1088" s="0" t="s">
        <v>150</v>
      </c>
      <c r="E1088" s="0" t="n">
        <v>23</v>
      </c>
      <c r="F1088" s="0" t="n">
        <v>3</v>
      </c>
      <c r="G1088" s="1"/>
      <c r="H1088" s="1"/>
      <c r="I1088" s="0" t="n">
        <v>21.4</v>
      </c>
      <c r="J1088" s="0" t="n">
        <f aca="false">(I1088/32)*5</f>
        <v>3.34375</v>
      </c>
      <c r="L1088" s="0" t="n">
        <v>23</v>
      </c>
      <c r="M1088" s="0" t="n">
        <v>0</v>
      </c>
      <c r="N1088" s="0" t="n">
        <f aca="false">L1088</f>
        <v>23</v>
      </c>
      <c r="O1088" s="3" t="n">
        <f aca="false">LOOKUP(L1088,$AB$3:$AC$123)</f>
        <v>1.09445</v>
      </c>
      <c r="P1088" s="3" t="n">
        <f aca="false">(O1088*(N1088/100)*(J1088/1000))*1000</f>
        <v>0.841700453125</v>
      </c>
      <c r="Q1088" s="3"/>
      <c r="R1088" s="0" t="n">
        <v>4</v>
      </c>
      <c r="S1088" s="0" t="n">
        <v>15.5</v>
      </c>
      <c r="T1088" s="0" t="n">
        <f aca="false">(S1088/32)*5</f>
        <v>2.421875</v>
      </c>
      <c r="V1088" s="0" t="n">
        <v>32</v>
      </c>
      <c r="W1088" s="0" t="n">
        <v>4</v>
      </c>
      <c r="X1088" s="3" t="n">
        <f aca="false">LOOKUP(V1088,$AB$3:$AC$123)</f>
        <v>1.1366</v>
      </c>
      <c r="Y1088" s="2" t="n">
        <f aca="false">(V1088*((W1088+T1088)/1000)*X1088)/((((W1088+T1088)/1000)*X1088)-((W1088/1000)*0.9982))</f>
        <v>70.644248627385</v>
      </c>
      <c r="Z1088" s="3" t="n">
        <f aca="false">(X1088*(V1088/100)*((W1088+T1088)/1000))*1000</f>
        <v>2.335713</v>
      </c>
    </row>
    <row r="1089" customFormat="false" ht="15" hidden="false" customHeight="false" outlineLevel="0" collapsed="false">
      <c r="A1089" s="0" t="s">
        <v>94</v>
      </c>
      <c r="B1089" s="0" t="s">
        <v>95</v>
      </c>
      <c r="C1089" s="0" t="s">
        <v>81</v>
      </c>
      <c r="D1089" s="0" t="s">
        <v>150</v>
      </c>
      <c r="E1089" s="0" t="n">
        <v>23</v>
      </c>
      <c r="F1089" s="0" t="n">
        <v>1</v>
      </c>
      <c r="G1089" s="1"/>
      <c r="H1089" s="1"/>
      <c r="I1089" s="0" t="n">
        <v>16.7</v>
      </c>
      <c r="J1089" s="0" t="n">
        <f aca="false">(I1089/32)*5</f>
        <v>2.609375</v>
      </c>
      <c r="L1089" s="0" t="n">
        <v>26.5</v>
      </c>
      <c r="M1089" s="0" t="n">
        <v>0</v>
      </c>
      <c r="N1089" s="0" t="n">
        <f aca="false">L1089</f>
        <v>26.5</v>
      </c>
      <c r="O1089" s="3" t="n">
        <f aca="false">LOOKUP(L1089,$AB$3:$AC$123)</f>
        <v>1.11045</v>
      </c>
      <c r="P1089" s="3" t="n">
        <f aca="false">(O1089*(N1089/100)*(J1089/1000))*1000</f>
        <v>0.76785882421875</v>
      </c>
      <c r="Q1089" s="3"/>
      <c r="R1089" s="0" t="n">
        <v>11</v>
      </c>
      <c r="S1089" s="0" t="n">
        <f aca="false">64+3.3</f>
        <v>67.3</v>
      </c>
      <c r="T1089" s="0" t="n">
        <f aca="false">(S1089/32)*5</f>
        <v>10.515625</v>
      </c>
      <c r="V1089" s="0" t="n">
        <v>48</v>
      </c>
      <c r="W1089" s="0" t="n">
        <v>4</v>
      </c>
      <c r="X1089" s="3" t="n">
        <f aca="false">LOOKUP(V1089,$AB$3:$AC$123)</f>
        <v>1.2186</v>
      </c>
      <c r="Y1089" s="2" t="n">
        <f aca="false">(V1089*((W1089+T1089)/1000)*X1089)/((((W1089+T1089)/1000)*X1089)-((W1089/1000)*0.9982))</f>
        <v>61.9935186087301</v>
      </c>
      <c r="Z1089" s="3" t="n">
        <f aca="false">(X1089*(V1089/100)*((W1089+T1089)/1000))*1000</f>
        <v>8.4905955</v>
      </c>
    </row>
    <row r="1090" customFormat="false" ht="15" hidden="false" customHeight="false" outlineLevel="0" collapsed="false">
      <c r="A1090" s="0" t="s">
        <v>96</v>
      </c>
      <c r="B1090" s="0" t="s">
        <v>97</v>
      </c>
      <c r="C1090" s="0" t="s">
        <v>81</v>
      </c>
      <c r="D1090" s="0" t="s">
        <v>150</v>
      </c>
      <c r="E1090" s="0" t="n">
        <v>23</v>
      </c>
      <c r="F1090" s="0" t="n">
        <v>1</v>
      </c>
      <c r="G1090" s="1"/>
      <c r="H1090" s="1"/>
      <c r="I1090" s="0" t="n">
        <v>9.7</v>
      </c>
      <c r="J1090" s="0" t="n">
        <f aca="false">(I1090/32)*5</f>
        <v>1.515625</v>
      </c>
      <c r="L1090" s="0" t="n">
        <v>25</v>
      </c>
      <c r="M1090" s="0" t="n">
        <v>0</v>
      </c>
      <c r="N1090" s="0" t="n">
        <f aca="false">L1090</f>
        <v>25</v>
      </c>
      <c r="O1090" s="3" t="n">
        <f aca="false">LOOKUP(L1090,$AB$3:$AC$123)</f>
        <v>1.10355</v>
      </c>
      <c r="P1090" s="3" t="n">
        <f aca="false">(O1090*(N1090/100)*(J1090/1000))*1000</f>
        <v>0.4181419921875</v>
      </c>
      <c r="Q1090" s="3"/>
      <c r="R1090" s="0" t="n">
        <v>3</v>
      </c>
      <c r="S1090" s="0" t="n">
        <v>4.7</v>
      </c>
      <c r="T1090" s="0" t="n">
        <f aca="false">(S1090/32)*5</f>
        <v>0.734375</v>
      </c>
      <c r="V1090" s="0" t="n">
        <v>9</v>
      </c>
      <c r="W1090" s="0" t="n">
        <v>4</v>
      </c>
      <c r="X1090" s="3" t="n">
        <f aca="false">LOOKUP(V1090,$AB$3:$AC$123)</f>
        <v>1.0341</v>
      </c>
      <c r="Y1090" s="2" t="n">
        <f aca="false">(V1090*((W1090+T1090)/1000)*X1090)/((((W1090+T1090)/1000)*X1090)-((W1090/1000)*0.9982))</f>
        <v>48.7945913958587</v>
      </c>
      <c r="Z1090" s="3" t="n">
        <f aca="false">(X1090*(V1090/100)*((W1090+T1090)/1000))*1000</f>
        <v>0.440623546875</v>
      </c>
    </row>
    <row r="1091" customFormat="false" ht="15" hidden="false" customHeight="false" outlineLevel="0" collapsed="false">
      <c r="A1091" s="0" t="s">
        <v>98</v>
      </c>
      <c r="B1091" s="0" t="s">
        <v>99</v>
      </c>
      <c r="C1091" s="0" t="s">
        <v>81</v>
      </c>
      <c r="D1091" s="0" t="s">
        <v>150</v>
      </c>
      <c r="E1091" s="0" t="n">
        <v>23</v>
      </c>
      <c r="F1091" s="0" t="n">
        <v>2</v>
      </c>
      <c r="G1091" s="1"/>
      <c r="H1091" s="1"/>
      <c r="I1091" s="0" t="n">
        <f aca="false">32+16.8</f>
        <v>48.8</v>
      </c>
      <c r="J1091" s="0" t="n">
        <f aca="false">(I1091/32)*5</f>
        <v>7.625</v>
      </c>
      <c r="L1091" s="0" t="n">
        <v>27</v>
      </c>
      <c r="M1091" s="0" t="n">
        <v>0</v>
      </c>
      <c r="N1091" s="0" t="n">
        <f aca="false">L1091</f>
        <v>27</v>
      </c>
      <c r="O1091" s="3" t="n">
        <f aca="false">LOOKUP(L1091,$AB$3:$AC$123)</f>
        <v>1.1128</v>
      </c>
      <c r="P1091" s="3" t="n">
        <f aca="false">(O1091*(N1091/100)*(J1091/1000))*1000</f>
        <v>2.290977</v>
      </c>
      <c r="Q1091" s="3"/>
      <c r="R1091" s="0" t="n">
        <v>7</v>
      </c>
      <c r="S1091" s="0" t="n">
        <v>8.4</v>
      </c>
      <c r="T1091" s="0" t="n">
        <f aca="false">(S1091/32)*5</f>
        <v>1.3125</v>
      </c>
      <c r="V1091" s="0" t="n">
        <v>23.5</v>
      </c>
      <c r="W1091" s="0" t="n">
        <v>4</v>
      </c>
      <c r="X1091" s="3" t="n">
        <f aca="false">LOOKUP(V1091,$AB$3:$AC$123)</f>
        <v>1.096725</v>
      </c>
      <c r="Y1091" s="2" t="n">
        <f aca="false">(V1091*((W1091+T1091)/1000)*X1091)/((((W1091+T1091)/1000)*X1091)-((W1091/1000)*0.9982))</f>
        <v>74.6743448720166</v>
      </c>
      <c r="Z1091" s="3" t="n">
        <f aca="false">(X1091*(V1091/100)*((W1091+T1091)/1000))*1000</f>
        <v>1.3691926171875</v>
      </c>
    </row>
    <row r="1092" customFormat="false" ht="15" hidden="false" customHeight="false" outlineLevel="0" collapsed="false">
      <c r="A1092" s="0" t="s">
        <v>100</v>
      </c>
      <c r="B1092" s="0" t="s">
        <v>101</v>
      </c>
      <c r="C1092" s="0" t="s">
        <v>81</v>
      </c>
      <c r="D1092" s="0" t="s">
        <v>150</v>
      </c>
      <c r="E1092" s="0" t="n">
        <v>23</v>
      </c>
      <c r="F1092" s="0" t="n">
        <v>1</v>
      </c>
      <c r="G1092" s="1"/>
      <c r="H1092" s="1"/>
      <c r="I1092" s="0" t="n">
        <v>27.3</v>
      </c>
      <c r="J1092" s="0" t="n">
        <f aca="false">(I1092/32)*5</f>
        <v>4.265625</v>
      </c>
      <c r="L1092" s="0" t="n">
        <v>25</v>
      </c>
      <c r="M1092" s="0" t="n">
        <v>0</v>
      </c>
      <c r="N1092" s="0" t="n">
        <f aca="false">L1092</f>
        <v>25</v>
      </c>
      <c r="O1092" s="3" t="n">
        <f aca="false">LOOKUP(L1092,$AB$3:$AC$123)</f>
        <v>1.10355</v>
      </c>
      <c r="P1092" s="3" t="n">
        <f aca="false">(O1092*(N1092/100)*(J1092/1000))*1000</f>
        <v>1.1768326171875</v>
      </c>
      <c r="Q1092" s="3"/>
      <c r="R1092" s="0" t="n">
        <v>1</v>
      </c>
      <c r="S1092" s="0" t="n">
        <v>3.4</v>
      </c>
      <c r="T1092" s="0" t="n">
        <f aca="false">(S1092/32)*5</f>
        <v>0.53125</v>
      </c>
      <c r="V1092" s="0" t="n">
        <v>9</v>
      </c>
      <c r="W1092" s="0" t="n">
        <v>4</v>
      </c>
      <c r="X1092" s="3" t="n">
        <f aca="false">LOOKUP(V1092,$AB$3:$AC$123)</f>
        <v>1.0341</v>
      </c>
      <c r="Y1092" s="2" t="n">
        <f aca="false">(V1092*((W1092+T1092)/1000)*X1092)/((((W1092+T1092)/1000)*X1092)-((W1092/1000)*0.9982))</f>
        <v>60.8571177322108</v>
      </c>
      <c r="Z1092" s="3" t="n">
        <f aca="false">(X1092*(V1092/100)*((W1092+T1092)/1000))*1000</f>
        <v>0.42171890625</v>
      </c>
    </row>
    <row r="1093" customFormat="false" ht="15" hidden="false" customHeight="false" outlineLevel="0" collapsed="false">
      <c r="A1093" s="0" t="s">
        <v>102</v>
      </c>
      <c r="B1093" s="0" t="s">
        <v>103</v>
      </c>
      <c r="C1093" s="0" t="s">
        <v>81</v>
      </c>
      <c r="D1093" s="0" t="s">
        <v>150</v>
      </c>
      <c r="E1093" s="0" t="n">
        <v>23</v>
      </c>
      <c r="F1093" s="0" t="n">
        <v>1</v>
      </c>
      <c r="G1093" s="1"/>
      <c r="H1093" s="1"/>
      <c r="I1093" s="0" t="n">
        <v>25.3</v>
      </c>
      <c r="J1093" s="0" t="n">
        <f aca="false">(I1093/32)*5</f>
        <v>3.953125</v>
      </c>
      <c r="L1093" s="0" t="n">
        <v>26</v>
      </c>
      <c r="M1093" s="0" t="n">
        <v>0</v>
      </c>
      <c r="N1093" s="0" t="n">
        <f aca="false">L1093</f>
        <v>26</v>
      </c>
      <c r="O1093" s="3" t="n">
        <f aca="false">LOOKUP(L1093,$AB$3:$AC$123)</f>
        <v>1.1081</v>
      </c>
      <c r="P1093" s="3" t="n">
        <f aca="false">(O1093*(N1093/100)*(J1093/1000))*1000</f>
        <v>1.13891903125</v>
      </c>
      <c r="Q1093" s="3"/>
      <c r="R1093" s="0" t="n">
        <v>6</v>
      </c>
      <c r="S1093" s="0" t="n">
        <v>32</v>
      </c>
      <c r="T1093" s="0" t="n">
        <f aca="false">(S1093/32)*5</f>
        <v>5</v>
      </c>
      <c r="V1093" s="0" t="n">
        <v>27.5</v>
      </c>
      <c r="W1093" s="0" t="n">
        <v>4</v>
      </c>
      <c r="X1093" s="3" t="n">
        <f aca="false">LOOKUP(V1093,$AB$3:$AC$123)</f>
        <v>1.11515</v>
      </c>
      <c r="Y1093" s="2" t="n">
        <f aca="false">(V1093*((W1093+T1093)/1000)*X1093)/((((W1093+T1093)/1000)*X1093)-((W1093/1000)*0.9982))</f>
        <v>45.668460590216</v>
      </c>
      <c r="Z1093" s="3" t="n">
        <f aca="false">(X1093*(V1093/100)*((W1093+T1093)/1000))*1000</f>
        <v>2.75999625</v>
      </c>
    </row>
    <row r="1094" customFormat="false" ht="15" hidden="false" customHeight="false" outlineLevel="0" collapsed="false">
      <c r="A1094" s="0" t="s">
        <v>104</v>
      </c>
      <c r="B1094" s="0" t="s">
        <v>105</v>
      </c>
      <c r="C1094" s="0" t="s">
        <v>106</v>
      </c>
      <c r="D1094" s="0" t="s">
        <v>150</v>
      </c>
      <c r="E1094" s="0" t="n">
        <v>23</v>
      </c>
      <c r="F1094" s="0" t="n">
        <v>1</v>
      </c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0" t="n">
        <v>14</v>
      </c>
      <c r="S1094" s="1"/>
      <c r="T1094" s="1"/>
      <c r="U1094" s="1"/>
      <c r="V1094" s="1"/>
      <c r="W1094" s="1"/>
      <c r="X1094" s="1"/>
      <c r="Y1094" s="5"/>
      <c r="Z1094" s="1"/>
    </row>
    <row r="1095" customFormat="false" ht="15" hidden="false" customHeight="false" outlineLevel="0" collapsed="false">
      <c r="A1095" s="0" t="s">
        <v>107</v>
      </c>
      <c r="B1095" s="0" t="s">
        <v>37</v>
      </c>
      <c r="C1095" s="0" t="s">
        <v>106</v>
      </c>
      <c r="D1095" s="0" t="s">
        <v>150</v>
      </c>
      <c r="E1095" s="0" t="n">
        <v>23</v>
      </c>
      <c r="F1095" s="0" t="n">
        <v>1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0" t="n">
        <v>8</v>
      </c>
      <c r="S1095" s="1"/>
      <c r="T1095" s="1"/>
      <c r="U1095" s="1"/>
      <c r="V1095" s="1"/>
      <c r="W1095" s="1"/>
      <c r="X1095" s="1"/>
      <c r="Y1095" s="5"/>
      <c r="Z1095" s="1"/>
    </row>
    <row r="1096" customFormat="false" ht="15" hidden="false" customHeight="false" outlineLevel="0" collapsed="false">
      <c r="A1096" s="0" t="s">
        <v>108</v>
      </c>
      <c r="B1096" s="0" t="s">
        <v>109</v>
      </c>
      <c r="C1096" s="0" t="s">
        <v>106</v>
      </c>
      <c r="D1096" s="0" t="s">
        <v>150</v>
      </c>
      <c r="E1096" s="0" t="n">
        <v>23</v>
      </c>
      <c r="F1096" s="0" t="n">
        <v>1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0" t="n">
        <v>15</v>
      </c>
      <c r="S1096" s="1"/>
      <c r="T1096" s="1"/>
      <c r="U1096" s="1"/>
      <c r="V1096" s="1"/>
      <c r="W1096" s="1"/>
      <c r="X1096" s="1"/>
      <c r="Y1096" s="5"/>
      <c r="Z1096" s="1"/>
    </row>
    <row r="1097" customFormat="false" ht="15" hidden="false" customHeight="false" outlineLevel="0" collapsed="false">
      <c r="A1097" s="0" t="s">
        <v>110</v>
      </c>
      <c r="B1097" s="0" t="s">
        <v>111</v>
      </c>
      <c r="C1097" s="0" t="s">
        <v>106</v>
      </c>
      <c r="D1097" s="0" t="s">
        <v>150</v>
      </c>
      <c r="E1097" s="0" t="n">
        <v>23</v>
      </c>
      <c r="F1097" s="0" t="n">
        <v>2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0" t="n">
        <v>12</v>
      </c>
      <c r="S1097" s="1"/>
      <c r="T1097" s="1"/>
      <c r="U1097" s="1"/>
      <c r="V1097" s="1"/>
      <c r="W1097" s="1"/>
      <c r="X1097" s="1"/>
      <c r="Y1097" s="5"/>
      <c r="Z1097" s="1"/>
    </row>
    <row r="1098" customFormat="false" ht="15" hidden="false" customHeight="false" outlineLevel="0" collapsed="false">
      <c r="A1098" s="0" t="s">
        <v>112</v>
      </c>
      <c r="B1098" s="0" t="s">
        <v>113</v>
      </c>
      <c r="C1098" s="0" t="s">
        <v>106</v>
      </c>
      <c r="D1098" s="0" t="s">
        <v>150</v>
      </c>
      <c r="E1098" s="0" t="n">
        <v>23</v>
      </c>
      <c r="F1098" s="0" t="n">
        <v>2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0" t="n">
        <v>11</v>
      </c>
      <c r="S1098" s="1"/>
      <c r="T1098" s="1"/>
      <c r="U1098" s="1"/>
      <c r="V1098" s="1"/>
      <c r="W1098" s="1"/>
      <c r="X1098" s="1"/>
      <c r="Y1098" s="5"/>
      <c r="Z1098" s="1"/>
    </row>
    <row r="1099" customFormat="false" ht="15" hidden="false" customHeight="false" outlineLevel="0" collapsed="false">
      <c r="A1099" s="0" t="s">
        <v>114</v>
      </c>
      <c r="B1099" s="0" t="s">
        <v>115</v>
      </c>
      <c r="C1099" s="0" t="s">
        <v>106</v>
      </c>
      <c r="D1099" s="0" t="s">
        <v>150</v>
      </c>
      <c r="E1099" s="0" t="n">
        <v>23</v>
      </c>
      <c r="F1099" s="0" t="n">
        <v>1</v>
      </c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0" t="n">
        <v>9</v>
      </c>
      <c r="S1099" s="1"/>
      <c r="T1099" s="1"/>
      <c r="U1099" s="1"/>
      <c r="V1099" s="1"/>
      <c r="W1099" s="1"/>
      <c r="X1099" s="1"/>
      <c r="Y1099" s="5"/>
      <c r="Z1099" s="1"/>
    </row>
    <row r="1100" customFormat="false" ht="15" hidden="false" customHeight="false" outlineLevel="0" collapsed="false">
      <c r="A1100" s="0" t="s">
        <v>116</v>
      </c>
      <c r="B1100" s="0" t="s">
        <v>117</v>
      </c>
      <c r="C1100" s="0" t="s">
        <v>106</v>
      </c>
      <c r="D1100" s="0" t="s">
        <v>150</v>
      </c>
      <c r="E1100" s="0" t="n">
        <v>23</v>
      </c>
      <c r="F1100" s="0" t="n">
        <v>1</v>
      </c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0" t="n">
        <v>7</v>
      </c>
      <c r="S1100" s="1"/>
      <c r="T1100" s="1"/>
      <c r="U1100" s="1"/>
      <c r="V1100" s="1"/>
      <c r="W1100" s="1"/>
      <c r="X1100" s="1"/>
      <c r="Y1100" s="5"/>
      <c r="Z1100" s="1"/>
    </row>
    <row r="1101" customFormat="false" ht="15" hidden="false" customHeight="false" outlineLevel="0" collapsed="false">
      <c r="A1101" s="0" t="s">
        <v>118</v>
      </c>
      <c r="B1101" s="0" t="s">
        <v>119</v>
      </c>
      <c r="C1101" s="0" t="s">
        <v>106</v>
      </c>
      <c r="D1101" s="0" t="s">
        <v>150</v>
      </c>
      <c r="E1101" s="0" t="n">
        <v>23</v>
      </c>
      <c r="F1101" s="0" t="n">
        <v>1</v>
      </c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0" t="n">
        <v>21</v>
      </c>
      <c r="S1101" s="1"/>
      <c r="T1101" s="1"/>
      <c r="U1101" s="1"/>
      <c r="V1101" s="1"/>
      <c r="W1101" s="1"/>
      <c r="X1101" s="1"/>
      <c r="Y1101" s="5"/>
      <c r="Z1101" s="1"/>
    </row>
    <row r="1102" customFormat="false" ht="15" hidden="false" customHeight="false" outlineLevel="0" collapsed="false">
      <c r="A1102" s="0" t="s">
        <v>120</v>
      </c>
      <c r="B1102" s="0" t="s">
        <v>121</v>
      </c>
      <c r="C1102" s="0" t="s">
        <v>106</v>
      </c>
      <c r="D1102" s="0" t="s">
        <v>150</v>
      </c>
      <c r="E1102" s="0" t="n">
        <v>23</v>
      </c>
      <c r="F1102" s="0" t="n">
        <v>0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0" t="n">
        <v>17</v>
      </c>
      <c r="S1102" s="1"/>
      <c r="T1102" s="1"/>
      <c r="U1102" s="1"/>
      <c r="V1102" s="1"/>
      <c r="W1102" s="1"/>
      <c r="X1102" s="1"/>
      <c r="Y1102" s="5"/>
      <c r="Z1102" s="1"/>
    </row>
    <row r="1103" customFormat="false" ht="15" hidden="false" customHeight="false" outlineLevel="0" collapsed="false">
      <c r="A1103" s="0" t="s">
        <v>122</v>
      </c>
      <c r="B1103" s="0" t="s">
        <v>123</v>
      </c>
      <c r="C1103" s="0" t="s">
        <v>106</v>
      </c>
      <c r="D1103" s="0" t="s">
        <v>150</v>
      </c>
      <c r="E1103" s="0" t="n">
        <v>23</v>
      </c>
      <c r="F1103" s="0" t="n">
        <v>0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0" t="n">
        <v>8</v>
      </c>
      <c r="S1103" s="1"/>
      <c r="T1103" s="1"/>
      <c r="U1103" s="1"/>
      <c r="V1103" s="1"/>
      <c r="W1103" s="1"/>
      <c r="X1103" s="1"/>
      <c r="Y1103" s="5"/>
      <c r="Z1103" s="1"/>
    </row>
    <row r="1104" customFormat="false" ht="15" hidden="false" customHeight="false" outlineLevel="0" collapsed="false">
      <c r="A1104" s="0" t="s">
        <v>124</v>
      </c>
      <c r="B1104" s="0" t="s">
        <v>125</v>
      </c>
      <c r="C1104" s="0" t="s">
        <v>106</v>
      </c>
      <c r="D1104" s="0" t="s">
        <v>150</v>
      </c>
      <c r="E1104" s="0" t="n">
        <v>23</v>
      </c>
      <c r="F1104" s="0" t="n">
        <v>2</v>
      </c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0" t="n">
        <v>14</v>
      </c>
      <c r="S1104" s="1"/>
      <c r="T1104" s="1"/>
      <c r="U1104" s="1"/>
      <c r="V1104" s="1"/>
      <c r="W1104" s="1"/>
      <c r="X1104" s="1"/>
      <c r="Y1104" s="5"/>
      <c r="Z1104" s="1"/>
    </row>
    <row r="1105" customFormat="false" ht="15" hidden="false" customHeight="false" outlineLevel="0" collapsed="false">
      <c r="A1105" s="0" t="s">
        <v>126</v>
      </c>
      <c r="B1105" s="0" t="s">
        <v>127</v>
      </c>
      <c r="C1105" s="0" t="s">
        <v>106</v>
      </c>
      <c r="D1105" s="0" t="s">
        <v>150</v>
      </c>
      <c r="E1105" s="0" t="n">
        <v>23</v>
      </c>
      <c r="F1105" s="0" t="n">
        <v>1</v>
      </c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0" t="n">
        <v>20</v>
      </c>
      <c r="S1105" s="1"/>
      <c r="T1105" s="1"/>
      <c r="U1105" s="1"/>
      <c r="V1105" s="1"/>
      <c r="W1105" s="1"/>
      <c r="X1105" s="1"/>
      <c r="Y1105" s="5"/>
      <c r="Z1105" s="1"/>
    </row>
    <row r="1106" customFormat="false" ht="15" hidden="false" customHeight="false" outlineLevel="0" collapsed="false">
      <c r="A1106" s="0" t="s">
        <v>26</v>
      </c>
      <c r="B1106" s="0" t="s">
        <v>27</v>
      </c>
      <c r="C1106" s="0" t="s">
        <v>28</v>
      </c>
      <c r="D1106" s="0" t="s">
        <v>151</v>
      </c>
      <c r="E1106" s="0" t="n">
        <v>24</v>
      </c>
      <c r="F1106" s="0" t="n">
        <v>2</v>
      </c>
      <c r="G1106" s="1"/>
      <c r="H1106" s="1"/>
      <c r="I1106" s="3" t="n">
        <f aca="false">32+29</f>
        <v>61</v>
      </c>
      <c r="J1106" s="0" t="n">
        <f aca="false">(I1106/32)*5</f>
        <v>9.53125</v>
      </c>
      <c r="L1106" s="3" t="n">
        <v>22.5</v>
      </c>
      <c r="M1106" s="3" t="n">
        <v>0</v>
      </c>
      <c r="N1106" s="3" t="n">
        <f aca="false">L1106</f>
        <v>22.5</v>
      </c>
      <c r="O1106" s="3" t="n">
        <f aca="false">LOOKUP(L1106,$AB$3:$AC$123)</f>
        <v>1.092175</v>
      </c>
      <c r="P1106" s="3" t="n">
        <f aca="false">(O1106*(N1106/100)*(J1106/1000))*1000</f>
        <v>2.34220341796875</v>
      </c>
      <c r="Q1106" s="3"/>
      <c r="R1106" s="0" t="n">
        <v>4</v>
      </c>
      <c r="S1106" s="0" t="n">
        <v>15.3</v>
      </c>
      <c r="T1106" s="0" t="n">
        <f aca="false">(S1106/32)*5</f>
        <v>2.390625</v>
      </c>
      <c r="V1106" s="0" t="n">
        <v>28.5</v>
      </c>
      <c r="W1106" s="0" t="n">
        <v>4</v>
      </c>
      <c r="X1106" s="3" t="n">
        <f aca="false">LOOKUP(V1106,$AB$3:$AC$123)</f>
        <v>1.119875</v>
      </c>
      <c r="Y1106" s="2" t="n">
        <f aca="false">(V1106*((W1106+T1106)/1000)*X1106)/((((W1106+T1106)/1000)*X1106)-((W1106/1000)*0.9982))</f>
        <v>64.4666101493817</v>
      </c>
      <c r="Z1106" s="3" t="n">
        <f aca="false">(X1106*(V1106/100)*((W1106+T1106)/1000))*1000</f>
        <v>2.03965983398437</v>
      </c>
    </row>
    <row r="1107" customFormat="false" ht="15" hidden="false" customHeight="false" outlineLevel="0" collapsed="false">
      <c r="A1107" s="0" t="s">
        <v>32</v>
      </c>
      <c r="B1107" s="0" t="s">
        <v>33</v>
      </c>
      <c r="C1107" s="0" t="s">
        <v>28</v>
      </c>
      <c r="D1107" s="0" t="s">
        <v>151</v>
      </c>
      <c r="E1107" s="0" t="n">
        <v>24</v>
      </c>
      <c r="F1107" s="0" t="n">
        <v>1</v>
      </c>
      <c r="G1107" s="1"/>
      <c r="H1107" s="1"/>
      <c r="I1107" s="3" t="n">
        <v>22.9</v>
      </c>
      <c r="J1107" s="0" t="n">
        <f aca="false">(I1107/32)*5</f>
        <v>3.578125</v>
      </c>
      <c r="L1107" s="3" t="n">
        <v>22</v>
      </c>
      <c r="M1107" s="3" t="n">
        <v>0</v>
      </c>
      <c r="N1107" s="3" t="n">
        <f aca="false">L1107</f>
        <v>22</v>
      </c>
      <c r="O1107" s="3" t="n">
        <f aca="false">LOOKUP(L1107,$AB$3:$AC$123)</f>
        <v>1.0899</v>
      </c>
      <c r="P1107" s="3" t="n">
        <f aca="false">(O1107*(N1107/100)*(J1107/1000))*1000</f>
        <v>0.85795565625</v>
      </c>
      <c r="Q1107" s="3"/>
      <c r="R1107" s="0" t="n">
        <v>9</v>
      </c>
      <c r="S1107" s="0" t="n">
        <v>37</v>
      </c>
      <c r="T1107" s="0" t="n">
        <f aca="false">(S1107/32)*5</f>
        <v>5.78125</v>
      </c>
      <c r="V1107" s="0" t="n">
        <v>48</v>
      </c>
      <c r="W1107" s="0" t="n">
        <v>4</v>
      </c>
      <c r="X1107" s="3" t="n">
        <f aca="false">LOOKUP(V1107,$AB$3:$AC$123)</f>
        <v>1.2186</v>
      </c>
      <c r="Y1107" s="2" t="n">
        <f aca="false">(V1107*((W1107+T1107)/1000)*X1107)/((((W1107+T1107)/1000)*X1107)-((W1107/1000)*0.9982))</f>
        <v>72.178543690928</v>
      </c>
      <c r="Z1107" s="3" t="n">
        <f aca="false">(X1107*(V1107/100)*((W1107+T1107)/1000))*1000</f>
        <v>5.721327</v>
      </c>
    </row>
    <row r="1108" customFormat="false" ht="15" hidden="false" customHeight="false" outlineLevel="0" collapsed="false">
      <c r="A1108" s="0" t="s">
        <v>34</v>
      </c>
      <c r="B1108" s="0" t="s">
        <v>35</v>
      </c>
      <c r="C1108" s="0" t="s">
        <v>28</v>
      </c>
      <c r="D1108" s="0" t="s">
        <v>151</v>
      </c>
      <c r="E1108" s="0" t="n">
        <v>24</v>
      </c>
      <c r="F1108" s="0" t="n">
        <v>1</v>
      </c>
      <c r="G1108" s="1"/>
      <c r="H1108" s="1"/>
      <c r="I1108" s="3" t="n">
        <v>24.9</v>
      </c>
      <c r="J1108" s="0" t="n">
        <f aca="false">(I1108/32)*5</f>
        <v>3.890625</v>
      </c>
      <c r="L1108" s="3" t="n">
        <v>26</v>
      </c>
      <c r="M1108" s="3" t="n">
        <v>0</v>
      </c>
      <c r="N1108" s="3" t="n">
        <f aca="false">L1108</f>
        <v>26</v>
      </c>
      <c r="O1108" s="3" t="n">
        <f aca="false">LOOKUP(L1108,$AB$3:$AC$123)</f>
        <v>1.1081</v>
      </c>
      <c r="P1108" s="3" t="n">
        <f aca="false">(O1108*(N1108/100)*(J1108/1000))*1000</f>
        <v>1.12091240625</v>
      </c>
      <c r="Q1108" s="3"/>
      <c r="R1108" s="0" t="n">
        <v>5</v>
      </c>
      <c r="S1108" s="0" t="n">
        <v>12</v>
      </c>
      <c r="T1108" s="0" t="n">
        <f aca="false">(S1108/32)*5</f>
        <v>1.875</v>
      </c>
      <c r="V1108" s="0" t="n">
        <v>16</v>
      </c>
      <c r="W1108" s="0" t="n">
        <v>4</v>
      </c>
      <c r="X1108" s="3" t="n">
        <f aca="false">LOOKUP(V1108,$AB$3:$AC$123)</f>
        <v>1.0635</v>
      </c>
      <c r="Y1108" s="2" t="n">
        <f aca="false">(V1108*((W1108+T1108)/1000)*X1108)/((((W1108+T1108)/1000)*X1108)-((W1108/1000)*0.9982))</f>
        <v>44.3269907604991</v>
      </c>
      <c r="Z1108" s="3" t="n">
        <f aca="false">(X1108*(V1108/100)*((W1108+T1108)/1000))*1000</f>
        <v>0.99969</v>
      </c>
    </row>
    <row r="1109" customFormat="false" ht="15" hidden="false" customHeight="false" outlineLevel="0" collapsed="false">
      <c r="A1109" s="0" t="s">
        <v>36</v>
      </c>
      <c r="B1109" s="0" t="s">
        <v>37</v>
      </c>
      <c r="C1109" s="0" t="s">
        <v>28</v>
      </c>
      <c r="D1109" s="0" t="s">
        <v>151</v>
      </c>
      <c r="E1109" s="0" t="n">
        <v>24</v>
      </c>
      <c r="F1109" s="0" t="n">
        <v>1</v>
      </c>
      <c r="G1109" s="1"/>
      <c r="H1109" s="1"/>
      <c r="I1109" s="3" t="n">
        <f aca="false">32+4.8</f>
        <v>36.8</v>
      </c>
      <c r="J1109" s="0" t="n">
        <f aca="false">(I1109/32)*5</f>
        <v>5.75</v>
      </c>
      <c r="L1109" s="3" t="n">
        <v>26.5</v>
      </c>
      <c r="M1109" s="3" t="n">
        <v>0</v>
      </c>
      <c r="N1109" s="3" t="n">
        <f aca="false">L1109</f>
        <v>26.5</v>
      </c>
      <c r="O1109" s="3" t="n">
        <f aca="false">LOOKUP(L1109,$AB$3:$AC$123)</f>
        <v>1.11045</v>
      </c>
      <c r="P1109" s="3" t="n">
        <f aca="false">(O1109*(N1109/100)*(J1109/1000))*1000</f>
        <v>1.6920481875</v>
      </c>
      <c r="Q1109" s="3"/>
      <c r="R1109" s="0" t="n">
        <v>3</v>
      </c>
      <c r="S1109" s="0" t="n">
        <v>17.8</v>
      </c>
      <c r="T1109" s="0" t="n">
        <f aca="false">(S1109/32)*5</f>
        <v>2.78125</v>
      </c>
      <c r="V1109" s="0" t="n">
        <v>26</v>
      </c>
      <c r="W1109" s="0" t="n">
        <v>4</v>
      </c>
      <c r="X1109" s="3" t="n">
        <f aca="false">LOOKUP(V1109,$AB$3:$AC$123)</f>
        <v>1.1081</v>
      </c>
      <c r="Y1109" s="2" t="n">
        <f aca="false">(V1109*((W1109+T1109)/1000)*X1109)/((((W1109+T1109)/1000)*X1109)-((W1109/1000)*0.9982))</f>
        <v>55.4796841902561</v>
      </c>
      <c r="Z1109" s="3" t="n">
        <f aca="false">(X1109*(V1109/100)*((W1109+T1109)/1000))*1000</f>
        <v>1.9537188125</v>
      </c>
    </row>
    <row r="1110" customFormat="false" ht="15" hidden="false" customHeight="false" outlineLevel="0" collapsed="false">
      <c r="A1110" s="0" t="s">
        <v>38</v>
      </c>
      <c r="B1110" s="0" t="s">
        <v>39</v>
      </c>
      <c r="C1110" s="0" t="s">
        <v>28</v>
      </c>
      <c r="D1110" s="0" t="s">
        <v>151</v>
      </c>
      <c r="E1110" s="0" t="n">
        <v>24</v>
      </c>
      <c r="F1110" s="0" t="n">
        <v>5</v>
      </c>
      <c r="G1110" s="1"/>
      <c r="H1110" s="1"/>
      <c r="I1110" s="3" t="n">
        <f aca="false">32*6+10.7</f>
        <v>202.7</v>
      </c>
      <c r="J1110" s="0" t="n">
        <f aca="false">(I1110/32)*5</f>
        <v>31.671875</v>
      </c>
      <c r="L1110" s="3" t="n">
        <v>28</v>
      </c>
      <c r="M1110" s="3" t="n">
        <v>0</v>
      </c>
      <c r="N1110" s="3" t="n">
        <f aca="false">L1110</f>
        <v>28</v>
      </c>
      <c r="O1110" s="3" t="n">
        <f aca="false">LOOKUP(L1110,$AB$3:$AC$123)</f>
        <v>1.1175</v>
      </c>
      <c r="P1110" s="3" t="n">
        <f aca="false">(O1110*(N1110/100)*(J1110/1000))*1000</f>
        <v>9.9101296875</v>
      </c>
      <c r="Q1110" s="3"/>
      <c r="R1110" s="0" t="n">
        <v>7</v>
      </c>
      <c r="S1110" s="0" t="n">
        <v>9.7</v>
      </c>
      <c r="T1110" s="0" t="n">
        <f aca="false">(S1110/32)*5</f>
        <v>1.515625</v>
      </c>
      <c r="V1110" s="0" t="n">
        <v>13</v>
      </c>
      <c r="W1110" s="0" t="n">
        <v>4</v>
      </c>
      <c r="X1110" s="3" t="n">
        <f aca="false">LOOKUP(V1110,$AB$3:$AC$123)</f>
        <v>1.0507</v>
      </c>
      <c r="Y1110" s="2" t="n">
        <f aca="false">(V1110*((W1110+T1110)/1000)*X1110)/((((W1110+T1110)/1000)*X1110)-((W1110/1000)*0.9982))</f>
        <v>41.7974174287153</v>
      </c>
      <c r="Z1110" s="3" t="n">
        <f aca="false">(X1110*(V1110/100)*((W1110+T1110)/1000))*1000</f>
        <v>0.753384734375</v>
      </c>
    </row>
    <row r="1111" customFormat="false" ht="15" hidden="false" customHeight="false" outlineLevel="0" collapsed="false">
      <c r="A1111" s="0" t="s">
        <v>40</v>
      </c>
      <c r="B1111" s="0" t="s">
        <v>41</v>
      </c>
      <c r="C1111" s="0" t="s">
        <v>28</v>
      </c>
      <c r="D1111" s="0" t="s">
        <v>151</v>
      </c>
      <c r="E1111" s="0" t="n">
        <v>24</v>
      </c>
      <c r="F1111" s="0" t="n">
        <v>2</v>
      </c>
      <c r="G1111" s="1"/>
      <c r="H1111" s="1"/>
      <c r="I1111" s="3" t="n">
        <f aca="false">32+22.8</f>
        <v>54.8</v>
      </c>
      <c r="J1111" s="0" t="n">
        <f aca="false">(I1111/32)*5</f>
        <v>8.5625</v>
      </c>
      <c r="L1111" s="3" t="n">
        <v>32.5</v>
      </c>
      <c r="M1111" s="3" t="n">
        <v>0</v>
      </c>
      <c r="N1111" s="3" t="n">
        <f aca="false">L1111</f>
        <v>32.5</v>
      </c>
      <c r="O1111" s="3" t="n">
        <f aca="false">LOOKUP(L1111,$AB$3:$AC$123)</f>
        <v>1.13905</v>
      </c>
      <c r="P1111" s="3" t="n">
        <f aca="false">(O1111*(N1111/100)*(J1111/1000))*1000</f>
        <v>3.169762578125</v>
      </c>
      <c r="Q1111" s="3"/>
      <c r="R1111" s="0" t="n">
        <v>7</v>
      </c>
      <c r="S1111" s="0" t="n">
        <v>12.1</v>
      </c>
      <c r="T1111" s="0" t="n">
        <f aca="false">(S1111/32)*5</f>
        <v>1.890625</v>
      </c>
      <c r="V1111" s="0" t="n">
        <v>37</v>
      </c>
      <c r="W1111" s="0" t="n">
        <v>4</v>
      </c>
      <c r="X1111" s="3" t="n">
        <f aca="false">LOOKUP(V1111,$AB$3:$AC$123)</f>
        <v>1.16125</v>
      </c>
      <c r="Y1111" s="2" t="n">
        <f aca="false">(V1111*((W1111+T1111)/1000)*X1111)/((((W1111+T1111)/1000)*X1111)-((W1111/1000)*0.9982))</f>
        <v>88.8784309970725</v>
      </c>
      <c r="Z1111" s="3" t="n">
        <f aca="false">(X1111*(V1111/100)*((W1111+T1111)/1000))*1000</f>
        <v>2.5309806640625</v>
      </c>
    </row>
    <row r="1112" customFormat="false" ht="15" hidden="false" customHeight="false" outlineLevel="0" collapsed="false">
      <c r="A1112" s="0" t="s">
        <v>42</v>
      </c>
      <c r="B1112" s="0" t="s">
        <v>43</v>
      </c>
      <c r="C1112" s="0" t="s">
        <v>28</v>
      </c>
      <c r="D1112" s="0" t="s">
        <v>151</v>
      </c>
      <c r="E1112" s="0" t="n">
        <v>24</v>
      </c>
      <c r="F1112" s="0" t="n">
        <v>0</v>
      </c>
      <c r="G1112" s="1"/>
      <c r="H1112" s="1"/>
      <c r="I1112" s="3" t="n">
        <v>0</v>
      </c>
      <c r="J1112" s="0" t="n">
        <f aca="false">(I1112/32)*5</f>
        <v>0</v>
      </c>
      <c r="L1112" s="3" t="n">
        <v>0</v>
      </c>
      <c r="M1112" s="3" t="n">
        <v>0</v>
      </c>
      <c r="N1112" s="3" t="n">
        <f aca="false">L1112</f>
        <v>0</v>
      </c>
      <c r="O1112" s="3" t="n">
        <v>0</v>
      </c>
      <c r="P1112" s="3" t="n">
        <f aca="false">(O1112*(N1112/100)*(J1112/1000))*1000</f>
        <v>0</v>
      </c>
      <c r="Q1112" s="3"/>
      <c r="R1112" s="0" t="n">
        <v>5</v>
      </c>
      <c r="S1112" s="0" t="n">
        <v>1.1</v>
      </c>
      <c r="T1112" s="0" t="n">
        <f aca="false">(S1112/32)*5</f>
        <v>0.171875</v>
      </c>
      <c r="V1112" s="0" t="n">
        <v>12.5</v>
      </c>
      <c r="W1112" s="0" t="n">
        <v>1</v>
      </c>
      <c r="X1112" s="3" t="n">
        <f aca="false">LOOKUP(V1112,$AB$3:$AC$123)</f>
        <v>1.0486</v>
      </c>
      <c r="Y1112" s="2" t="n">
        <f aca="false">(V1112*((W1112+T1112)/1000)*X1112)/((((W1112+T1112)/1000)*X1112)-((W1112/1000)*0.9982))</f>
        <v>66.6022479370199</v>
      </c>
      <c r="Z1112" s="3" t="n">
        <f aca="false">(X1112*(V1112/100)*((W1112+T1112)/1000))*1000</f>
        <v>0.153603515625</v>
      </c>
    </row>
    <row r="1113" customFormat="false" ht="15" hidden="false" customHeight="false" outlineLevel="0" collapsed="false">
      <c r="A1113" s="0" t="s">
        <v>44</v>
      </c>
      <c r="B1113" s="0" t="s">
        <v>45</v>
      </c>
      <c r="C1113" s="0" t="s">
        <v>28</v>
      </c>
      <c r="D1113" s="0" t="s">
        <v>151</v>
      </c>
      <c r="E1113" s="0" t="n">
        <v>24</v>
      </c>
      <c r="F1113" s="0" t="n">
        <v>0</v>
      </c>
      <c r="G1113" s="1"/>
      <c r="H1113" s="1"/>
      <c r="I1113" s="3" t="n">
        <v>0</v>
      </c>
      <c r="J1113" s="0" t="n">
        <f aca="false">(I1113/32)*5</f>
        <v>0</v>
      </c>
      <c r="L1113" s="3" t="n">
        <v>0</v>
      </c>
      <c r="M1113" s="3" t="n">
        <v>0</v>
      </c>
      <c r="N1113" s="3" t="n">
        <f aca="false">L1113</f>
        <v>0</v>
      </c>
      <c r="O1113" s="3" t="n">
        <v>0</v>
      </c>
      <c r="P1113" s="3" t="n">
        <f aca="false">(O1113*(N1113/100)*(J1113/1000))*1000</f>
        <v>0</v>
      </c>
      <c r="Q1113" s="3"/>
      <c r="R1113" s="0" t="n">
        <v>4</v>
      </c>
      <c r="S1113" s="0" t="n">
        <v>6.3</v>
      </c>
      <c r="T1113" s="0" t="n">
        <f aca="false">(S1113/32)*5</f>
        <v>0.984375</v>
      </c>
      <c r="V1113" s="0" t="n">
        <v>9.5</v>
      </c>
      <c r="W1113" s="0" t="n">
        <v>4</v>
      </c>
      <c r="X1113" s="3" t="n">
        <f aca="false">LOOKUP(V1113,$AB$3:$AC$123)</f>
        <v>1.0361</v>
      </c>
      <c r="Y1113" s="2" t="n">
        <f aca="false">(V1113*((W1113+T1113)/1000)*X1113)/((((W1113+T1113)/1000)*X1113)-((W1113/1000)*0.9982))</f>
        <v>41.8783575430768</v>
      </c>
      <c r="Z1113" s="3" t="n">
        <f aca="false">(X1113*(V1113/100)*((W1113+T1113)/1000))*1000</f>
        <v>0.4906095390625</v>
      </c>
    </row>
    <row r="1114" customFormat="false" ht="15" hidden="false" customHeight="false" outlineLevel="0" collapsed="false">
      <c r="A1114" s="0" t="s">
        <v>46</v>
      </c>
      <c r="B1114" s="0" t="s">
        <v>47</v>
      </c>
      <c r="C1114" s="0" t="s">
        <v>28</v>
      </c>
      <c r="D1114" s="0" t="s">
        <v>151</v>
      </c>
      <c r="E1114" s="0" t="n">
        <v>24</v>
      </c>
      <c r="F1114" s="0" t="n">
        <v>3</v>
      </c>
      <c r="G1114" s="1"/>
      <c r="H1114" s="1"/>
      <c r="I1114" s="3" t="n">
        <f aca="false">32*3-3.4</f>
        <v>92.6</v>
      </c>
      <c r="J1114" s="0" t="n">
        <f aca="false">(I1114/32)*5</f>
        <v>14.46875</v>
      </c>
      <c r="L1114" s="3" t="n">
        <v>32</v>
      </c>
      <c r="M1114" s="3" t="n">
        <v>0</v>
      </c>
      <c r="N1114" s="3" t="n">
        <f aca="false">L1114</f>
        <v>32</v>
      </c>
      <c r="O1114" s="3" t="n">
        <f aca="false">LOOKUP(L1114,$AB$3:$AC$123)</f>
        <v>1.1366</v>
      </c>
      <c r="P1114" s="3" t="n">
        <f aca="false">(O1114*(N1114/100)*(J1114/1000))*1000</f>
        <v>5.262458</v>
      </c>
      <c r="Q1114" s="3"/>
      <c r="R1114" s="0" t="n">
        <v>4</v>
      </c>
      <c r="S1114" s="0" t="n">
        <v>17.1</v>
      </c>
      <c r="T1114" s="0" t="n">
        <f aca="false">(S1114/32)*5</f>
        <v>2.671875</v>
      </c>
      <c r="V1114" s="0" t="n">
        <v>25</v>
      </c>
      <c r="W1114" s="0" t="n">
        <v>4</v>
      </c>
      <c r="X1114" s="3" t="n">
        <f aca="false">LOOKUP(V1114,$AB$3:$AC$123)</f>
        <v>1.10355</v>
      </c>
      <c r="Y1114" s="2" t="n">
        <f aca="false">(V1114*((W1114+T1114)/1000)*X1114)/((((W1114+T1114)/1000)*X1114)-((W1114/1000)*0.9982))</f>
        <v>54.6206381172927</v>
      </c>
      <c r="Z1114" s="3" t="n">
        <f aca="false">(X1114*(V1114/100)*((W1114+T1114)/1000))*1000</f>
        <v>1.8406869140625</v>
      </c>
    </row>
    <row r="1115" customFormat="false" ht="15" hidden="false" customHeight="false" outlineLevel="0" collapsed="false">
      <c r="A1115" s="0" t="s">
        <v>48</v>
      </c>
      <c r="B1115" s="0" t="s">
        <v>49</v>
      </c>
      <c r="C1115" s="0" t="s">
        <v>28</v>
      </c>
      <c r="D1115" s="0" t="s">
        <v>151</v>
      </c>
      <c r="E1115" s="0" t="n">
        <v>24</v>
      </c>
      <c r="F1115" s="0" t="n">
        <v>0</v>
      </c>
      <c r="G1115" s="1"/>
      <c r="H1115" s="1"/>
      <c r="I1115" s="3" t="n">
        <v>0</v>
      </c>
      <c r="J1115" s="0" t="n">
        <f aca="false">(I1115/32)*5</f>
        <v>0</v>
      </c>
      <c r="L1115" s="3" t="n">
        <v>0</v>
      </c>
      <c r="M1115" s="3" t="n">
        <v>0</v>
      </c>
      <c r="N1115" s="3" t="n">
        <f aca="false">L1115</f>
        <v>0</v>
      </c>
      <c r="O1115" s="3" t="n">
        <v>0</v>
      </c>
      <c r="P1115" s="3" t="n">
        <f aca="false">(O1115*(N1115/100)*(J1115/1000))*1000</f>
        <v>0</v>
      </c>
      <c r="Q1115" s="3"/>
      <c r="R1115" s="0" t="n">
        <v>5</v>
      </c>
      <c r="S1115" s="0" t="n">
        <v>24.5</v>
      </c>
      <c r="T1115" s="0" t="n">
        <f aca="false">(S1115/32)*5</f>
        <v>3.828125</v>
      </c>
      <c r="V1115" s="0" t="n">
        <v>33</v>
      </c>
      <c r="W1115" s="0" t="n">
        <v>4</v>
      </c>
      <c r="X1115" s="3" t="n">
        <f aca="false">LOOKUP(V1115,$AB$3:$AC$123)</f>
        <v>1.1415</v>
      </c>
      <c r="Y1115" s="2" t="n">
        <f aca="false">(V1115*((W1115+T1115)/1000)*X1115)/((((W1115+T1115)/1000)*X1115)-((W1115/1000)*0.9982))</f>
        <v>59.6563372543838</v>
      </c>
      <c r="Z1115" s="3" t="n">
        <f aca="false">(X1115*(V1115/100)*((W1115+T1115)/1000))*1000</f>
        <v>2.948815546875</v>
      </c>
    </row>
    <row r="1116" customFormat="false" ht="15" hidden="false" customHeight="false" outlineLevel="0" collapsed="false">
      <c r="A1116" s="0" t="s">
        <v>50</v>
      </c>
      <c r="B1116" s="0" t="s">
        <v>51</v>
      </c>
      <c r="C1116" s="0" t="s">
        <v>28</v>
      </c>
      <c r="D1116" s="0" t="s">
        <v>151</v>
      </c>
      <c r="E1116" s="0" t="n">
        <v>24</v>
      </c>
      <c r="F1116" s="0" t="n">
        <v>2</v>
      </c>
      <c r="G1116" s="1"/>
      <c r="H1116" s="1"/>
      <c r="I1116" s="3" t="n">
        <v>64</v>
      </c>
      <c r="J1116" s="0" t="n">
        <f aca="false">(I1116/32)*5</f>
        <v>10</v>
      </c>
      <c r="L1116" s="3" t="n">
        <v>27</v>
      </c>
      <c r="M1116" s="3" t="n">
        <v>0</v>
      </c>
      <c r="N1116" s="3" t="n">
        <f aca="false">L1116</f>
        <v>27</v>
      </c>
      <c r="O1116" s="3" t="n">
        <f aca="false">LOOKUP(L1116,$AB$3:$AC$123)</f>
        <v>1.1128</v>
      </c>
      <c r="P1116" s="3" t="n">
        <f aca="false">(O1116*(N1116/100)*(J1116/1000))*1000</f>
        <v>3.00456</v>
      </c>
      <c r="Q1116" s="3"/>
      <c r="R1116" s="0" t="n">
        <v>0</v>
      </c>
      <c r="S1116" s="0" t="n">
        <v>0</v>
      </c>
      <c r="T1116" s="0" t="n">
        <f aca="false">(S1116/32)*5</f>
        <v>0</v>
      </c>
      <c r="V1116" s="0" t="n">
        <v>0</v>
      </c>
      <c r="W1116" s="0" t="n">
        <v>0</v>
      </c>
      <c r="X1116" s="3" t="n">
        <v>0</v>
      </c>
      <c r="Y1116" s="2" t="n">
        <v>0</v>
      </c>
      <c r="Z1116" s="3" t="n">
        <f aca="false">(X1116*(V1116/100)*((W1116+T1116)/1000))*1000</f>
        <v>0</v>
      </c>
    </row>
    <row r="1117" customFormat="false" ht="15" hidden="false" customHeight="false" outlineLevel="0" collapsed="false">
      <c r="A1117" s="0" t="s">
        <v>52</v>
      </c>
      <c r="B1117" s="0" t="s">
        <v>53</v>
      </c>
      <c r="C1117" s="0" t="s">
        <v>28</v>
      </c>
      <c r="D1117" s="0" t="s">
        <v>151</v>
      </c>
      <c r="E1117" s="0" t="n">
        <v>24</v>
      </c>
      <c r="F1117" s="0" t="n">
        <v>0</v>
      </c>
      <c r="G1117" s="1"/>
      <c r="H1117" s="1"/>
      <c r="I1117" s="3" t="n">
        <v>0</v>
      </c>
      <c r="J1117" s="0" t="n">
        <f aca="false">(I1117/32)*5</f>
        <v>0</v>
      </c>
      <c r="L1117" s="3" t="n">
        <v>0</v>
      </c>
      <c r="M1117" s="3" t="n">
        <v>0</v>
      </c>
      <c r="N1117" s="3" t="n">
        <f aca="false">L1117</f>
        <v>0</v>
      </c>
      <c r="O1117" s="3" t="n">
        <v>0</v>
      </c>
      <c r="P1117" s="3" t="n">
        <f aca="false">(O1117*(N1117/100)*(J1117/1000))*1000</f>
        <v>0</v>
      </c>
      <c r="Q1117" s="3"/>
      <c r="R1117" s="0" t="n">
        <v>4</v>
      </c>
      <c r="S1117" s="0" t="n">
        <v>15.6</v>
      </c>
      <c r="T1117" s="0" t="n">
        <f aca="false">(S1117/32)*5</f>
        <v>2.4375</v>
      </c>
      <c r="V1117" s="0" t="n">
        <v>25</v>
      </c>
      <c r="W1117" s="0" t="n">
        <v>4</v>
      </c>
      <c r="X1117" s="3" t="n">
        <f aca="false">LOOKUP(V1117,$AB$3:$AC$123)</f>
        <v>1.10355</v>
      </c>
      <c r="Y1117" s="2" t="n">
        <f aca="false">(V1117*((W1117+T1117)/1000)*X1117)/((((W1117+T1117)/1000)*X1117)-((W1117/1000)*0.9982))</f>
        <v>57.083019876117</v>
      </c>
      <c r="Z1117" s="3" t="n">
        <f aca="false">(X1117*(V1117/100)*((W1117+T1117)/1000))*1000</f>
        <v>1.77602578125</v>
      </c>
    </row>
    <row r="1118" customFormat="false" ht="15" hidden="false" customHeight="false" outlineLevel="0" collapsed="false">
      <c r="A1118" s="0" t="s">
        <v>54</v>
      </c>
      <c r="B1118" s="0" t="s">
        <v>55</v>
      </c>
      <c r="C1118" s="0" t="s">
        <v>56</v>
      </c>
      <c r="D1118" s="0" t="s">
        <v>151</v>
      </c>
      <c r="E1118" s="0" t="n">
        <v>24</v>
      </c>
      <c r="F1118" s="0" t="n">
        <v>1</v>
      </c>
      <c r="G1118" s="1"/>
      <c r="H1118" s="1"/>
      <c r="I1118" s="3" t="n">
        <v>19.1</v>
      </c>
      <c r="J1118" s="0" t="n">
        <f aca="false">(I1118/32)*5</f>
        <v>2.984375</v>
      </c>
      <c r="L1118" s="3" t="n">
        <v>25</v>
      </c>
      <c r="M1118" s="3" t="n">
        <v>0</v>
      </c>
      <c r="N1118" s="3" t="n">
        <f aca="false">L1118</f>
        <v>25</v>
      </c>
      <c r="O1118" s="3" t="n">
        <f aca="false">LOOKUP(L1118,$AB$3:$AC$123)</f>
        <v>1.10355</v>
      </c>
      <c r="P1118" s="3" t="n">
        <f aca="false">(O1118*(N1118/100)*(J1118/1000))*1000</f>
        <v>0.8233517578125</v>
      </c>
      <c r="Q1118" s="3"/>
      <c r="R1118" s="3" t="n">
        <v>5</v>
      </c>
      <c r="S1118" s="3" t="n">
        <v>24.7</v>
      </c>
      <c r="T1118" s="0" t="n">
        <f aca="false">(S1118/32)*5</f>
        <v>3.859375</v>
      </c>
      <c r="V1118" s="3" t="n">
        <v>8</v>
      </c>
      <c r="W1118" s="3" t="n">
        <v>4</v>
      </c>
      <c r="X1118" s="3" t="n">
        <f aca="false">LOOKUP(V1118,$AB$3:$AC$123)</f>
        <v>1.0299</v>
      </c>
      <c r="Y1118" s="2" t="n">
        <f aca="false">(V1118*((W1118+T1118)/1000)*X1118)/((((W1118+T1118)/1000)*X1118)-((W1118/1000)*0.9982))</f>
        <v>15.78784649934</v>
      </c>
      <c r="Z1118" s="3" t="n">
        <f aca="false">(X1118*(V1118/100)*((W1118+T1118)/1000))*1000</f>
        <v>0.647549625</v>
      </c>
    </row>
    <row r="1119" customFormat="false" ht="15" hidden="false" customHeight="false" outlineLevel="0" collapsed="false">
      <c r="A1119" s="0" t="s">
        <v>57</v>
      </c>
      <c r="B1119" s="0" t="s">
        <v>58</v>
      </c>
      <c r="C1119" s="0" t="s">
        <v>56</v>
      </c>
      <c r="D1119" s="0" t="s">
        <v>151</v>
      </c>
      <c r="E1119" s="0" t="n">
        <v>24</v>
      </c>
      <c r="F1119" s="0" t="n">
        <v>1</v>
      </c>
      <c r="G1119" s="1"/>
      <c r="H1119" s="1"/>
      <c r="I1119" s="3" t="n">
        <v>23</v>
      </c>
      <c r="J1119" s="0" t="n">
        <f aca="false">(I1119/32)*5</f>
        <v>3.59375</v>
      </c>
      <c r="L1119" s="3" t="n">
        <v>24</v>
      </c>
      <c r="M1119" s="3" t="n">
        <v>0</v>
      </c>
      <c r="N1119" s="3" t="n">
        <f aca="false">L1119</f>
        <v>24</v>
      </c>
      <c r="O1119" s="3" t="n">
        <f aca="false">LOOKUP(L1119,$AB$3:$AC$123)</f>
        <v>1.099</v>
      </c>
      <c r="P1119" s="3" t="n">
        <f aca="false">(O1119*(N1119/100)*(J1119/1000))*1000</f>
        <v>0.9478875</v>
      </c>
      <c r="Q1119" s="3"/>
      <c r="R1119" s="3" t="n">
        <v>6</v>
      </c>
      <c r="S1119" s="3" t="n">
        <v>19.2</v>
      </c>
      <c r="T1119" s="0" t="n">
        <f aca="false">(S1119/32)*5</f>
        <v>3</v>
      </c>
      <c r="V1119" s="3" t="n">
        <v>33</v>
      </c>
      <c r="W1119" s="3" t="n">
        <v>4</v>
      </c>
      <c r="X1119" s="3" t="n">
        <f aca="false">LOOKUP(V1119,$AB$3:$AC$123)</f>
        <v>1.1415</v>
      </c>
      <c r="Y1119" s="2" t="n">
        <f aca="false">(V1119*((W1119+T1119)/1000)*X1119)/((((W1119+T1119)/1000)*X1119)-((W1119/1000)*0.9982))</f>
        <v>65.9595517422518</v>
      </c>
      <c r="Z1119" s="3" t="n">
        <f aca="false">(X1119*(V1119/100)*((W1119+T1119)/1000))*1000</f>
        <v>2.636865</v>
      </c>
    </row>
    <row r="1120" customFormat="false" ht="15" hidden="false" customHeight="false" outlineLevel="0" collapsed="false">
      <c r="A1120" s="0" t="s">
        <v>59</v>
      </c>
      <c r="B1120" s="0" t="s">
        <v>60</v>
      </c>
      <c r="C1120" s="0" t="s">
        <v>56</v>
      </c>
      <c r="D1120" s="0" t="s">
        <v>151</v>
      </c>
      <c r="E1120" s="0" t="n">
        <v>24</v>
      </c>
      <c r="F1120" s="0" t="n">
        <v>2</v>
      </c>
      <c r="G1120" s="1"/>
      <c r="H1120" s="1"/>
      <c r="I1120" s="3" t="n">
        <v>26.7</v>
      </c>
      <c r="J1120" s="0" t="n">
        <f aca="false">(I1120/32)*5</f>
        <v>4.171875</v>
      </c>
      <c r="L1120" s="3" t="n">
        <v>30</v>
      </c>
      <c r="M1120" s="3" t="n">
        <v>0</v>
      </c>
      <c r="N1120" s="3" t="n">
        <f aca="false">L1120</f>
        <v>30</v>
      </c>
      <c r="O1120" s="3" t="n">
        <f aca="false">LOOKUP(L1120,$AB$3:$AC$123)</f>
        <v>1.127</v>
      </c>
      <c r="P1120" s="3" t="n">
        <f aca="false">(O1120*(N1120/100)*(J1120/1000))*1000</f>
        <v>1.4105109375</v>
      </c>
      <c r="Q1120" s="3"/>
      <c r="R1120" s="3" t="n">
        <v>5</v>
      </c>
      <c r="S1120" s="3" t="n">
        <v>26.6</v>
      </c>
      <c r="T1120" s="0" t="n">
        <f aca="false">(S1120/32)*5</f>
        <v>4.15625</v>
      </c>
      <c r="V1120" s="3" t="n">
        <v>36</v>
      </c>
      <c r="W1120" s="3" t="n">
        <v>4</v>
      </c>
      <c r="X1120" s="3" t="n">
        <f aca="false">LOOKUP(V1120,$AB$3:$AC$123)</f>
        <v>1.1562</v>
      </c>
      <c r="Y1120" s="2" t="n">
        <f aca="false">(V1120*((W1120+T1120)/1000)*X1120)/((((W1120+T1120)/1000)*X1120)-((W1120/1000)*0.9982))</f>
        <v>62.4353023530074</v>
      </c>
      <c r="Z1120" s="3" t="n">
        <f aca="false">(X1120*(V1120/100)*((W1120+T1120)/1000))*1000</f>
        <v>3.39489225</v>
      </c>
    </row>
    <row r="1121" customFormat="false" ht="15" hidden="false" customHeight="false" outlineLevel="0" collapsed="false">
      <c r="A1121" s="0" t="s">
        <v>61</v>
      </c>
      <c r="B1121" s="0" t="s">
        <v>62</v>
      </c>
      <c r="C1121" s="0" t="s">
        <v>56</v>
      </c>
      <c r="D1121" s="0" t="s">
        <v>151</v>
      </c>
      <c r="E1121" s="0" t="n">
        <v>24</v>
      </c>
      <c r="F1121" s="0" t="n">
        <v>5</v>
      </c>
      <c r="G1121" s="1"/>
      <c r="H1121" s="1"/>
      <c r="I1121" s="3" t="n">
        <f aca="false">64+19.5</f>
        <v>83.5</v>
      </c>
      <c r="J1121" s="0" t="n">
        <f aca="false">(I1121/32)*5</f>
        <v>13.046875</v>
      </c>
      <c r="L1121" s="3" t="n">
        <v>26</v>
      </c>
      <c r="M1121" s="3" t="n">
        <v>0</v>
      </c>
      <c r="N1121" s="3" t="n">
        <f aca="false">L1121</f>
        <v>26</v>
      </c>
      <c r="O1121" s="3" t="n">
        <f aca="false">LOOKUP(L1121,$AB$3:$AC$123)</f>
        <v>1.1081</v>
      </c>
      <c r="P1121" s="3" t="n">
        <f aca="false">(O1121*(N1121/100)*(J1121/1000))*1000</f>
        <v>3.75888296875</v>
      </c>
      <c r="Q1121" s="3"/>
      <c r="R1121" s="3" t="n">
        <v>12</v>
      </c>
      <c r="S1121" s="3" t="n">
        <v>23.3</v>
      </c>
      <c r="T1121" s="0" t="n">
        <f aca="false">(S1121/32)*5</f>
        <v>3.640625</v>
      </c>
      <c r="V1121" s="3" t="n">
        <v>37</v>
      </c>
      <c r="W1121" s="3" t="n">
        <v>4</v>
      </c>
      <c r="X1121" s="3" t="n">
        <f aca="false">LOOKUP(V1121,$AB$3:$AC$123)</f>
        <v>1.16125</v>
      </c>
      <c r="Y1121" s="2" t="n">
        <f aca="false">(V1121*((W1121+T1121)/1000)*X1121)/((((W1121+T1121)/1000)*X1121)-((W1121/1000)*0.9982))</f>
        <v>67.2740493042136</v>
      </c>
      <c r="Z1121" s="3" t="n">
        <f aca="false">(X1121*(V1121/100)*((W1121+T1121)/1000))*1000</f>
        <v>3.2828900390625</v>
      </c>
    </row>
    <row r="1122" customFormat="false" ht="15" hidden="false" customHeight="false" outlineLevel="0" collapsed="false">
      <c r="A1122" s="0" t="s">
        <v>63</v>
      </c>
      <c r="B1122" s="0" t="s">
        <v>64</v>
      </c>
      <c r="C1122" s="0" t="s">
        <v>56</v>
      </c>
      <c r="D1122" s="0" t="s">
        <v>151</v>
      </c>
      <c r="E1122" s="0" t="n">
        <v>24</v>
      </c>
      <c r="F1122" s="0" t="n">
        <v>1</v>
      </c>
      <c r="G1122" s="1"/>
      <c r="H1122" s="1"/>
      <c r="I1122" s="0" t="n">
        <v>64</v>
      </c>
      <c r="J1122" s="0" t="n">
        <f aca="false">(I1122/32)*5</f>
        <v>10</v>
      </c>
      <c r="L1122" s="3" t="n">
        <v>33</v>
      </c>
      <c r="M1122" s="3" t="n">
        <v>0</v>
      </c>
      <c r="N1122" s="3" t="n">
        <f aca="false">L1122</f>
        <v>33</v>
      </c>
      <c r="O1122" s="3" t="n">
        <f aca="false">LOOKUP(L1122,$AB$3:$AC$123)</f>
        <v>1.1415</v>
      </c>
      <c r="P1122" s="3" t="n">
        <f aca="false">(O1122*(N1122/100)*(J1122/1000))*1000</f>
        <v>3.76695</v>
      </c>
      <c r="Q1122" s="3"/>
      <c r="R1122" s="3" t="n">
        <v>2</v>
      </c>
      <c r="S1122" s="3" t="n">
        <v>6.4</v>
      </c>
      <c r="T1122" s="0" t="n">
        <f aca="false">(S1122/32)*5</f>
        <v>1</v>
      </c>
      <c r="V1122" s="3" t="n">
        <v>13</v>
      </c>
      <c r="W1122" s="3" t="n">
        <v>4</v>
      </c>
      <c r="X1122" s="3" t="n">
        <f aca="false">LOOKUP(V1122,$AB$3:$AC$123)</f>
        <v>1.0507</v>
      </c>
      <c r="Y1122" s="2" t="n">
        <f aca="false">(V1122*((W1122+T1122)/1000)*X1122)/((((W1122+T1122)/1000)*X1122)-((W1122/1000)*0.9982))</f>
        <v>54.1726818434203</v>
      </c>
      <c r="Z1122" s="3" t="n">
        <f aca="false">(X1122*(V1122/100)*((W1122+T1122)/1000))*1000</f>
        <v>0.682955</v>
      </c>
    </row>
    <row r="1123" customFormat="false" ht="15" hidden="false" customHeight="false" outlineLevel="0" collapsed="false">
      <c r="A1123" s="0" t="s">
        <v>65</v>
      </c>
      <c r="B1123" s="0" t="s">
        <v>66</v>
      </c>
      <c r="C1123" s="0" t="s">
        <v>56</v>
      </c>
      <c r="D1123" s="0" t="s">
        <v>151</v>
      </c>
      <c r="E1123" s="0" t="n">
        <v>24</v>
      </c>
      <c r="F1123" s="0" t="n">
        <v>4</v>
      </c>
      <c r="G1123" s="1"/>
      <c r="H1123" s="1"/>
      <c r="I1123" s="0" t="n">
        <f aca="false">32*6+10.7</f>
        <v>202.7</v>
      </c>
      <c r="J1123" s="0" t="n">
        <f aca="false">(I1123/32)*5</f>
        <v>31.671875</v>
      </c>
      <c r="L1123" s="3" t="n">
        <v>28.5</v>
      </c>
      <c r="M1123" s="3" t="n">
        <v>0</v>
      </c>
      <c r="N1123" s="3" t="n">
        <f aca="false">L1123</f>
        <v>28.5</v>
      </c>
      <c r="O1123" s="3" t="n">
        <f aca="false">LOOKUP(L1123,$AB$3:$AC$123)</f>
        <v>1.119875</v>
      </c>
      <c r="P1123" s="3" t="n">
        <f aca="false">(O1123*(N1123/100)*(J1123/1000))*1000</f>
        <v>10.1085341894531</v>
      </c>
      <c r="Q1123" s="3"/>
      <c r="R1123" s="3" t="n">
        <v>19</v>
      </c>
      <c r="S1123" s="3" t="n">
        <v>18.1</v>
      </c>
      <c r="T1123" s="0" t="n">
        <f aca="false">(S1123/32)*5</f>
        <v>2.828125</v>
      </c>
      <c r="V1123" s="3" t="n">
        <v>17</v>
      </c>
      <c r="W1123" s="3" t="n">
        <v>8</v>
      </c>
      <c r="X1123" s="3" t="n">
        <f aca="false">LOOKUP(V1123,$AB$3:$AC$123)</f>
        <v>1.0678</v>
      </c>
      <c r="Y1123" s="2" t="n">
        <f aca="false">(V1123*((W1123+T1123)/1000)*X1123)/((((W1123+T1123)/1000)*X1123)-((W1123/1000)*0.9982))</f>
        <v>54.9557322406043</v>
      </c>
      <c r="Z1123" s="3" t="n">
        <f aca="false">(X1123*(V1123/100)*((W1123+T1123)/1000))*1000</f>
        <v>1.96558621875</v>
      </c>
    </row>
    <row r="1124" customFormat="false" ht="15" hidden="false" customHeight="false" outlineLevel="0" collapsed="false">
      <c r="A1124" s="0" t="s">
        <v>67</v>
      </c>
      <c r="B1124" s="0" t="s">
        <v>68</v>
      </c>
      <c r="C1124" s="0" t="s">
        <v>56</v>
      </c>
      <c r="D1124" s="0" t="s">
        <v>151</v>
      </c>
      <c r="E1124" s="0" t="n">
        <v>24</v>
      </c>
      <c r="F1124" s="0" t="n">
        <v>1</v>
      </c>
      <c r="G1124" s="1"/>
      <c r="H1124" s="1"/>
      <c r="I1124" s="0" t="n">
        <f aca="false">32+19.5</f>
        <v>51.5</v>
      </c>
      <c r="J1124" s="0" t="n">
        <f aca="false">(I1124/32)*5</f>
        <v>8.046875</v>
      </c>
      <c r="L1124" s="3" t="n">
        <v>28</v>
      </c>
      <c r="M1124" s="3" t="n">
        <v>0</v>
      </c>
      <c r="N1124" s="3" t="n">
        <f aca="false">L1124</f>
        <v>28</v>
      </c>
      <c r="O1124" s="3" t="n">
        <f aca="false">LOOKUP(L1124,$AB$3:$AC$123)</f>
        <v>1.1175</v>
      </c>
      <c r="P1124" s="3" t="n">
        <f aca="false">(O1124*(N1124/100)*(J1124/1000))*1000</f>
        <v>2.5178671875</v>
      </c>
      <c r="Q1124" s="3"/>
      <c r="R1124" s="3" t="n">
        <v>8</v>
      </c>
      <c r="S1124" s="3" t="n">
        <v>11.4</v>
      </c>
      <c r="T1124" s="0" t="n">
        <f aca="false">(S1124/32)*5</f>
        <v>1.78125</v>
      </c>
      <c r="V1124" s="3" t="n">
        <v>16</v>
      </c>
      <c r="W1124" s="3" t="n">
        <v>4</v>
      </c>
      <c r="X1124" s="3" t="n">
        <f aca="false">LOOKUP(V1124,$AB$3:$AC$123)</f>
        <v>1.0635</v>
      </c>
      <c r="Y1124" s="2" t="n">
        <f aca="false">(V1124*((W1124+T1124)/1000)*X1124)/((((W1124+T1124)/1000)*X1124)-((W1124/1000)*0.9982))</f>
        <v>45.6372258361012</v>
      </c>
      <c r="Z1124" s="3" t="n">
        <f aca="false">(X1124*(V1124/100)*((W1124+T1124)/1000))*1000</f>
        <v>0.9837375</v>
      </c>
    </row>
    <row r="1125" customFormat="false" ht="15" hidden="false" customHeight="false" outlineLevel="0" collapsed="false">
      <c r="A1125" s="0" t="s">
        <v>69</v>
      </c>
      <c r="B1125" s="0" t="s">
        <v>70</v>
      </c>
      <c r="C1125" s="0" t="s">
        <v>56</v>
      </c>
      <c r="D1125" s="0" t="s">
        <v>151</v>
      </c>
      <c r="E1125" s="0" t="n">
        <v>24</v>
      </c>
      <c r="F1125" s="0" t="n">
        <v>1</v>
      </c>
      <c r="G1125" s="1"/>
      <c r="H1125" s="1"/>
      <c r="I1125" s="0" t="n">
        <f aca="false">32*3+19.1</f>
        <v>115.1</v>
      </c>
      <c r="J1125" s="0" t="n">
        <f aca="false">(I1125/32)*5</f>
        <v>17.984375</v>
      </c>
      <c r="L1125" s="3" t="n">
        <v>29</v>
      </c>
      <c r="M1125" s="3" t="n">
        <v>0</v>
      </c>
      <c r="N1125" s="3" t="n">
        <f aca="false">L1125</f>
        <v>29</v>
      </c>
      <c r="O1125" s="3" t="n">
        <f aca="false">LOOKUP(L1125,$AB$3:$AC$123)</f>
        <v>1.12225</v>
      </c>
      <c r="P1125" s="3" t="n">
        <f aca="false">(O1125*(N1125/100)*(J1125/1000))*1000</f>
        <v>5.8530598046875</v>
      </c>
      <c r="Q1125" s="3"/>
      <c r="R1125" s="3" t="n">
        <v>4</v>
      </c>
      <c r="S1125" s="3" t="n">
        <v>5.5</v>
      </c>
      <c r="T1125" s="0" t="n">
        <f aca="false">(S1125/32)*5</f>
        <v>0.859375</v>
      </c>
      <c r="V1125" s="3" t="n">
        <v>23</v>
      </c>
      <c r="W1125" s="3" t="n">
        <v>4</v>
      </c>
      <c r="X1125" s="3" t="n">
        <f aca="false">LOOKUP(V1125,$AB$3:$AC$123)</f>
        <v>1.09445</v>
      </c>
      <c r="Y1125" s="2" t="n">
        <f aca="false">(V1125*((W1125+T1125)/1000)*X1125)/((((W1125+T1125)/1000)*X1125)-((W1125/1000)*0.9982))</f>
        <v>92.280590795635</v>
      </c>
      <c r="Z1125" s="3" t="n">
        <f aca="false">(X1125*(V1125/100)*((W1125+T1125)/1000))*1000</f>
        <v>1.2232188828125</v>
      </c>
    </row>
    <row r="1126" customFormat="false" ht="15" hidden="false" customHeight="false" outlineLevel="0" collapsed="false">
      <c r="A1126" s="0" t="s">
        <v>71</v>
      </c>
      <c r="B1126" s="0" t="s">
        <v>72</v>
      </c>
      <c r="C1126" s="0" t="s">
        <v>56</v>
      </c>
      <c r="D1126" s="0" t="s">
        <v>151</v>
      </c>
      <c r="E1126" s="0" t="n">
        <v>24</v>
      </c>
      <c r="F1126" s="0" t="n">
        <v>0</v>
      </c>
      <c r="G1126" s="1"/>
      <c r="H1126" s="1"/>
      <c r="I1126" s="0" t="n">
        <v>0</v>
      </c>
      <c r="J1126" s="0" t="n">
        <f aca="false">(I1126/32)*5</f>
        <v>0</v>
      </c>
      <c r="L1126" s="3" t="n">
        <v>0</v>
      </c>
      <c r="M1126" s="3" t="n">
        <v>0</v>
      </c>
      <c r="N1126" s="3" t="n">
        <f aca="false">L1126</f>
        <v>0</v>
      </c>
      <c r="O1126" s="3" t="n">
        <v>0</v>
      </c>
      <c r="P1126" s="3" t="n">
        <f aca="false">(O1126*(N1126/100)*(J1126/1000))*1000</f>
        <v>0</v>
      </c>
      <c r="Q1126" s="3"/>
      <c r="R1126" s="3" t="n">
        <v>7</v>
      </c>
      <c r="S1126" s="3" t="n">
        <v>11.9</v>
      </c>
      <c r="T1126" s="0" t="n">
        <f aca="false">(S1126/32)*5</f>
        <v>1.859375</v>
      </c>
      <c r="V1126" s="3" t="n">
        <v>22</v>
      </c>
      <c r="W1126" s="3" t="n">
        <v>4</v>
      </c>
      <c r="X1126" s="3" t="n">
        <f aca="false">LOOKUP(V1126,$AB$3:$AC$123)</f>
        <v>1.0899</v>
      </c>
      <c r="Y1126" s="2" t="n">
        <f aca="false">(V1126*((W1126+T1126)/1000)*X1126)/((((W1126+T1126)/1000)*X1126)-((W1126/1000)*0.9982))</f>
        <v>58.7026263715674</v>
      </c>
      <c r="Z1126" s="3" t="n">
        <f aca="false">(X1126*(V1126/100)*((W1126+T1126)/1000))*1000</f>
        <v>1.40494921875</v>
      </c>
    </row>
    <row r="1127" customFormat="false" ht="15" hidden="false" customHeight="false" outlineLevel="0" collapsed="false">
      <c r="A1127" s="0" t="s">
        <v>73</v>
      </c>
      <c r="B1127" s="0" t="s">
        <v>74</v>
      </c>
      <c r="C1127" s="0" t="s">
        <v>56</v>
      </c>
      <c r="D1127" s="0" t="s">
        <v>151</v>
      </c>
      <c r="E1127" s="0" t="n">
        <v>24</v>
      </c>
      <c r="F1127" s="0" t="n">
        <v>1</v>
      </c>
      <c r="G1127" s="1"/>
      <c r="H1127" s="1"/>
      <c r="I1127" s="0" t="n">
        <v>68.6</v>
      </c>
      <c r="J1127" s="0" t="n">
        <f aca="false">(I1127/32)*5</f>
        <v>10.71875</v>
      </c>
      <c r="L1127" s="3" t="n">
        <v>26</v>
      </c>
      <c r="M1127" s="3" t="n">
        <v>0</v>
      </c>
      <c r="N1127" s="3" t="n">
        <f aca="false">L1127</f>
        <v>26</v>
      </c>
      <c r="O1127" s="3" t="n">
        <f aca="false">LOOKUP(L1127,$AB$3:$AC$123)</f>
        <v>1.1081</v>
      </c>
      <c r="P1127" s="3" t="n">
        <f aca="false">(O1127*(N1127/100)*(J1127/1000))*1000</f>
        <v>3.0881361875</v>
      </c>
      <c r="Q1127" s="3"/>
      <c r="R1127" s="3" t="n">
        <v>8</v>
      </c>
      <c r="S1127" s="3" t="n">
        <v>18</v>
      </c>
      <c r="T1127" s="0" t="n">
        <f aca="false">(S1127/32)*5</f>
        <v>2.8125</v>
      </c>
      <c r="V1127" s="3" t="n">
        <v>29</v>
      </c>
      <c r="W1127" s="3" t="n">
        <v>4</v>
      </c>
      <c r="X1127" s="3" t="n">
        <f aca="false">LOOKUP(V1127,$AB$3:$AC$123)</f>
        <v>1.12225</v>
      </c>
      <c r="Y1127" s="2" t="n">
        <f aca="false">(V1127*((W1127+T1127)/1000)*X1127)/((((W1127+T1127)/1000)*X1127)-((W1127/1000)*0.9982))</f>
        <v>60.7016586970155</v>
      </c>
      <c r="Z1127" s="3" t="n">
        <f aca="false">(X1127*(V1127/100)*((W1127+T1127)/1000))*1000</f>
        <v>2.21714515625</v>
      </c>
    </row>
    <row r="1128" customFormat="false" ht="15" hidden="false" customHeight="false" outlineLevel="0" collapsed="false">
      <c r="A1128" s="0" t="s">
        <v>75</v>
      </c>
      <c r="B1128" s="0" t="s">
        <v>76</v>
      </c>
      <c r="C1128" s="0" t="s">
        <v>56</v>
      </c>
      <c r="D1128" s="0" t="s">
        <v>151</v>
      </c>
      <c r="E1128" s="0" t="n">
        <v>24</v>
      </c>
      <c r="F1128" s="0" t="n">
        <v>0</v>
      </c>
      <c r="G1128" s="1"/>
      <c r="H1128" s="1"/>
      <c r="I1128" s="0" t="n">
        <v>0</v>
      </c>
      <c r="J1128" s="0" t="n">
        <f aca="false">(I1128/32)*5</f>
        <v>0</v>
      </c>
      <c r="L1128" s="3" t="n">
        <v>0</v>
      </c>
      <c r="M1128" s="3" t="n">
        <v>0</v>
      </c>
      <c r="N1128" s="3" t="n">
        <f aca="false">L1128</f>
        <v>0</v>
      </c>
      <c r="O1128" s="3" t="n">
        <v>0</v>
      </c>
      <c r="P1128" s="3" t="n">
        <f aca="false">(O1128*(N1128/100)*(J1128/1000))*1000</f>
        <v>0</v>
      </c>
      <c r="Q1128" s="3"/>
      <c r="R1128" s="3" t="n">
        <v>9</v>
      </c>
      <c r="S1128" s="3" t="n">
        <v>32</v>
      </c>
      <c r="T1128" s="0" t="n">
        <f aca="false">(S1128/32)*5</f>
        <v>5</v>
      </c>
      <c r="V1128" s="3" t="n">
        <v>33.5</v>
      </c>
      <c r="W1128" s="3" t="n">
        <v>4</v>
      </c>
      <c r="X1128" s="3" t="n">
        <f aca="false">LOOKUP(V1128,$AB$3:$AC$123)</f>
        <v>1.14395</v>
      </c>
      <c r="Y1128" s="2" t="n">
        <f aca="false">(V1128*((W1128+T1128)/1000)*X1128)/((((W1128+T1128)/1000)*X1128)-((W1128/1000)*0.9982))</f>
        <v>54.7222918567292</v>
      </c>
      <c r="Z1128" s="3" t="n">
        <f aca="false">(X1128*(V1128/100)*((W1128+T1128)/1000))*1000</f>
        <v>3.44900925</v>
      </c>
    </row>
    <row r="1129" customFormat="false" ht="15" hidden="false" customHeight="false" outlineLevel="0" collapsed="false">
      <c r="A1129" s="0" t="s">
        <v>77</v>
      </c>
      <c r="B1129" s="0" t="s">
        <v>78</v>
      </c>
      <c r="C1129" s="0" t="s">
        <v>56</v>
      </c>
      <c r="D1129" s="0" t="s">
        <v>151</v>
      </c>
      <c r="E1129" s="0" t="n">
        <v>24</v>
      </c>
      <c r="F1129" s="0" t="n">
        <v>2</v>
      </c>
      <c r="G1129" s="1"/>
      <c r="H1129" s="1"/>
      <c r="I1129" s="0" t="n">
        <f aca="false">64+20.2</f>
        <v>84.2</v>
      </c>
      <c r="J1129" s="0" t="n">
        <f aca="false">(I1129/32)*5</f>
        <v>13.15625</v>
      </c>
      <c r="L1129" s="3" t="n">
        <v>28</v>
      </c>
      <c r="M1129" s="3" t="n">
        <v>0</v>
      </c>
      <c r="N1129" s="3" t="n">
        <f aca="false">L1129</f>
        <v>28</v>
      </c>
      <c r="O1129" s="3" t="n">
        <f aca="false">LOOKUP(L1129,$AB$3:$AC$123)</f>
        <v>1.1175</v>
      </c>
      <c r="P1129" s="3" t="n">
        <f aca="false">(O1129*(N1129/100)*(J1129/1000))*1000</f>
        <v>4.116590625</v>
      </c>
      <c r="Q1129" s="3"/>
      <c r="R1129" s="3" t="n">
        <v>8</v>
      </c>
      <c r="S1129" s="3" t="n">
        <v>20.9</v>
      </c>
      <c r="T1129" s="0" t="n">
        <f aca="false">(S1129/32)*5</f>
        <v>3.265625</v>
      </c>
      <c r="V1129" s="3" t="n">
        <v>32</v>
      </c>
      <c r="W1129" s="3" t="n">
        <v>4</v>
      </c>
      <c r="X1129" s="3" t="n">
        <f aca="false">LOOKUP(V1129,$AB$3:$AC$123)</f>
        <v>1.1366</v>
      </c>
      <c r="Y1129" s="2" t="n">
        <f aca="false">(V1129*((W1129+T1129)/1000)*X1129)/((((W1129+T1129)/1000)*X1129)-((W1129/1000)*0.9982))</f>
        <v>61.9555293102274</v>
      </c>
      <c r="Z1129" s="3" t="n">
        <f aca="false">(X1129*(V1129/100)*((W1129+T1129)/1000))*1000</f>
        <v>2.642595</v>
      </c>
    </row>
    <row r="1130" customFormat="false" ht="15" hidden="false" customHeight="false" outlineLevel="0" collapsed="false">
      <c r="A1130" s="0" t="s">
        <v>79</v>
      </c>
      <c r="B1130" s="0" t="s">
        <v>80</v>
      </c>
      <c r="C1130" s="0" t="s">
        <v>81</v>
      </c>
      <c r="D1130" s="0" t="s">
        <v>151</v>
      </c>
      <c r="E1130" s="0" t="n">
        <v>24</v>
      </c>
      <c r="F1130" s="0" t="n">
        <v>0</v>
      </c>
      <c r="G1130" s="1"/>
      <c r="H1130" s="1"/>
      <c r="I1130" s="0" t="n">
        <v>0</v>
      </c>
      <c r="J1130" s="0" t="n">
        <f aca="false">(I1130/32)*5</f>
        <v>0</v>
      </c>
      <c r="L1130" s="3" t="n">
        <v>0</v>
      </c>
      <c r="M1130" s="3" t="n">
        <v>0</v>
      </c>
      <c r="N1130" s="3" t="n">
        <f aca="false">L1130</f>
        <v>0</v>
      </c>
      <c r="O1130" s="3" t="n">
        <v>0</v>
      </c>
      <c r="P1130" s="3" t="n">
        <f aca="false">(O1130*(N1130/100)*(J1130/1000))*1000</f>
        <v>0</v>
      </c>
      <c r="Q1130" s="3"/>
      <c r="R1130" s="3" t="n">
        <v>2</v>
      </c>
      <c r="S1130" s="3" t="n">
        <v>7</v>
      </c>
      <c r="T1130" s="0" t="n">
        <f aca="false">(S1130/32)*5</f>
        <v>1.09375</v>
      </c>
      <c r="V1130" s="3" t="n">
        <v>17.5</v>
      </c>
      <c r="W1130" s="3" t="n">
        <v>4</v>
      </c>
      <c r="X1130" s="3" t="n">
        <f aca="false">LOOKUP(V1130,$AB$3:$AC$123)</f>
        <v>1.07</v>
      </c>
      <c r="Y1130" s="2" t="n">
        <f aca="false">(V1130*((W1130+T1130)/1000)*X1130)/((((W1130+T1130)/1000)*X1130)-((W1130/1000)*0.9982))</f>
        <v>65.4405836999683</v>
      </c>
      <c r="Z1130" s="3" t="n">
        <f aca="false">(X1130*(V1130/100)*((W1130+T1130)/1000))*1000</f>
        <v>0.9538046875</v>
      </c>
    </row>
    <row r="1131" customFormat="false" ht="15" hidden="false" customHeight="false" outlineLevel="0" collapsed="false">
      <c r="A1131" s="0" t="s">
        <v>82</v>
      </c>
      <c r="B1131" s="0" t="s">
        <v>83</v>
      </c>
      <c r="C1131" s="0" t="s">
        <v>81</v>
      </c>
      <c r="D1131" s="0" t="s">
        <v>151</v>
      </c>
      <c r="E1131" s="0" t="n">
        <v>24</v>
      </c>
      <c r="F1131" s="0" t="n">
        <v>1</v>
      </c>
      <c r="G1131" s="1"/>
      <c r="H1131" s="1"/>
      <c r="I1131" s="0" t="n">
        <v>22.6</v>
      </c>
      <c r="J1131" s="0" t="n">
        <f aca="false">(I1131/32)*5</f>
        <v>3.53125</v>
      </c>
      <c r="L1131" s="3" t="n">
        <v>24</v>
      </c>
      <c r="M1131" s="3" t="n">
        <v>0</v>
      </c>
      <c r="N1131" s="3" t="n">
        <f aca="false">L1131</f>
        <v>24</v>
      </c>
      <c r="O1131" s="3" t="n">
        <f aca="false">LOOKUP(L1131,$AB$3:$AC$123)</f>
        <v>1.099</v>
      </c>
      <c r="P1131" s="3" t="n">
        <f aca="false">(O1131*(N1131/100)*(J1131/1000))*1000</f>
        <v>0.9314025</v>
      </c>
      <c r="Q1131" s="3"/>
      <c r="R1131" s="3" t="n">
        <v>3</v>
      </c>
      <c r="S1131" s="3" t="n">
        <v>16.7</v>
      </c>
      <c r="T1131" s="0" t="n">
        <f aca="false">(S1131/32)*5</f>
        <v>2.609375</v>
      </c>
      <c r="V1131" s="3" t="n">
        <v>15</v>
      </c>
      <c r="W1131" s="3" t="n">
        <v>4</v>
      </c>
      <c r="X1131" s="3" t="n">
        <f aca="false">LOOKUP(V1131,$AB$3:$AC$123)</f>
        <v>1.0592</v>
      </c>
      <c r="Y1131" s="2" t="n">
        <f aca="false">(V1131*((W1131+T1131)/1000)*X1131)/((((W1131+T1131)/1000)*X1131)-((W1131/1000)*0.9982))</f>
        <v>34.9118972023206</v>
      </c>
      <c r="Z1131" s="3" t="n">
        <f aca="false">(X1131*(V1131/100)*((W1131+T1131)/1000))*1000</f>
        <v>1.0500975</v>
      </c>
    </row>
    <row r="1132" customFormat="false" ht="15" hidden="false" customHeight="false" outlineLevel="0" collapsed="false">
      <c r="A1132" s="0" t="s">
        <v>84</v>
      </c>
      <c r="B1132" s="0" t="s">
        <v>85</v>
      </c>
      <c r="C1132" s="0" t="s">
        <v>81</v>
      </c>
      <c r="D1132" s="0" t="s">
        <v>151</v>
      </c>
      <c r="E1132" s="0" t="n">
        <v>24</v>
      </c>
      <c r="F1132" s="0" t="n">
        <v>0</v>
      </c>
      <c r="G1132" s="1"/>
      <c r="H1132" s="1"/>
      <c r="I1132" s="0" t="n">
        <v>0</v>
      </c>
      <c r="J1132" s="0" t="n">
        <f aca="false">(I1132/32)*5</f>
        <v>0</v>
      </c>
      <c r="L1132" s="3" t="n">
        <v>0</v>
      </c>
      <c r="M1132" s="3" t="n">
        <v>0</v>
      </c>
      <c r="N1132" s="3" t="n">
        <f aca="false">L1132</f>
        <v>0</v>
      </c>
      <c r="O1132" s="3" t="n">
        <f aca="false">LOOKUP(L1132,$AB$3:$AC$123)</f>
        <v>0.9982</v>
      </c>
      <c r="P1132" s="3" t="n">
        <f aca="false">(O1132*(N1132/100)*(J1132/1000))*1000</f>
        <v>0</v>
      </c>
      <c r="Q1132" s="3"/>
      <c r="R1132" s="3" t="n">
        <v>5</v>
      </c>
      <c r="S1132" s="3" t="n">
        <v>12.3</v>
      </c>
      <c r="T1132" s="0" t="n">
        <f aca="false">(S1132/32)*5</f>
        <v>1.921875</v>
      </c>
      <c r="V1132" s="3" t="n">
        <v>24</v>
      </c>
      <c r="W1132" s="3" t="n">
        <v>4</v>
      </c>
      <c r="X1132" s="3" t="n">
        <f aca="false">LOOKUP(V1132,$AB$3:$AC$123)</f>
        <v>1.099</v>
      </c>
      <c r="Y1132" s="2" t="n">
        <f aca="false">(V1132*((W1132+T1132)/1000)*X1132)/((((W1132+T1132)/1000)*X1132)-((W1132/1000)*0.9982))</f>
        <v>62.0971066294451</v>
      </c>
      <c r="Z1132" s="3" t="n">
        <f aca="false">(X1132*(V1132/100)*((W1132+T1132)/1000))*1000</f>
        <v>1.56195375</v>
      </c>
    </row>
    <row r="1133" customFormat="false" ht="15" hidden="false" customHeight="false" outlineLevel="0" collapsed="false">
      <c r="A1133" s="0" t="s">
        <v>86</v>
      </c>
      <c r="B1133" s="0" t="s">
        <v>87</v>
      </c>
      <c r="C1133" s="0" t="s">
        <v>81</v>
      </c>
      <c r="D1133" s="0" t="s">
        <v>151</v>
      </c>
      <c r="E1133" s="0" t="n">
        <v>24</v>
      </c>
      <c r="F1133" s="0" t="n">
        <v>2</v>
      </c>
      <c r="G1133" s="1"/>
      <c r="H1133" s="1"/>
      <c r="I1133" s="0" t="n">
        <f aca="false">32+17.5</f>
        <v>49.5</v>
      </c>
      <c r="J1133" s="0" t="n">
        <f aca="false">(I1133/32)*5</f>
        <v>7.734375</v>
      </c>
      <c r="L1133" s="3" t="n">
        <v>28.5</v>
      </c>
      <c r="M1133" s="3" t="n">
        <v>0</v>
      </c>
      <c r="N1133" s="3" t="n">
        <f aca="false">L1133</f>
        <v>28.5</v>
      </c>
      <c r="O1133" s="3" t="n">
        <f aca="false">LOOKUP(L1133,$AB$3:$AC$123)</f>
        <v>1.119875</v>
      </c>
      <c r="P1133" s="3" t="n">
        <f aca="false">(O1133*(N1133/100)*(J1133/1000))*1000</f>
        <v>2.46853696289062</v>
      </c>
      <c r="Q1133" s="3"/>
      <c r="R1133" s="3" t="n">
        <v>4</v>
      </c>
      <c r="S1133" s="3" t="n">
        <v>10.7</v>
      </c>
      <c r="T1133" s="0" t="n">
        <f aca="false">(S1133/32)*5</f>
        <v>1.671875</v>
      </c>
      <c r="V1133" s="3" t="n">
        <v>14</v>
      </c>
      <c r="W1133" s="3" t="n">
        <v>4</v>
      </c>
      <c r="X1133" s="3" t="n">
        <f aca="false">LOOKUP(V1133,$AB$3:$AC$123)</f>
        <v>1.0549</v>
      </c>
      <c r="Y1133" s="2" t="n">
        <f aca="false">(V1133*((W1133+T1133)/1000)*X1133)/((((W1133+T1133)/1000)*X1133)-((W1133/1000)*0.9982))</f>
        <v>42.083545347144</v>
      </c>
      <c r="Z1133" s="3" t="n">
        <f aca="false">(X1133*(V1133/100)*((W1133+T1133)/1000))*1000</f>
        <v>0.83765653125</v>
      </c>
    </row>
    <row r="1134" customFormat="false" ht="15" hidden="false" customHeight="false" outlineLevel="0" collapsed="false">
      <c r="A1134" s="0" t="s">
        <v>88</v>
      </c>
      <c r="B1134" s="0" t="s">
        <v>89</v>
      </c>
      <c r="C1134" s="0" t="s">
        <v>81</v>
      </c>
      <c r="D1134" s="0" t="s">
        <v>151</v>
      </c>
      <c r="E1134" s="0" t="n">
        <v>24</v>
      </c>
      <c r="F1134" s="0" t="n">
        <v>0</v>
      </c>
      <c r="G1134" s="1"/>
      <c r="H1134" s="1"/>
      <c r="I1134" s="0" t="n">
        <v>0</v>
      </c>
      <c r="J1134" s="0" t="n">
        <f aca="false">(I1134/32)*5</f>
        <v>0</v>
      </c>
      <c r="L1134" s="3" t="n">
        <v>0</v>
      </c>
      <c r="M1134" s="3" t="n">
        <v>0</v>
      </c>
      <c r="N1134" s="3" t="n">
        <f aca="false">L1134</f>
        <v>0</v>
      </c>
      <c r="O1134" s="3" t="n">
        <v>0</v>
      </c>
      <c r="P1134" s="3" t="n">
        <f aca="false">(O1134*(N1134/100)*(J1134/1000))*1000</f>
        <v>0</v>
      </c>
      <c r="Q1134" s="3"/>
      <c r="R1134" s="3" t="n">
        <v>8</v>
      </c>
      <c r="S1134" s="3" t="n">
        <v>13.2</v>
      </c>
      <c r="T1134" s="0" t="n">
        <f aca="false">(S1134/32)*5</f>
        <v>2.0625</v>
      </c>
      <c r="V1134" s="3" t="n">
        <v>26</v>
      </c>
      <c r="W1134" s="3" t="n">
        <v>4</v>
      </c>
      <c r="X1134" s="3" t="n">
        <f aca="false">LOOKUP(V1134,$AB$3:$AC$123)</f>
        <v>1.1081</v>
      </c>
      <c r="Y1134" s="2" t="n">
        <f aca="false">(V1134*((W1134+T1134)/1000)*X1134)/((((W1134+T1134)/1000)*X1134)-((W1134/1000)*0.9982))</f>
        <v>64.0956539887938</v>
      </c>
      <c r="Z1134" s="3" t="n">
        <f aca="false">(X1134*(V1134/100)*((W1134+T1134)/1000))*1000</f>
        <v>1.746642625</v>
      </c>
    </row>
    <row r="1135" customFormat="false" ht="15" hidden="false" customHeight="false" outlineLevel="0" collapsed="false">
      <c r="A1135" s="0" t="s">
        <v>90</v>
      </c>
      <c r="B1135" s="0" t="s">
        <v>91</v>
      </c>
      <c r="C1135" s="0" t="s">
        <v>81</v>
      </c>
      <c r="D1135" s="0" t="s">
        <v>151</v>
      </c>
      <c r="E1135" s="0" t="n">
        <v>24</v>
      </c>
      <c r="F1135" s="0" t="n">
        <v>0</v>
      </c>
      <c r="G1135" s="1"/>
      <c r="H1135" s="1"/>
      <c r="I1135" s="0" t="n">
        <v>0</v>
      </c>
      <c r="J1135" s="0" t="n">
        <f aca="false">(I1135/32)*5</f>
        <v>0</v>
      </c>
      <c r="L1135" s="3" t="n">
        <v>0</v>
      </c>
      <c r="M1135" s="3" t="n">
        <v>0</v>
      </c>
      <c r="N1135" s="3" t="n">
        <f aca="false">L1135</f>
        <v>0</v>
      </c>
      <c r="O1135" s="3" t="n">
        <v>0</v>
      </c>
      <c r="P1135" s="3" t="n">
        <f aca="false">(O1135*(N1135/100)*(J1135/1000))*1000</f>
        <v>0</v>
      </c>
      <c r="Q1135" s="3"/>
      <c r="R1135" s="3" t="n">
        <v>4</v>
      </c>
      <c r="S1135" s="3" t="n">
        <v>9.1</v>
      </c>
      <c r="T1135" s="0" t="n">
        <f aca="false">(S1135/32)*5</f>
        <v>1.421875</v>
      </c>
      <c r="V1135" s="3" t="n">
        <v>17.5</v>
      </c>
      <c r="W1135" s="3" t="n">
        <v>4</v>
      </c>
      <c r="X1135" s="3" t="n">
        <f aca="false">LOOKUP(V1135,$AB$3:$AC$123)</f>
        <v>1.07</v>
      </c>
      <c r="Y1135" s="2" t="n">
        <f aca="false">(V1135*((W1135+T1135)/1000)*X1135)/((((W1135+T1135)/1000)*X1135)-((W1135/1000)*0.9982))</f>
        <v>56.1341692670807</v>
      </c>
      <c r="Z1135" s="3" t="n">
        <f aca="false">(X1135*(V1135/100)*((W1135+T1135)/1000))*1000</f>
        <v>1.01524609375</v>
      </c>
    </row>
    <row r="1136" customFormat="false" ht="15" hidden="false" customHeight="false" outlineLevel="0" collapsed="false">
      <c r="A1136" s="0" t="s">
        <v>92</v>
      </c>
      <c r="B1136" s="0" t="s">
        <v>93</v>
      </c>
      <c r="C1136" s="0" t="s">
        <v>81</v>
      </c>
      <c r="D1136" s="0" t="s">
        <v>151</v>
      </c>
      <c r="E1136" s="0" t="n">
        <v>24</v>
      </c>
      <c r="F1136" s="0" t="n">
        <v>1</v>
      </c>
      <c r="G1136" s="1"/>
      <c r="H1136" s="1"/>
      <c r="I1136" s="0" t="n">
        <f aca="false">32+10.8</f>
        <v>42.8</v>
      </c>
      <c r="J1136" s="0" t="n">
        <f aca="false">(I1136/32)*5</f>
        <v>6.6875</v>
      </c>
      <c r="L1136" s="3" t="n">
        <v>26.5</v>
      </c>
      <c r="M1136" s="3" t="n">
        <v>0</v>
      </c>
      <c r="N1136" s="3" t="n">
        <f aca="false">L1136</f>
        <v>26.5</v>
      </c>
      <c r="O1136" s="3" t="n">
        <f aca="false">LOOKUP(L1136,$AB$3:$AC$123)</f>
        <v>1.11045</v>
      </c>
      <c r="P1136" s="3" t="n">
        <f aca="false">(O1136*(N1136/100)*(J1136/1000))*1000</f>
        <v>1.967925609375</v>
      </c>
      <c r="Q1136" s="3"/>
      <c r="R1136" s="3" t="n">
        <v>8</v>
      </c>
      <c r="S1136" s="3" t="n">
        <v>11.7</v>
      </c>
      <c r="T1136" s="0" t="n">
        <f aca="false">(S1136/32)*5</f>
        <v>1.828125</v>
      </c>
      <c r="V1136" s="3" t="n">
        <v>17.5</v>
      </c>
      <c r="W1136" s="3" t="n">
        <v>4</v>
      </c>
      <c r="X1136" s="3" t="n">
        <f aca="false">LOOKUP(V1136,$AB$3:$AC$123)</f>
        <v>1.07</v>
      </c>
      <c r="Y1136" s="2" t="n">
        <f aca="false">(V1136*((W1136+T1136)/1000)*X1136)/((((W1136+T1136)/1000)*X1136)-((W1136/1000)*0.9982))</f>
        <v>48.6479493044547</v>
      </c>
      <c r="Z1136" s="3" t="n">
        <f aca="false">(X1136*(V1136/100)*((W1136+T1136)/1000))*1000</f>
        <v>1.09131640625</v>
      </c>
    </row>
    <row r="1137" customFormat="false" ht="15" hidden="false" customHeight="false" outlineLevel="0" collapsed="false">
      <c r="A1137" s="0" t="s">
        <v>94</v>
      </c>
      <c r="B1137" s="0" t="s">
        <v>95</v>
      </c>
      <c r="C1137" s="0" t="s">
        <v>81</v>
      </c>
      <c r="D1137" s="0" t="s">
        <v>151</v>
      </c>
      <c r="E1137" s="0" t="n">
        <v>24</v>
      </c>
      <c r="F1137" s="0" t="n">
        <v>4</v>
      </c>
      <c r="G1137" s="1"/>
      <c r="H1137" s="1"/>
      <c r="I1137" s="0" t="n">
        <f aca="false">64+18.3</f>
        <v>82.3</v>
      </c>
      <c r="J1137" s="0" t="n">
        <f aca="false">(I1137/32)*5</f>
        <v>12.859375</v>
      </c>
      <c r="L1137" s="3" t="n">
        <v>23</v>
      </c>
      <c r="M1137" s="3" t="n">
        <v>0</v>
      </c>
      <c r="N1137" s="3" t="n">
        <f aca="false">L1137</f>
        <v>23</v>
      </c>
      <c r="O1137" s="3" t="n">
        <f aca="false">LOOKUP(L1137,$AB$3:$AC$123)</f>
        <v>1.09445</v>
      </c>
      <c r="P1137" s="3" t="n">
        <f aca="false">(O1137*(N1137/100)*(J1137/1000))*1000</f>
        <v>3.2370068828125</v>
      </c>
      <c r="Q1137" s="3"/>
      <c r="R1137" s="3" t="n">
        <v>11</v>
      </c>
      <c r="S1137" s="3" t="n">
        <v>20</v>
      </c>
      <c r="T1137" s="0" t="n">
        <f aca="false">(S1137/32)*5</f>
        <v>3.125</v>
      </c>
      <c r="V1137" s="3" t="n">
        <v>43</v>
      </c>
      <c r="W1137" s="3" t="n">
        <v>5</v>
      </c>
      <c r="X1137" s="3" t="n">
        <f aca="false">LOOKUP(V1137,$AB$3:$AC$123)</f>
        <v>1.192</v>
      </c>
      <c r="Y1137" s="2" t="n">
        <f aca="false">(V1137*((W1137+T1137)/1000)*X1137)/((((W1137+T1137)/1000)*X1137)-((W1137/1000)*0.9982))</f>
        <v>88.7207072858969</v>
      </c>
      <c r="Z1137" s="3" t="n">
        <f aca="false">(X1137*(V1137/100)*((W1137+T1137)/1000))*1000</f>
        <v>4.16455</v>
      </c>
    </row>
    <row r="1138" customFormat="false" ht="15" hidden="false" customHeight="false" outlineLevel="0" collapsed="false">
      <c r="A1138" s="0" t="s">
        <v>96</v>
      </c>
      <c r="B1138" s="0" t="s">
        <v>97</v>
      </c>
      <c r="C1138" s="0" t="s">
        <v>81</v>
      </c>
      <c r="D1138" s="0" t="s">
        <v>151</v>
      </c>
      <c r="E1138" s="0" t="n">
        <v>24</v>
      </c>
      <c r="F1138" s="0" t="n">
        <v>1</v>
      </c>
      <c r="G1138" s="1"/>
      <c r="H1138" s="1"/>
      <c r="I1138" s="0" t="n">
        <f aca="false">32+20.9</f>
        <v>52.9</v>
      </c>
      <c r="J1138" s="0" t="n">
        <f aca="false">(I1138/32)*5</f>
        <v>8.265625</v>
      </c>
      <c r="L1138" s="3" t="n">
        <v>24</v>
      </c>
      <c r="M1138" s="3" t="n">
        <v>0</v>
      </c>
      <c r="N1138" s="3" t="n">
        <f aca="false">L1138</f>
        <v>24</v>
      </c>
      <c r="O1138" s="3" t="n">
        <f aca="false">LOOKUP(L1138,$AB$3:$AC$123)</f>
        <v>1.099</v>
      </c>
      <c r="P1138" s="3" t="n">
        <f aca="false">(O1138*(N1138/100)*(J1138/1000))*1000</f>
        <v>2.18014125</v>
      </c>
      <c r="Q1138" s="3"/>
      <c r="R1138" s="3" t="n">
        <v>3</v>
      </c>
      <c r="S1138" s="3" t="n">
        <v>7.6</v>
      </c>
      <c r="T1138" s="0" t="n">
        <f aca="false">(S1138/32)*5</f>
        <v>1.1875</v>
      </c>
      <c r="V1138" s="3" t="n">
        <v>10.5</v>
      </c>
      <c r="W1138" s="3" t="n">
        <v>4</v>
      </c>
      <c r="X1138" s="3" t="n">
        <f aca="false">LOOKUP(V1138,$AB$3:$AC$123)</f>
        <v>1.0402</v>
      </c>
      <c r="Y1138" s="2" t="n">
        <f aca="false">(V1138*((W1138+T1138)/1000)*X1138)/((((W1138+T1138)/1000)*X1138)-((W1138/1000)*0.9982))</f>
        <v>40.3769096464426</v>
      </c>
      <c r="Z1138" s="3" t="n">
        <f aca="false">(X1138*(V1138/100)*((W1138+T1138)/1000))*1000</f>
        <v>0.5665839375</v>
      </c>
    </row>
    <row r="1139" customFormat="false" ht="15" hidden="false" customHeight="false" outlineLevel="0" collapsed="false">
      <c r="A1139" s="0" t="s">
        <v>98</v>
      </c>
      <c r="B1139" s="0" t="s">
        <v>99</v>
      </c>
      <c r="C1139" s="0" t="s">
        <v>81</v>
      </c>
      <c r="D1139" s="0" t="s">
        <v>151</v>
      </c>
      <c r="E1139" s="0" t="n">
        <v>24</v>
      </c>
      <c r="F1139" s="0" t="n">
        <v>1</v>
      </c>
      <c r="G1139" s="1"/>
      <c r="H1139" s="1"/>
      <c r="I1139" s="0" t="n">
        <v>33.4</v>
      </c>
      <c r="J1139" s="0" t="n">
        <f aca="false">(I1139/32)*5</f>
        <v>5.21875</v>
      </c>
      <c r="L1139" s="3" t="n">
        <v>27.5</v>
      </c>
      <c r="M1139" s="3" t="n">
        <v>0</v>
      </c>
      <c r="N1139" s="3" t="n">
        <f aca="false">L1139</f>
        <v>27.5</v>
      </c>
      <c r="O1139" s="3" t="n">
        <f aca="false">LOOKUP(L1139,$AB$3:$AC$123)</f>
        <v>1.11515</v>
      </c>
      <c r="P1139" s="3" t="n">
        <f aca="false">(O1139*(N1139/100)*(J1139/1000))*1000</f>
        <v>1.6004144921875</v>
      </c>
      <c r="Q1139" s="3"/>
      <c r="R1139" s="3" t="n">
        <v>6</v>
      </c>
      <c r="S1139" s="3" t="n">
        <v>28.2</v>
      </c>
      <c r="T1139" s="0" t="n">
        <f aca="false">(S1139/32)*5</f>
        <v>4.40625</v>
      </c>
      <c r="V1139" s="3" t="n">
        <v>39</v>
      </c>
      <c r="W1139" s="3" t="n">
        <v>4</v>
      </c>
      <c r="X1139" s="3" t="n">
        <f aca="false">LOOKUP(V1139,$AB$3:$AC$123)</f>
        <v>1.1714</v>
      </c>
      <c r="Y1139" s="2" t="n">
        <f aca="false">(V1139*((W1139+T1139)/1000)*X1139)/((((W1139+T1139)/1000)*X1139)-((W1139/1000)*0.9982))</f>
        <v>65.599200371523</v>
      </c>
      <c r="Z1139" s="3" t="n">
        <f aca="false">(X1139*(V1139/100)*((W1139+T1139)/1000))*1000</f>
        <v>3.8403616875</v>
      </c>
    </row>
    <row r="1140" customFormat="false" ht="15" hidden="false" customHeight="false" outlineLevel="0" collapsed="false">
      <c r="A1140" s="0" t="s">
        <v>100</v>
      </c>
      <c r="B1140" s="0" t="s">
        <v>101</v>
      </c>
      <c r="C1140" s="0" t="s">
        <v>81</v>
      </c>
      <c r="D1140" s="0" t="s">
        <v>151</v>
      </c>
      <c r="E1140" s="0" t="n">
        <v>24</v>
      </c>
      <c r="F1140" s="0" t="n">
        <v>0</v>
      </c>
      <c r="G1140" s="1"/>
      <c r="H1140" s="1"/>
      <c r="I1140" s="0" t="n">
        <v>0</v>
      </c>
      <c r="J1140" s="0" t="n">
        <f aca="false">(I1140/32)*5</f>
        <v>0</v>
      </c>
      <c r="L1140" s="3" t="n">
        <v>0</v>
      </c>
      <c r="M1140" s="3" t="n">
        <v>0</v>
      </c>
      <c r="N1140" s="3" t="n">
        <f aca="false">L1140</f>
        <v>0</v>
      </c>
      <c r="O1140" s="3" t="n">
        <v>0</v>
      </c>
      <c r="P1140" s="3" t="n">
        <f aca="false">(O1140*(N1140/100)*(J1140/1000))*1000</f>
        <v>0</v>
      </c>
      <c r="Q1140" s="3"/>
      <c r="R1140" s="3" t="n">
        <v>3</v>
      </c>
      <c r="S1140" s="3" t="n">
        <v>10.6</v>
      </c>
      <c r="T1140" s="0" t="n">
        <f aca="false">(S1140/32)*5</f>
        <v>1.65625</v>
      </c>
      <c r="V1140" s="3" t="n">
        <v>17</v>
      </c>
      <c r="W1140" s="3" t="n">
        <v>4</v>
      </c>
      <c r="X1140" s="3" t="n">
        <f aca="false">LOOKUP(V1140,$AB$3:$AC$123)</f>
        <v>1.0678</v>
      </c>
      <c r="Y1140" s="2" t="n">
        <f aca="false">(V1140*((W1140+T1140)/1000)*X1140)/((((W1140+T1140)/1000)*X1140)-((W1140/1000)*0.9982))</f>
        <v>50.1604617860164</v>
      </c>
      <c r="Z1140" s="3" t="n">
        <f aca="false">(X1140*(V1140/100)*((W1140+T1140)/1000))*1000</f>
        <v>1.0267564375</v>
      </c>
    </row>
    <row r="1141" customFormat="false" ht="15" hidden="false" customHeight="false" outlineLevel="0" collapsed="false">
      <c r="A1141" s="0" t="s">
        <v>102</v>
      </c>
      <c r="B1141" s="0" t="s">
        <v>103</v>
      </c>
      <c r="C1141" s="0" t="s">
        <v>81</v>
      </c>
      <c r="D1141" s="0" t="s">
        <v>151</v>
      </c>
      <c r="E1141" s="0" t="n">
        <v>24</v>
      </c>
      <c r="F1141" s="0" t="n">
        <v>2</v>
      </c>
      <c r="G1141" s="1"/>
      <c r="H1141" s="1"/>
      <c r="I1141" s="0" t="n">
        <f aca="false">32*3</f>
        <v>96</v>
      </c>
      <c r="J1141" s="0" t="n">
        <f aca="false">(I1141/32)*5</f>
        <v>15</v>
      </c>
      <c r="L1141" s="3" t="n">
        <v>23</v>
      </c>
      <c r="M1141" s="3" t="n">
        <v>0</v>
      </c>
      <c r="N1141" s="3" t="n">
        <f aca="false">L1141</f>
        <v>23</v>
      </c>
      <c r="O1141" s="3" t="n">
        <f aca="false">LOOKUP(L1141,$AB$3:$AC$123)</f>
        <v>1.09445</v>
      </c>
      <c r="P1141" s="3" t="n">
        <f aca="false">(O1141*(N1141/100)*(J1141/1000))*1000</f>
        <v>3.7758525</v>
      </c>
      <c r="Q1141" s="3"/>
      <c r="R1141" s="3" t="n">
        <v>5</v>
      </c>
      <c r="S1141" s="3" t="n">
        <v>20.7</v>
      </c>
      <c r="T1141" s="0" t="n">
        <f aca="false">(S1141/32)*5</f>
        <v>3.234375</v>
      </c>
      <c r="V1141" s="3" t="n">
        <v>25.5</v>
      </c>
      <c r="W1141" s="3" t="n">
        <v>4</v>
      </c>
      <c r="X1141" s="3" t="n">
        <f aca="false">LOOKUP(V1141,$AB$3:$AC$123)</f>
        <v>1.105825</v>
      </c>
      <c r="Y1141" s="2" t="n">
        <f aca="false">(V1141*((W1141+T1141)/1000)*X1141)/((((W1141+T1141)/1000)*X1141)-((W1141/1000)*0.9982))</f>
        <v>50.9086646427467</v>
      </c>
      <c r="Z1141" s="3" t="n">
        <f aca="false">(X1141*(V1141/100)*((W1141+T1141)/1000))*1000</f>
        <v>2.03998794726562</v>
      </c>
    </row>
    <row r="1142" customFormat="false" ht="15" hidden="false" customHeight="false" outlineLevel="0" collapsed="false">
      <c r="A1142" s="0" t="s">
        <v>104</v>
      </c>
      <c r="B1142" s="0" t="s">
        <v>105</v>
      </c>
      <c r="C1142" s="0" t="s">
        <v>106</v>
      </c>
      <c r="D1142" s="0" t="s">
        <v>151</v>
      </c>
      <c r="E1142" s="0" t="n">
        <v>24</v>
      </c>
      <c r="F1142" s="0" t="n">
        <v>1</v>
      </c>
      <c r="G1142" s="1"/>
      <c r="H1142" s="1"/>
      <c r="I1142" s="3" t="n">
        <v>25.7</v>
      </c>
      <c r="J1142" s="0" t="n">
        <f aca="false">(I1142/32)*5</f>
        <v>4.015625</v>
      </c>
      <c r="L1142" s="3" t="n">
        <v>24.5</v>
      </c>
      <c r="M1142" s="3" t="n">
        <v>0</v>
      </c>
      <c r="N1142" s="3" t="n">
        <f aca="false">L1142</f>
        <v>24.5</v>
      </c>
      <c r="O1142" s="3" t="n">
        <f aca="false">LOOKUP(L1142,$AB$3:$AC$123)</f>
        <v>1.101275</v>
      </c>
      <c r="P1142" s="3" t="n">
        <f aca="false">(O1142*(N1142/100)*(J1142/1000))*1000</f>
        <v>1.08346531835937</v>
      </c>
      <c r="Q1142" s="3"/>
      <c r="R1142" s="3" t="n">
        <v>5</v>
      </c>
      <c r="S1142" s="3" t="n">
        <v>24.6</v>
      </c>
      <c r="T1142" s="0" t="n">
        <f aca="false">(S1142/32)*5</f>
        <v>3.84375</v>
      </c>
      <c r="V1142" s="3" t="n">
        <v>20.5</v>
      </c>
      <c r="W1142" s="3" t="n">
        <v>4</v>
      </c>
      <c r="X1142" s="3" t="n">
        <f aca="false">LOOKUP(V1142,$AB$3:$AC$123)</f>
        <v>1.083225</v>
      </c>
      <c r="Y1142" s="2" t="n">
        <f aca="false">(V1142*((W1142+T1142)/1000)*X1142)/((((W1142+T1142)/1000)*X1142)-((W1142/1000)*0.9982))</f>
        <v>38.6742927545559</v>
      </c>
      <c r="Z1142" s="3" t="n">
        <f aca="false">(X1142*(V1142/100)*((W1142+T1142)/1000))*1000</f>
        <v>1.74179194921875</v>
      </c>
    </row>
    <row r="1143" customFormat="false" ht="15" hidden="false" customHeight="false" outlineLevel="0" collapsed="false">
      <c r="A1143" s="0" t="s">
        <v>107</v>
      </c>
      <c r="B1143" s="0" t="s">
        <v>37</v>
      </c>
      <c r="C1143" s="0" t="s">
        <v>106</v>
      </c>
      <c r="D1143" s="0" t="s">
        <v>151</v>
      </c>
      <c r="E1143" s="0" t="n">
        <v>24</v>
      </c>
      <c r="F1143" s="0" t="n">
        <v>0</v>
      </c>
      <c r="G1143" s="1"/>
      <c r="H1143" s="1"/>
      <c r="I1143" s="3" t="n">
        <v>0</v>
      </c>
      <c r="J1143" s="0" t="n">
        <f aca="false">(I1143/32)*5</f>
        <v>0</v>
      </c>
      <c r="L1143" s="3" t="n">
        <v>0</v>
      </c>
      <c r="M1143" s="3" t="n">
        <v>0</v>
      </c>
      <c r="N1143" s="3" t="n">
        <f aca="false">L1143</f>
        <v>0</v>
      </c>
      <c r="O1143" s="3" t="n">
        <v>0</v>
      </c>
      <c r="P1143" s="3" t="n">
        <f aca="false">(O1143*(N1143/100)*(J1143/1000))*1000</f>
        <v>0</v>
      </c>
      <c r="Q1143" s="3"/>
      <c r="R1143" s="3" t="n">
        <v>4</v>
      </c>
      <c r="S1143" s="3" t="n">
        <v>18.2</v>
      </c>
      <c r="T1143" s="0" t="n">
        <f aca="false">(S1143/32)*5</f>
        <v>2.84375</v>
      </c>
      <c r="V1143" s="3" t="n">
        <v>22</v>
      </c>
      <c r="W1143" s="3" t="n">
        <v>4</v>
      </c>
      <c r="X1143" s="3" t="n">
        <f aca="false">LOOKUP(V1143,$AB$3:$AC$123)</f>
        <v>1.0899</v>
      </c>
      <c r="Y1143" s="2" t="n">
        <f aca="false">(V1143*((W1143+T1143)/1000)*X1143)/((((W1143+T1143)/1000)*X1143)-((W1143/1000)*0.9982))</f>
        <v>47.3423116973273</v>
      </c>
      <c r="Z1143" s="3" t="n">
        <f aca="false">(X1143*(V1143/100)*((W1143+T1143)/1000))*1000</f>
        <v>1.6409806875</v>
      </c>
    </row>
    <row r="1144" customFormat="false" ht="15" hidden="false" customHeight="false" outlineLevel="0" collapsed="false">
      <c r="A1144" s="0" t="s">
        <v>108</v>
      </c>
      <c r="B1144" s="0" t="s">
        <v>109</v>
      </c>
      <c r="C1144" s="0" t="s">
        <v>106</v>
      </c>
      <c r="D1144" s="0" t="s">
        <v>151</v>
      </c>
      <c r="E1144" s="0" t="n">
        <v>24</v>
      </c>
      <c r="F1144" s="0" t="n">
        <v>3</v>
      </c>
      <c r="G1144" s="1"/>
      <c r="H1144" s="1"/>
      <c r="I1144" s="3" t="n">
        <f aca="false">32+18.6</f>
        <v>50.6</v>
      </c>
      <c r="J1144" s="0" t="n">
        <f aca="false">(I1144/32)*5</f>
        <v>7.90625</v>
      </c>
      <c r="L1144" s="3" t="n">
        <v>26</v>
      </c>
      <c r="M1144" s="3" t="n">
        <v>0</v>
      </c>
      <c r="N1144" s="3" t="n">
        <f aca="false">L1144</f>
        <v>26</v>
      </c>
      <c r="O1144" s="3" t="n">
        <f aca="false">LOOKUP(L1144,$AB$3:$AC$123)</f>
        <v>1.1081</v>
      </c>
      <c r="P1144" s="3" t="n">
        <f aca="false">(O1144*(N1144/100)*(J1144/1000))*1000</f>
        <v>2.2778380625</v>
      </c>
      <c r="Q1144" s="3"/>
      <c r="R1144" s="3" t="n">
        <v>6</v>
      </c>
      <c r="S1144" s="3" t="n">
        <v>21.7</v>
      </c>
      <c r="T1144" s="0" t="n">
        <f aca="false">(S1144/32)*5</f>
        <v>3.390625</v>
      </c>
      <c r="V1144" s="3" t="n">
        <v>37</v>
      </c>
      <c r="W1144" s="3" t="n">
        <v>4</v>
      </c>
      <c r="X1144" s="3" t="n">
        <f aca="false">LOOKUP(V1144,$AB$3:$AC$123)</f>
        <v>1.16125</v>
      </c>
      <c r="Y1144" s="2" t="n">
        <f aca="false">(V1144*((W1144+T1144)/1000)*X1144)/((((W1144+T1144)/1000)*X1144)-((W1144/1000)*0.9982))</f>
        <v>69.1890321468155</v>
      </c>
      <c r="Z1144" s="3" t="n">
        <f aca="false">(X1144*(V1144/100)*((W1144+T1144)/1000))*1000</f>
        <v>3.1754744140625</v>
      </c>
    </row>
    <row r="1145" customFormat="false" ht="15" hidden="false" customHeight="false" outlineLevel="0" collapsed="false">
      <c r="A1145" s="0" t="s">
        <v>110</v>
      </c>
      <c r="B1145" s="0" t="s">
        <v>111</v>
      </c>
      <c r="C1145" s="0" t="s">
        <v>106</v>
      </c>
      <c r="D1145" s="0" t="s">
        <v>151</v>
      </c>
      <c r="E1145" s="0" t="n">
        <v>24</v>
      </c>
      <c r="F1145" s="0" t="n">
        <v>1</v>
      </c>
      <c r="G1145" s="1"/>
      <c r="H1145" s="1"/>
      <c r="I1145" s="3" t="n">
        <v>29.4</v>
      </c>
      <c r="J1145" s="0" t="n">
        <f aca="false">(I1145/32)*5</f>
        <v>4.59375</v>
      </c>
      <c r="L1145" s="3" t="n">
        <v>21</v>
      </c>
      <c r="M1145" s="3" t="n">
        <v>0</v>
      </c>
      <c r="N1145" s="3" t="n">
        <f aca="false">L1145</f>
        <v>21</v>
      </c>
      <c r="O1145" s="3" t="n">
        <f aca="false">LOOKUP(L1145,$AB$3:$AC$123)</f>
        <v>1.08545</v>
      </c>
      <c r="P1145" s="3" t="n">
        <f aca="false">(O1145*(N1145/100)*(J1145/1000))*1000</f>
        <v>1.047120046875</v>
      </c>
      <c r="Q1145" s="3"/>
      <c r="R1145" s="3" t="n">
        <v>5</v>
      </c>
      <c r="S1145" s="3" t="n">
        <v>16.9</v>
      </c>
      <c r="T1145" s="0" t="n">
        <f aca="false">(S1145/32)*5</f>
        <v>2.640625</v>
      </c>
      <c r="V1145" s="3" t="n">
        <v>34</v>
      </c>
      <c r="W1145" s="3" t="n">
        <v>4</v>
      </c>
      <c r="X1145" s="3" t="n">
        <f aca="false">LOOKUP(V1145,$AB$3:$AC$123)</f>
        <v>1.1464</v>
      </c>
      <c r="Y1145" s="2" t="n">
        <f aca="false">(V1145*((W1145+T1145)/1000)*X1145)/((((W1145+T1145)/1000)*X1145)-((W1145/1000)*0.9982))</f>
        <v>71.5013069706251</v>
      </c>
      <c r="Z1145" s="3" t="n">
        <f aca="false">(X1145*(V1145/100)*((W1145+T1145)/1000))*1000</f>
        <v>2.58835625</v>
      </c>
    </row>
    <row r="1146" customFormat="false" ht="15" hidden="false" customHeight="false" outlineLevel="0" collapsed="false">
      <c r="A1146" s="0" t="s">
        <v>112</v>
      </c>
      <c r="B1146" s="0" t="s">
        <v>113</v>
      </c>
      <c r="C1146" s="0" t="s">
        <v>106</v>
      </c>
      <c r="D1146" s="0" t="s">
        <v>151</v>
      </c>
      <c r="E1146" s="0" t="n">
        <v>24</v>
      </c>
      <c r="F1146" s="0" t="n">
        <v>0</v>
      </c>
      <c r="G1146" s="1"/>
      <c r="H1146" s="1"/>
      <c r="I1146" s="3" t="n">
        <v>0</v>
      </c>
      <c r="J1146" s="0" t="n">
        <f aca="false">(I1146/32)*5</f>
        <v>0</v>
      </c>
      <c r="L1146" s="3" t="n">
        <v>0</v>
      </c>
      <c r="M1146" s="3" t="n">
        <v>0</v>
      </c>
      <c r="N1146" s="3" t="n">
        <f aca="false">L1146</f>
        <v>0</v>
      </c>
      <c r="O1146" s="3" t="n">
        <v>0</v>
      </c>
      <c r="P1146" s="3" t="n">
        <f aca="false">(O1146*(N1146/100)*(J1146/1000))*1000</f>
        <v>0</v>
      </c>
      <c r="Q1146" s="3"/>
      <c r="R1146" s="3" t="n">
        <v>5</v>
      </c>
      <c r="S1146" s="3" t="n">
        <v>10.8</v>
      </c>
      <c r="T1146" s="0" t="n">
        <f aca="false">(S1146/32)*5</f>
        <v>1.6875</v>
      </c>
      <c r="V1146" s="3" t="n">
        <v>17.5</v>
      </c>
      <c r="W1146" s="3" t="n">
        <v>4</v>
      </c>
      <c r="X1146" s="3" t="n">
        <f aca="false">LOOKUP(V1146,$AB$3:$AC$123)</f>
        <v>1.07</v>
      </c>
      <c r="Y1146" s="2" t="n">
        <f aca="false">(V1146*((W1146+T1146)/1000)*X1146)/((((W1146+T1146)/1000)*X1146)-((W1146/1000)*0.9982))</f>
        <v>50.8874069738273</v>
      </c>
      <c r="Z1146" s="3" t="n">
        <f aca="false">(X1146*(V1146/100)*((W1146+T1146)/1000))*1000</f>
        <v>1.064984375</v>
      </c>
    </row>
    <row r="1147" customFormat="false" ht="15" hidden="false" customHeight="false" outlineLevel="0" collapsed="false">
      <c r="A1147" s="0" t="s">
        <v>114</v>
      </c>
      <c r="B1147" s="0" t="s">
        <v>115</v>
      </c>
      <c r="C1147" s="0" t="s">
        <v>106</v>
      </c>
      <c r="D1147" s="0" t="s">
        <v>151</v>
      </c>
      <c r="E1147" s="0" t="n">
        <v>24</v>
      </c>
      <c r="F1147" s="0" t="n">
        <v>0</v>
      </c>
      <c r="G1147" s="1"/>
      <c r="H1147" s="1"/>
      <c r="I1147" s="3" t="n">
        <v>0</v>
      </c>
      <c r="J1147" s="0" t="n">
        <f aca="false">(I1147/32)*5</f>
        <v>0</v>
      </c>
      <c r="L1147" s="3" t="n">
        <v>0</v>
      </c>
      <c r="M1147" s="3" t="n">
        <v>0</v>
      </c>
      <c r="N1147" s="3" t="n">
        <f aca="false">L1147</f>
        <v>0</v>
      </c>
      <c r="O1147" s="3" t="n">
        <v>0</v>
      </c>
      <c r="P1147" s="3" t="n">
        <f aca="false">(O1147*(N1147/100)*(J1147/1000))*1000</f>
        <v>0</v>
      </c>
      <c r="Q1147" s="3"/>
      <c r="R1147" s="3" t="n">
        <v>4</v>
      </c>
      <c r="S1147" s="3" t="n">
        <v>5.8</v>
      </c>
      <c r="T1147" s="0" t="n">
        <f aca="false">(S1147/32)*5</f>
        <v>0.90625</v>
      </c>
      <c r="V1147" s="3" t="n">
        <v>23.5</v>
      </c>
      <c r="W1147" s="3" t="n">
        <v>4</v>
      </c>
      <c r="X1147" s="3" t="n">
        <f aca="false">LOOKUP(V1147,$AB$3:$AC$123)</f>
        <v>1.096725</v>
      </c>
      <c r="Y1147" s="2" t="n">
        <f aca="false">(V1147*((W1147+T1147)/1000)*X1147)/((((W1147+T1147)/1000)*X1147)-((W1147/1000)*0.9982))</f>
        <v>91.1010984724614</v>
      </c>
      <c r="Z1147" s="3" t="n">
        <f aca="false">(X1147*(V1147/100)*((W1147+T1147)/1000))*1000</f>
        <v>1.26448965234375</v>
      </c>
    </row>
    <row r="1148" customFormat="false" ht="15" hidden="false" customHeight="false" outlineLevel="0" collapsed="false">
      <c r="A1148" s="0" t="s">
        <v>116</v>
      </c>
      <c r="B1148" s="0" t="s">
        <v>117</v>
      </c>
      <c r="C1148" s="0" t="s">
        <v>106</v>
      </c>
      <c r="D1148" s="0" t="s">
        <v>151</v>
      </c>
      <c r="E1148" s="0" t="n">
        <v>24</v>
      </c>
      <c r="F1148" s="0" t="n">
        <v>0</v>
      </c>
      <c r="G1148" s="1"/>
      <c r="H1148" s="1"/>
      <c r="I1148" s="3" t="n">
        <v>0</v>
      </c>
      <c r="J1148" s="0" t="n">
        <f aca="false">(I1148/32)*5</f>
        <v>0</v>
      </c>
      <c r="L1148" s="3" t="n">
        <v>0</v>
      </c>
      <c r="M1148" s="3" t="n">
        <v>0</v>
      </c>
      <c r="N1148" s="3" t="n">
        <f aca="false">L1148</f>
        <v>0</v>
      </c>
      <c r="O1148" s="3" t="n">
        <v>0</v>
      </c>
      <c r="P1148" s="3" t="n">
        <f aca="false">(O1148*(N1148/100)*(J1148/1000))*1000</f>
        <v>0</v>
      </c>
      <c r="Q1148" s="3"/>
      <c r="R1148" s="3" t="n">
        <v>4</v>
      </c>
      <c r="S1148" s="3" t="n">
        <v>5.1</v>
      </c>
      <c r="T1148" s="0" t="n">
        <f aca="false">(S1148/32)*5</f>
        <v>0.796875</v>
      </c>
      <c r="V1148" s="3" t="n">
        <v>7</v>
      </c>
      <c r="W1148" s="3" t="n">
        <v>4</v>
      </c>
      <c r="X1148" s="3" t="n">
        <f aca="false">LOOKUP(V1148,$AB$3:$AC$123)</f>
        <v>1.0259</v>
      </c>
      <c r="Y1148" s="2" t="n">
        <f aca="false">(V1148*((W1148+T1148)/1000)*X1148)/((((W1148+T1148)/1000)*X1148)-((W1148/1000)*0.9982))</f>
        <v>37.1079140444455</v>
      </c>
      <c r="Z1148" s="3" t="n">
        <f aca="false">(X1148*(V1148/100)*((W1148+T1148)/1000))*1000</f>
        <v>0.344477984375</v>
      </c>
    </row>
    <row r="1149" customFormat="false" ht="15" hidden="false" customHeight="false" outlineLevel="0" collapsed="false">
      <c r="A1149" s="0" t="s">
        <v>118</v>
      </c>
      <c r="B1149" s="0" t="s">
        <v>119</v>
      </c>
      <c r="C1149" s="0" t="s">
        <v>106</v>
      </c>
      <c r="D1149" s="0" t="s">
        <v>151</v>
      </c>
      <c r="E1149" s="0" t="n">
        <v>24</v>
      </c>
      <c r="F1149" s="0" t="n">
        <v>2</v>
      </c>
      <c r="G1149" s="1"/>
      <c r="H1149" s="1"/>
      <c r="I1149" s="3" t="n">
        <f aca="false">32+24</f>
        <v>56</v>
      </c>
      <c r="J1149" s="0" t="n">
        <f aca="false">(I1149/32)*5</f>
        <v>8.75</v>
      </c>
      <c r="L1149" s="3" t="n">
        <v>19</v>
      </c>
      <c r="M1149" s="3" t="n">
        <v>0</v>
      </c>
      <c r="N1149" s="3" t="n">
        <f aca="false">L1149</f>
        <v>19</v>
      </c>
      <c r="O1149" s="3" t="n">
        <f aca="false">LOOKUP(L1149,$AB$3:$AC$123)</f>
        <v>1.0765</v>
      </c>
      <c r="P1149" s="3" t="n">
        <f aca="false">(O1149*(N1149/100)*(J1149/1000))*1000</f>
        <v>1.78968125</v>
      </c>
      <c r="Q1149" s="3"/>
      <c r="R1149" s="3" t="n">
        <v>13</v>
      </c>
      <c r="S1149" s="3" t="n">
        <v>14.8</v>
      </c>
      <c r="T1149" s="0" t="n">
        <f aca="false">(S1149/32)*5</f>
        <v>2.3125</v>
      </c>
      <c r="V1149" s="3" t="n">
        <v>14</v>
      </c>
      <c r="W1149" s="3" t="n">
        <v>4</v>
      </c>
      <c r="X1149" s="3" t="n">
        <f aca="false">LOOKUP(V1149,$AB$3:$AC$123)</f>
        <v>1.0549</v>
      </c>
      <c r="Y1149" s="2" t="n">
        <f aca="false">(V1149*((W1149+T1149)/1000)*X1149)/((((W1149+T1149)/1000)*X1149)-((W1149/1000)*0.9982))</f>
        <v>34.9654267102046</v>
      </c>
      <c r="Z1149" s="3" t="n">
        <f aca="false">(X1149*(V1149/100)*((W1149+T1149)/1000))*1000</f>
        <v>0.932267875</v>
      </c>
    </row>
    <row r="1150" customFormat="false" ht="15" hidden="false" customHeight="false" outlineLevel="0" collapsed="false">
      <c r="A1150" s="0" t="s">
        <v>120</v>
      </c>
      <c r="B1150" s="0" t="s">
        <v>121</v>
      </c>
      <c r="C1150" s="0" t="s">
        <v>106</v>
      </c>
      <c r="D1150" s="0" t="s">
        <v>151</v>
      </c>
      <c r="E1150" s="0" t="n">
        <v>24</v>
      </c>
      <c r="F1150" s="0" t="n">
        <v>2</v>
      </c>
      <c r="G1150" s="1"/>
      <c r="H1150" s="1"/>
      <c r="I1150" s="3" t="n">
        <f aca="false">32*3</f>
        <v>96</v>
      </c>
      <c r="J1150" s="0" t="n">
        <f aca="false">(I1150/32)*5</f>
        <v>15</v>
      </c>
      <c r="L1150" s="3" t="n">
        <v>30</v>
      </c>
      <c r="M1150" s="3" t="n">
        <v>0</v>
      </c>
      <c r="N1150" s="3" t="n">
        <f aca="false">L1150</f>
        <v>30</v>
      </c>
      <c r="O1150" s="3" t="n">
        <f aca="false">LOOKUP(L1150,$AB$3:$AC$123)</f>
        <v>1.127</v>
      </c>
      <c r="P1150" s="3" t="n">
        <f aca="false">(O1150*(N1150/100)*(J1150/1000))*1000</f>
        <v>5.0715</v>
      </c>
      <c r="Q1150" s="3"/>
      <c r="R1150" s="3" t="n">
        <v>8</v>
      </c>
      <c r="S1150" s="3" t="n">
        <v>35.8</v>
      </c>
      <c r="T1150" s="0" t="n">
        <f aca="false">(S1150/32)*5</f>
        <v>5.59375</v>
      </c>
      <c r="V1150" s="3" t="n">
        <v>43</v>
      </c>
      <c r="W1150" s="3" t="n">
        <v>4</v>
      </c>
      <c r="X1150" s="3" t="n">
        <f aca="false">LOOKUP(V1150,$AB$3:$AC$123)</f>
        <v>1.192</v>
      </c>
      <c r="Y1150" s="2" t="n">
        <f aca="false">(V1150*((W1150+T1150)/1000)*X1150)/((((W1150+T1150)/1000)*X1150)-((W1150/1000)*0.9982))</f>
        <v>66.0675202708604</v>
      </c>
      <c r="Z1150" s="3" t="n">
        <f aca="false">(X1150*(V1150/100)*((W1150+T1150)/1000))*1000</f>
        <v>4.9173725</v>
      </c>
    </row>
    <row r="1151" customFormat="false" ht="15" hidden="false" customHeight="false" outlineLevel="0" collapsed="false">
      <c r="A1151" s="0" t="s">
        <v>122</v>
      </c>
      <c r="B1151" s="0" t="s">
        <v>123</v>
      </c>
      <c r="C1151" s="0" t="s">
        <v>106</v>
      </c>
      <c r="D1151" s="0" t="s">
        <v>151</v>
      </c>
      <c r="E1151" s="0" t="n">
        <v>24</v>
      </c>
      <c r="F1151" s="0" t="n">
        <v>1</v>
      </c>
      <c r="G1151" s="1"/>
      <c r="H1151" s="1"/>
      <c r="I1151" s="3" t="n">
        <f aca="false">32*2</f>
        <v>64</v>
      </c>
      <c r="J1151" s="0" t="n">
        <f aca="false">(I1151/32)*5</f>
        <v>10</v>
      </c>
      <c r="L1151" s="3" t="n">
        <v>37</v>
      </c>
      <c r="M1151" s="3" t="n">
        <v>0</v>
      </c>
      <c r="N1151" s="3" t="n">
        <f aca="false">L1151</f>
        <v>37</v>
      </c>
      <c r="O1151" s="3" t="n">
        <f aca="false">LOOKUP(L1151,$AB$3:$AC$123)</f>
        <v>1.16125</v>
      </c>
      <c r="P1151" s="3" t="n">
        <f aca="false">(O1151*(N1151/100)*(J1151/1000))*1000</f>
        <v>4.296625</v>
      </c>
      <c r="Q1151" s="3"/>
      <c r="R1151" s="3" t="n">
        <v>6</v>
      </c>
      <c r="S1151" s="3" t="n">
        <v>10.6</v>
      </c>
      <c r="T1151" s="0" t="n">
        <f aca="false">(S1151/32)*5</f>
        <v>1.65625</v>
      </c>
      <c r="V1151" s="3" t="n">
        <v>20</v>
      </c>
      <c r="W1151" s="3" t="n">
        <v>4</v>
      </c>
      <c r="X1151" s="3" t="n">
        <f aca="false">LOOKUP(V1151,$AB$3:$AC$123)</f>
        <v>1.081</v>
      </c>
      <c r="Y1151" s="2" t="n">
        <f aca="false">(V1151*((W1151+T1151)/1000)*X1151)/((((W1151+T1151)/1000)*X1151)-((W1151/1000)*0.9982))</f>
        <v>57.6394064638526</v>
      </c>
      <c r="Z1151" s="3" t="n">
        <f aca="false">(X1151*(V1151/100)*((W1151+T1151)/1000))*1000</f>
        <v>1.22288125</v>
      </c>
    </row>
    <row r="1152" customFormat="false" ht="15" hidden="false" customHeight="false" outlineLevel="0" collapsed="false">
      <c r="A1152" s="0" t="s">
        <v>124</v>
      </c>
      <c r="B1152" s="0" t="s">
        <v>125</v>
      </c>
      <c r="C1152" s="0" t="s">
        <v>106</v>
      </c>
      <c r="D1152" s="0" t="s">
        <v>151</v>
      </c>
      <c r="E1152" s="0" t="n">
        <v>24</v>
      </c>
      <c r="F1152" s="0" t="n">
        <v>0</v>
      </c>
      <c r="G1152" s="1"/>
      <c r="H1152" s="1"/>
      <c r="I1152" s="3" t="n">
        <v>0</v>
      </c>
      <c r="J1152" s="0" t="n">
        <f aca="false">(I1152/32)*5</f>
        <v>0</v>
      </c>
      <c r="L1152" s="3" t="n">
        <v>0</v>
      </c>
      <c r="M1152" s="3" t="n">
        <v>0</v>
      </c>
      <c r="N1152" s="3" t="n">
        <f aca="false">L1152</f>
        <v>0</v>
      </c>
      <c r="O1152" s="3" t="n">
        <v>0</v>
      </c>
      <c r="P1152" s="3" t="n">
        <f aca="false">(O1152*(N1152/100)*(J1152/1000))*1000</f>
        <v>0</v>
      </c>
      <c r="Q1152" s="3"/>
      <c r="R1152" s="3" t="n">
        <v>10</v>
      </c>
      <c r="S1152" s="3" t="n">
        <f aca="false">32+18.5</f>
        <v>50.5</v>
      </c>
      <c r="T1152" s="0" t="n">
        <f aca="false">(S1152/32)*5</f>
        <v>7.890625</v>
      </c>
      <c r="V1152" s="3" t="n">
        <v>37</v>
      </c>
      <c r="W1152" s="3" t="n">
        <v>8</v>
      </c>
      <c r="X1152" s="3" t="n">
        <f aca="false">LOOKUP(V1152,$AB$3:$AC$123)</f>
        <v>1.16125</v>
      </c>
      <c r="Y1152" s="2" t="n">
        <f aca="false">(V1152*((W1152+T1152)/1000)*X1152)/((((W1152+T1152)/1000)*X1152)-((W1152/1000)*0.9982))</f>
        <v>65.227404206383</v>
      </c>
      <c r="Z1152" s="3" t="n">
        <f aca="false">(X1152*(V1152/100)*((W1152+T1152)/1000))*1000</f>
        <v>6.8276056640625</v>
      </c>
    </row>
    <row r="1153" customFormat="false" ht="15" hidden="false" customHeight="false" outlineLevel="0" collapsed="false">
      <c r="A1153" s="0" t="s">
        <v>126</v>
      </c>
      <c r="B1153" s="0" t="s">
        <v>127</v>
      </c>
      <c r="C1153" s="0" t="s">
        <v>106</v>
      </c>
      <c r="D1153" s="0" t="s">
        <v>151</v>
      </c>
      <c r="E1153" s="0" t="n">
        <v>24</v>
      </c>
      <c r="F1153" s="0" t="n">
        <v>0</v>
      </c>
      <c r="G1153" s="1"/>
      <c r="H1153" s="1"/>
      <c r="I1153" s="3" t="n">
        <v>0</v>
      </c>
      <c r="J1153" s="0" t="n">
        <f aca="false">(I1153/32)*5</f>
        <v>0</v>
      </c>
      <c r="L1153" s="3" t="n">
        <v>0</v>
      </c>
      <c r="M1153" s="3" t="n">
        <v>0</v>
      </c>
      <c r="N1153" s="3" t="n">
        <f aca="false">L1153</f>
        <v>0</v>
      </c>
      <c r="O1153" s="3" t="n">
        <v>0</v>
      </c>
      <c r="P1153" s="3" t="n">
        <f aca="false">(O1153*(N1153/100)*(J1153/1000))*1000</f>
        <v>0</v>
      </c>
      <c r="Q1153" s="3"/>
      <c r="R1153" s="3" t="n">
        <v>11</v>
      </c>
      <c r="S1153" s="3" t="n">
        <v>64</v>
      </c>
      <c r="T1153" s="0" t="n">
        <f aca="false">(S1153/32)*5</f>
        <v>10</v>
      </c>
      <c r="V1153" s="3" t="n">
        <v>39</v>
      </c>
      <c r="W1153" s="3" t="n">
        <v>8</v>
      </c>
      <c r="X1153" s="3" t="n">
        <f aca="false">LOOKUP(V1153,$AB$3:$AC$123)</f>
        <v>1.1714</v>
      </c>
      <c r="Y1153" s="2" t="n">
        <f aca="false">(V1153*((W1153+T1153)/1000)*X1153)/((((W1153+T1153)/1000)*X1153)-((W1153/1000)*0.9982))</f>
        <v>62.7746496076216</v>
      </c>
      <c r="Z1153" s="3" t="n">
        <f aca="false">(X1153*(V1153/100)*((W1153+T1153)/1000))*1000</f>
        <v>8.223228</v>
      </c>
    </row>
    <row r="1154" customFormat="false" ht="15" hidden="false" customHeight="false" outlineLevel="0" collapsed="false">
      <c r="A1154" s="0" t="s">
        <v>26</v>
      </c>
      <c r="B1154" s="0" t="s">
        <v>27</v>
      </c>
      <c r="C1154" s="0" t="s">
        <v>28</v>
      </c>
      <c r="D1154" s="0" t="s">
        <v>152</v>
      </c>
      <c r="E1154" s="0" t="n">
        <v>25</v>
      </c>
      <c r="F1154" s="0" t="n">
        <v>0</v>
      </c>
      <c r="G1154" s="1"/>
      <c r="H1154" s="1"/>
      <c r="I1154" s="0" t="n">
        <v>0</v>
      </c>
      <c r="J1154" s="0" t="n">
        <f aca="false">(I1154/32)*5</f>
        <v>0</v>
      </c>
      <c r="L1154" s="3" t="n">
        <v>0</v>
      </c>
      <c r="M1154" s="3" t="n">
        <v>0</v>
      </c>
      <c r="N1154" s="3" t="n">
        <f aca="false">L1154</f>
        <v>0</v>
      </c>
      <c r="O1154" s="3" t="n">
        <v>0</v>
      </c>
      <c r="P1154" s="3" t="n">
        <f aca="false">(O1154*(N1154/100)*(J1154/1000))*1000</f>
        <v>0</v>
      </c>
      <c r="Q1154" s="3"/>
      <c r="R1154" s="3" t="n">
        <v>3</v>
      </c>
      <c r="S1154" s="3" t="n">
        <v>13.8</v>
      </c>
      <c r="T1154" s="0" t="n">
        <f aca="false">(S1154/32)*5</f>
        <v>2.15625</v>
      </c>
      <c r="V1154" s="3" t="n">
        <v>17</v>
      </c>
      <c r="W1154" s="3" t="n">
        <v>4</v>
      </c>
      <c r="X1154" s="3" t="n">
        <f aca="false">LOOKUP(V1154,$AB$3:$AC$123)</f>
        <v>1.0678</v>
      </c>
      <c r="Y1154" s="2" t="n">
        <f aca="false">(V1154*((W1154+T1154)/1000)*X1154)/((((W1154+T1154)/1000)*X1154)-((W1154/1000)*0.9982))</f>
        <v>43.3005460907891</v>
      </c>
      <c r="Z1154" s="3" t="n">
        <f aca="false">(X1154*(V1154/100)*((W1154+T1154)/1000))*1000</f>
        <v>1.1175194375</v>
      </c>
    </row>
    <row r="1155" customFormat="false" ht="15" hidden="false" customHeight="false" outlineLevel="0" collapsed="false">
      <c r="A1155" s="0" t="s">
        <v>32</v>
      </c>
      <c r="B1155" s="0" t="s">
        <v>33</v>
      </c>
      <c r="C1155" s="0" t="s">
        <v>28</v>
      </c>
      <c r="D1155" s="0" t="s">
        <v>152</v>
      </c>
      <c r="E1155" s="0" t="n">
        <v>25</v>
      </c>
      <c r="F1155" s="0" t="n">
        <v>4</v>
      </c>
      <c r="G1155" s="1"/>
      <c r="H1155" s="1"/>
      <c r="I1155" s="0" t="n">
        <f aca="false">32.4+15.2</f>
        <v>47.6</v>
      </c>
      <c r="J1155" s="0" t="n">
        <f aca="false">(I1155/32)*5</f>
        <v>7.4375</v>
      </c>
      <c r="L1155" s="3" t="n">
        <v>20.5</v>
      </c>
      <c r="M1155" s="3" t="n">
        <v>0</v>
      </c>
      <c r="N1155" s="3" t="n">
        <f aca="false">L1155</f>
        <v>20.5</v>
      </c>
      <c r="O1155" s="3" t="n">
        <f aca="false">LOOKUP(L1155,$AB$3:$AC$123)</f>
        <v>1.083225</v>
      </c>
      <c r="P1155" s="3" t="n">
        <f aca="false">(O1155*(N1155/100)*(J1155/1000))*1000</f>
        <v>1.6515796171875</v>
      </c>
      <c r="Q1155" s="3"/>
      <c r="R1155" s="3" t="n">
        <v>9</v>
      </c>
      <c r="S1155" s="3" t="n">
        <v>30.2</v>
      </c>
      <c r="T1155" s="0" t="n">
        <f aca="false">(S1155/32)*5</f>
        <v>4.71875</v>
      </c>
      <c r="V1155" s="3" t="n">
        <v>40</v>
      </c>
      <c r="W1155" s="3" t="n">
        <v>4</v>
      </c>
      <c r="X1155" s="3" t="n">
        <f aca="false">LOOKUP(V1155,$AB$3:$AC$123)</f>
        <v>1.1765</v>
      </c>
      <c r="Y1155" s="2" t="n">
        <f aca="false">(V1155*((W1155+T1155)/1000)*X1155)/((((W1155+T1155)/1000)*X1155)-((W1155/1000)*0.9982))</f>
        <v>65.4935131206606</v>
      </c>
      <c r="Z1155" s="3" t="n">
        <f aca="false">(X1155*(V1155/100)*((W1155+T1155)/1000))*1000</f>
        <v>4.10304375</v>
      </c>
    </row>
    <row r="1156" customFormat="false" ht="15" hidden="false" customHeight="false" outlineLevel="0" collapsed="false">
      <c r="A1156" s="0" t="s">
        <v>34</v>
      </c>
      <c r="B1156" s="0" t="s">
        <v>35</v>
      </c>
      <c r="C1156" s="0" t="s">
        <v>28</v>
      </c>
      <c r="D1156" s="0" t="s">
        <v>152</v>
      </c>
      <c r="E1156" s="0" t="n">
        <v>25</v>
      </c>
      <c r="F1156" s="0" t="n">
        <v>0</v>
      </c>
      <c r="G1156" s="1"/>
      <c r="H1156" s="1"/>
      <c r="I1156" s="0" t="n">
        <v>0</v>
      </c>
      <c r="J1156" s="0" t="n">
        <f aca="false">(I1156/32)*5</f>
        <v>0</v>
      </c>
      <c r="L1156" s="3" t="n">
        <v>0</v>
      </c>
      <c r="M1156" s="3" t="n">
        <v>0</v>
      </c>
      <c r="N1156" s="3" t="n">
        <f aca="false">L1156</f>
        <v>0</v>
      </c>
      <c r="O1156" s="3" t="n">
        <v>0</v>
      </c>
      <c r="P1156" s="3" t="n">
        <f aca="false">(O1156*(N1156/100)*(J1156/1000))*1000</f>
        <v>0</v>
      </c>
      <c r="Q1156" s="3"/>
      <c r="R1156" s="3" t="n">
        <v>3</v>
      </c>
      <c r="S1156" s="3" t="n">
        <v>11.7</v>
      </c>
      <c r="T1156" s="0" t="n">
        <f aca="false">(S1156/32)*5</f>
        <v>1.828125</v>
      </c>
      <c r="V1156" s="3" t="n">
        <v>15</v>
      </c>
      <c r="W1156" s="3" t="n">
        <v>4</v>
      </c>
      <c r="X1156" s="3" t="n">
        <f aca="false">LOOKUP(V1156,$AB$3:$AC$123)</f>
        <v>1.0592</v>
      </c>
      <c r="Y1156" s="2" t="n">
        <f aca="false">(V1156*((W1156+T1156)/1000)*X1156)/((((W1156+T1156)/1000)*X1156)-((W1156/1000)*0.9982))</f>
        <v>42.468984337377</v>
      </c>
      <c r="Z1156" s="3" t="n">
        <f aca="false">(X1156*(V1156/100)*((W1156+T1156)/1000))*1000</f>
        <v>0.9259725</v>
      </c>
    </row>
    <row r="1157" customFormat="false" ht="15" hidden="false" customHeight="false" outlineLevel="0" collapsed="false">
      <c r="A1157" s="0" t="s">
        <v>36</v>
      </c>
      <c r="B1157" s="0" t="s">
        <v>37</v>
      </c>
      <c r="C1157" s="0" t="s">
        <v>28</v>
      </c>
      <c r="D1157" s="0" t="s">
        <v>152</v>
      </c>
      <c r="E1157" s="0" t="n">
        <v>25</v>
      </c>
      <c r="F1157" s="0" t="n">
        <v>1</v>
      </c>
      <c r="G1157" s="1"/>
      <c r="H1157" s="1"/>
      <c r="I1157" s="0" t="n">
        <f aca="false">32+20.5</f>
        <v>52.5</v>
      </c>
      <c r="J1157" s="0" t="n">
        <f aca="false">(I1157/32)*5</f>
        <v>8.203125</v>
      </c>
      <c r="L1157" s="3" t="n">
        <v>19</v>
      </c>
      <c r="M1157" s="3" t="n">
        <v>0</v>
      </c>
      <c r="N1157" s="3" t="n">
        <f aca="false">L1157</f>
        <v>19</v>
      </c>
      <c r="O1157" s="3" t="n">
        <f aca="false">LOOKUP(L1157,$AB$3:$AC$123)</f>
        <v>1.0765</v>
      </c>
      <c r="P1157" s="3" t="n">
        <f aca="false">(O1157*(N1157/100)*(J1157/1000))*1000</f>
        <v>1.677826171875</v>
      </c>
      <c r="Q1157" s="3"/>
      <c r="R1157" s="3" t="n">
        <v>6</v>
      </c>
      <c r="S1157" s="3" t="n">
        <v>10</v>
      </c>
      <c r="T1157" s="0" t="n">
        <f aca="false">(S1157/32)*5</f>
        <v>1.5625</v>
      </c>
      <c r="V1157" s="3" t="n">
        <v>20</v>
      </c>
      <c r="W1157" s="3" t="n">
        <v>4</v>
      </c>
      <c r="X1157" s="3" t="n">
        <f aca="false">LOOKUP(V1157,$AB$3:$AC$123)</f>
        <v>1.081</v>
      </c>
      <c r="Y1157" s="2" t="n">
        <f aca="false">(V1157*((W1157+T1157)/1000)*X1157)/((((W1157+T1157)/1000)*X1157)-((W1157/1000)*0.9982))</f>
        <v>59.5275366443717</v>
      </c>
      <c r="Z1157" s="3" t="n">
        <f aca="false">(X1157*(V1157/100)*((W1157+T1157)/1000))*1000</f>
        <v>1.2026125</v>
      </c>
    </row>
    <row r="1158" customFormat="false" ht="15" hidden="false" customHeight="false" outlineLevel="0" collapsed="false">
      <c r="A1158" s="0" t="s">
        <v>38</v>
      </c>
      <c r="B1158" s="0" t="s">
        <v>39</v>
      </c>
      <c r="C1158" s="0" t="s">
        <v>28</v>
      </c>
      <c r="D1158" s="0" t="s">
        <v>152</v>
      </c>
      <c r="E1158" s="0" t="n">
        <v>25</v>
      </c>
      <c r="F1158" s="0" t="n">
        <v>0</v>
      </c>
      <c r="G1158" s="1"/>
      <c r="H1158" s="1"/>
      <c r="I1158" s="0" t="n">
        <v>0</v>
      </c>
      <c r="J1158" s="0" t="n">
        <f aca="false">(I1158/32)*5</f>
        <v>0</v>
      </c>
      <c r="L1158" s="3" t="n">
        <v>0</v>
      </c>
      <c r="M1158" s="3" t="n">
        <v>0</v>
      </c>
      <c r="N1158" s="3" t="n">
        <f aca="false">L1158</f>
        <v>0</v>
      </c>
      <c r="O1158" s="3" t="n">
        <v>0</v>
      </c>
      <c r="P1158" s="3" t="n">
        <f aca="false">(O1158*(N1158/100)*(J1158/1000))*1000</f>
        <v>0</v>
      </c>
      <c r="Q1158" s="3"/>
      <c r="R1158" s="3" t="n">
        <v>3</v>
      </c>
      <c r="S1158" s="3" t="n">
        <v>7.5</v>
      </c>
      <c r="T1158" s="0" t="n">
        <f aca="false">(S1158/32)*5</f>
        <v>1.171875</v>
      </c>
      <c r="V1158" s="3" t="n">
        <v>20.5</v>
      </c>
      <c r="W1158" s="3" t="n">
        <v>4</v>
      </c>
      <c r="X1158" s="3" t="n">
        <f aca="false">LOOKUP(V1158,$AB$3:$AC$123)</f>
        <v>1.083225</v>
      </c>
      <c r="Y1158" s="2" t="n">
        <f aca="false">(V1158*((W1158+T1158)/1000)*X1158)/((((W1158+T1158)/1000)*X1158)-((W1158/1000)*0.9982))</f>
        <v>71.3556579556351</v>
      </c>
      <c r="Z1158" s="3" t="n">
        <f aca="false">(X1158*(V1158/100)*((W1158+T1158)/1000))*1000</f>
        <v>1.14847238085938</v>
      </c>
    </row>
    <row r="1159" customFormat="false" ht="15" hidden="false" customHeight="false" outlineLevel="0" collapsed="false">
      <c r="A1159" s="0" t="s">
        <v>40</v>
      </c>
      <c r="B1159" s="0" t="s">
        <v>41</v>
      </c>
      <c r="C1159" s="0" t="s">
        <v>28</v>
      </c>
      <c r="D1159" s="0" t="s">
        <v>152</v>
      </c>
      <c r="E1159" s="0" t="n">
        <v>25</v>
      </c>
      <c r="F1159" s="0" t="n">
        <v>1</v>
      </c>
      <c r="G1159" s="1"/>
      <c r="H1159" s="1"/>
      <c r="I1159" s="0" t="n">
        <v>35.3</v>
      </c>
      <c r="J1159" s="0" t="n">
        <f aca="false">(I1159/32)*5</f>
        <v>5.515625</v>
      </c>
      <c r="L1159" s="3" t="n">
        <v>24</v>
      </c>
      <c r="M1159" s="3" t="n">
        <v>0</v>
      </c>
      <c r="N1159" s="3" t="n">
        <f aca="false">L1159</f>
        <v>24</v>
      </c>
      <c r="O1159" s="3" t="n">
        <f aca="false">LOOKUP(L1159,$AB$3:$AC$123)</f>
        <v>1.099</v>
      </c>
      <c r="P1159" s="3" t="n">
        <f aca="false">(O1159*(N1159/100)*(J1159/1000))*1000</f>
        <v>1.45480125</v>
      </c>
      <c r="Q1159" s="3"/>
      <c r="R1159" s="3" t="n">
        <v>5</v>
      </c>
      <c r="S1159" s="3" t="n">
        <v>4.9</v>
      </c>
      <c r="T1159" s="0" t="n">
        <f aca="false">(S1159/32)*5</f>
        <v>0.765625</v>
      </c>
      <c r="V1159" s="3" t="n">
        <v>11</v>
      </c>
      <c r="W1159" s="3" t="n">
        <v>4</v>
      </c>
      <c r="X1159" s="3" t="n">
        <f aca="false">LOOKUP(V1159,$AB$3:$AC$123)</f>
        <v>1.0423</v>
      </c>
      <c r="Y1159" s="2" t="n">
        <f aca="false">(V1159*((W1159+T1159)/1000)*X1159)/((((W1159+T1159)/1000)*X1159)-((W1159/1000)*0.9982))</f>
        <v>56.0742066921842</v>
      </c>
      <c r="Z1159" s="3" t="n">
        <f aca="false">(X1159*(V1159/100)*((W1159+T1159)/1000))*1000</f>
        <v>0.546393203125</v>
      </c>
    </row>
    <row r="1160" customFormat="false" ht="15" hidden="false" customHeight="false" outlineLevel="0" collapsed="false">
      <c r="A1160" s="0" t="s">
        <v>42</v>
      </c>
      <c r="B1160" s="0" t="s">
        <v>43</v>
      </c>
      <c r="C1160" s="0" t="s">
        <v>28</v>
      </c>
      <c r="D1160" s="0" t="s">
        <v>152</v>
      </c>
      <c r="E1160" s="0" t="n">
        <v>25</v>
      </c>
      <c r="F1160" s="0" t="n">
        <v>1</v>
      </c>
      <c r="G1160" s="1"/>
      <c r="H1160" s="1"/>
      <c r="I1160" s="0" t="n">
        <v>64</v>
      </c>
      <c r="J1160" s="0" t="n">
        <f aca="false">(I1160/32)*5</f>
        <v>10</v>
      </c>
      <c r="L1160" s="3" t="n">
        <v>25</v>
      </c>
      <c r="M1160" s="3" t="n">
        <v>0</v>
      </c>
      <c r="N1160" s="3" t="n">
        <f aca="false">L1160</f>
        <v>25</v>
      </c>
      <c r="O1160" s="3" t="n">
        <f aca="false">LOOKUP(L1160,$AB$3:$AC$123)</f>
        <v>1.10355</v>
      </c>
      <c r="P1160" s="3" t="n">
        <f aca="false">(O1160*(N1160/100)*(J1160/1000))*1000</f>
        <v>2.758875</v>
      </c>
      <c r="Q1160" s="3"/>
      <c r="R1160" s="3" t="n">
        <v>2</v>
      </c>
      <c r="S1160" s="3" t="n">
        <v>5.8</v>
      </c>
      <c r="T1160" s="0" t="n">
        <f aca="false">(S1160/32)*5</f>
        <v>0.90625</v>
      </c>
      <c r="V1160" s="3" t="n">
        <v>16.5</v>
      </c>
      <c r="W1160" s="3" t="n">
        <v>4</v>
      </c>
      <c r="X1160" s="3" t="n">
        <f aca="false">LOOKUP(V1160,$AB$3:$AC$123)</f>
        <v>1.06565</v>
      </c>
      <c r="Y1160" s="2" t="n">
        <f aca="false">(V1160*((W1160+T1160)/1000)*X1160)/((((W1160+T1160)/1000)*X1160)-((W1160/1000)*0.9982))</f>
        <v>69.8215571565694</v>
      </c>
      <c r="Z1160" s="3" t="n">
        <f aca="false">(X1160*(V1160/100)*((W1160+T1160)/1000))*1000</f>
        <v>0.8626769765625</v>
      </c>
    </row>
    <row r="1161" customFormat="false" ht="15" hidden="false" customHeight="false" outlineLevel="0" collapsed="false">
      <c r="A1161" s="0" t="s">
        <v>44</v>
      </c>
      <c r="B1161" s="0" t="s">
        <v>45</v>
      </c>
      <c r="C1161" s="0" t="s">
        <v>28</v>
      </c>
      <c r="D1161" s="0" t="s">
        <v>152</v>
      </c>
      <c r="E1161" s="0" t="n">
        <v>25</v>
      </c>
      <c r="F1161" s="0" t="n">
        <v>0</v>
      </c>
      <c r="G1161" s="1"/>
      <c r="H1161" s="1"/>
      <c r="I1161" s="0" t="n">
        <v>0</v>
      </c>
      <c r="J1161" s="0" t="n">
        <f aca="false">(I1161/32)*5</f>
        <v>0</v>
      </c>
      <c r="L1161" s="3" t="n">
        <v>0</v>
      </c>
      <c r="M1161" s="3" t="n">
        <v>0</v>
      </c>
      <c r="N1161" s="3" t="n">
        <f aca="false">L1161</f>
        <v>0</v>
      </c>
      <c r="O1161" s="3" t="n">
        <f aca="false">LOOKUP(L1161,$AB$3:$AC$123)</f>
        <v>0.9982</v>
      </c>
      <c r="P1161" s="3" t="n">
        <f aca="false">(O1161*(N1161/100)*(J1161/1000))*1000</f>
        <v>0</v>
      </c>
      <c r="Q1161" s="3"/>
      <c r="R1161" s="3" t="n">
        <v>3</v>
      </c>
      <c r="S1161" s="3" t="n">
        <v>7</v>
      </c>
      <c r="T1161" s="0" t="n">
        <f aca="false">(S1161/32)*5</f>
        <v>1.09375</v>
      </c>
      <c r="V1161" s="3" t="n">
        <v>11</v>
      </c>
      <c r="W1161" s="3" t="n">
        <v>4</v>
      </c>
      <c r="X1161" s="3" t="n">
        <f aca="false">LOOKUP(V1161,$AB$3:$AC$123)</f>
        <v>1.0423</v>
      </c>
      <c r="Y1161" s="2" t="n">
        <f aca="false">(V1161*((W1161+T1161)/1000)*X1161)/((((W1161+T1161)/1000)*X1161)-((W1161/1000)*0.9982))</f>
        <v>44.3639309393642</v>
      </c>
      <c r="Z1161" s="3" t="n">
        <f aca="false">(X1161*(V1161/100)*((W1161+T1161)/1000))*1000</f>
        <v>0.58401371875</v>
      </c>
    </row>
    <row r="1162" customFormat="false" ht="15" hidden="false" customHeight="false" outlineLevel="0" collapsed="false">
      <c r="A1162" s="0" t="s">
        <v>46</v>
      </c>
      <c r="B1162" s="0" t="s">
        <v>47</v>
      </c>
      <c r="C1162" s="0" t="s">
        <v>28</v>
      </c>
      <c r="D1162" s="0" t="s">
        <v>152</v>
      </c>
      <c r="E1162" s="0" t="n">
        <v>25</v>
      </c>
      <c r="F1162" s="0" t="n">
        <v>0</v>
      </c>
      <c r="G1162" s="1"/>
      <c r="H1162" s="1"/>
      <c r="I1162" s="0" t="n">
        <v>0</v>
      </c>
      <c r="J1162" s="0" t="n">
        <f aca="false">(I1162/32)*5</f>
        <v>0</v>
      </c>
      <c r="L1162" s="3" t="n">
        <v>0</v>
      </c>
      <c r="M1162" s="3" t="n">
        <v>0</v>
      </c>
      <c r="N1162" s="3" t="n">
        <f aca="false">L1162</f>
        <v>0</v>
      </c>
      <c r="O1162" s="3" t="n">
        <f aca="false">LOOKUP(L1162,$AB$3:$AC$123)</f>
        <v>0.9982</v>
      </c>
      <c r="P1162" s="3" t="n">
        <f aca="false">(O1162*(N1162/100)*(J1162/1000))*1000</f>
        <v>0</v>
      </c>
      <c r="Q1162" s="3"/>
      <c r="R1162" s="3" t="n">
        <v>5</v>
      </c>
      <c r="S1162" s="3" t="n">
        <v>14.5</v>
      </c>
      <c r="T1162" s="0" t="n">
        <f aca="false">(S1162/32)*5</f>
        <v>2.265625</v>
      </c>
      <c r="V1162" s="3" t="n">
        <v>26</v>
      </c>
      <c r="W1162" s="3" t="n">
        <v>4</v>
      </c>
      <c r="X1162" s="3" t="n">
        <f aca="false">LOOKUP(V1162,$AB$3:$AC$123)</f>
        <v>1.1081</v>
      </c>
      <c r="Y1162" s="2" t="n">
        <f aca="false">(V1162*((W1162+T1162)/1000)*X1162)/((((W1162+T1162)/1000)*X1162)-((W1162/1000)*0.9982))</f>
        <v>61.1891208518243</v>
      </c>
      <c r="Z1162" s="3" t="n">
        <f aca="false">(X1162*(V1162/100)*((W1162+T1162)/1000))*1000</f>
        <v>1.80516415625</v>
      </c>
    </row>
    <row r="1163" customFormat="false" ht="15" hidden="false" customHeight="false" outlineLevel="0" collapsed="false">
      <c r="A1163" s="0" t="s">
        <v>48</v>
      </c>
      <c r="B1163" s="0" t="s">
        <v>49</v>
      </c>
      <c r="C1163" s="0" t="s">
        <v>28</v>
      </c>
      <c r="D1163" s="0" t="s">
        <v>152</v>
      </c>
      <c r="E1163" s="0" t="n">
        <v>25</v>
      </c>
      <c r="F1163" s="0" t="n">
        <v>2</v>
      </c>
      <c r="G1163" s="1"/>
      <c r="H1163" s="1"/>
      <c r="I1163" s="0" t="n">
        <v>74</v>
      </c>
      <c r="J1163" s="0" t="n">
        <f aca="false">(I1163/32)*5</f>
        <v>11.5625</v>
      </c>
      <c r="L1163" s="3" t="n">
        <v>25</v>
      </c>
      <c r="M1163" s="3" t="n">
        <v>0</v>
      </c>
      <c r="N1163" s="3" t="n">
        <f aca="false">L1163</f>
        <v>25</v>
      </c>
      <c r="O1163" s="3" t="n">
        <f aca="false">LOOKUP(L1163,$AB$3:$AC$123)</f>
        <v>1.10355</v>
      </c>
      <c r="P1163" s="3" t="n">
        <f aca="false">(O1163*(N1163/100)*(J1163/1000))*1000</f>
        <v>3.18994921875</v>
      </c>
      <c r="Q1163" s="3"/>
      <c r="R1163" s="3" t="n">
        <v>5</v>
      </c>
      <c r="S1163" s="3" t="n">
        <v>18.4</v>
      </c>
      <c r="T1163" s="0" t="n">
        <f aca="false">(S1163/32)*5</f>
        <v>2.875</v>
      </c>
      <c r="V1163" s="3" t="n">
        <v>27.5</v>
      </c>
      <c r="W1163" s="3" t="n">
        <v>4</v>
      </c>
      <c r="X1163" s="3" t="n">
        <f aca="false">LOOKUP(V1163,$AB$3:$AC$123)</f>
        <v>1.11515</v>
      </c>
      <c r="Y1163" s="2" t="n">
        <f aca="false">(V1163*((W1163+T1163)/1000)*X1163)/((((W1163+T1163)/1000)*X1163)-((W1163/1000)*0.9982))</f>
        <v>57.3873969279555</v>
      </c>
      <c r="Z1163" s="3" t="n">
        <f aca="false">(X1163*(V1163/100)*((W1163+T1163)/1000))*1000</f>
        <v>2.10833046875</v>
      </c>
    </row>
    <row r="1164" customFormat="false" ht="15" hidden="false" customHeight="false" outlineLevel="0" collapsed="false">
      <c r="A1164" s="0" t="s">
        <v>50</v>
      </c>
      <c r="B1164" s="0" t="s">
        <v>51</v>
      </c>
      <c r="C1164" s="0" t="s">
        <v>28</v>
      </c>
      <c r="D1164" s="0" t="s">
        <v>152</v>
      </c>
      <c r="E1164" s="0" t="n">
        <v>25</v>
      </c>
      <c r="F1164" s="0" t="n">
        <v>0</v>
      </c>
      <c r="G1164" s="1"/>
      <c r="H1164" s="1"/>
      <c r="I1164" s="0" t="n">
        <v>0</v>
      </c>
      <c r="J1164" s="0" t="n">
        <f aca="false">(I1164/32)*5</f>
        <v>0</v>
      </c>
      <c r="L1164" s="3" t="n">
        <v>0</v>
      </c>
      <c r="M1164" s="3" t="n">
        <v>0</v>
      </c>
      <c r="N1164" s="3" t="n">
        <f aca="false">L1164</f>
        <v>0</v>
      </c>
      <c r="O1164" s="3" t="n">
        <v>0</v>
      </c>
      <c r="P1164" s="3" t="n">
        <f aca="false">(O1164*(N1164/100)*(J1164/1000))*1000</f>
        <v>0</v>
      </c>
      <c r="Q1164" s="3"/>
      <c r="R1164" s="3" t="n">
        <v>3</v>
      </c>
      <c r="S1164" s="3" t="n">
        <v>6.5</v>
      </c>
      <c r="T1164" s="0" t="n">
        <f aca="false">(S1164/32)*5</f>
        <v>1.015625</v>
      </c>
      <c r="V1164" s="3" t="n">
        <v>10.5</v>
      </c>
      <c r="W1164" s="3" t="n">
        <v>4</v>
      </c>
      <c r="X1164" s="3" t="n">
        <f aca="false">LOOKUP(V1164,$AB$3:$AC$123)</f>
        <v>1.0402</v>
      </c>
      <c r="Y1164" s="2" t="n">
        <f aca="false">(V1164*((W1164+T1164)/1000)*X1164)/((((W1164+T1164)/1000)*X1164)-((W1164/1000)*0.9982))</f>
        <v>44.7392853952657</v>
      </c>
      <c r="Z1164" s="3" t="n">
        <f aca="false">(X1164*(V1164/100)*((W1164+T1164)/1000))*1000</f>
        <v>0.547811578125</v>
      </c>
    </row>
    <row r="1165" customFormat="false" ht="15" hidden="false" customHeight="false" outlineLevel="0" collapsed="false">
      <c r="A1165" s="0" t="s">
        <v>52</v>
      </c>
      <c r="B1165" s="0" t="s">
        <v>53</v>
      </c>
      <c r="C1165" s="0" t="s">
        <v>28</v>
      </c>
      <c r="D1165" s="0" t="s">
        <v>152</v>
      </c>
      <c r="E1165" s="0" t="n">
        <v>25</v>
      </c>
      <c r="F1165" s="0" t="n">
        <v>0</v>
      </c>
      <c r="G1165" s="1"/>
      <c r="H1165" s="1"/>
      <c r="I1165" s="0" t="n">
        <v>0</v>
      </c>
      <c r="J1165" s="0" t="n">
        <f aca="false">(I1165/32)*5</f>
        <v>0</v>
      </c>
      <c r="L1165" s="3" t="n">
        <v>0</v>
      </c>
      <c r="M1165" s="3" t="n">
        <v>0</v>
      </c>
      <c r="N1165" s="3" t="n">
        <f aca="false">L1165</f>
        <v>0</v>
      </c>
      <c r="O1165" s="3" t="n">
        <v>0</v>
      </c>
      <c r="P1165" s="3" t="n">
        <f aca="false">(O1165*(N1165/100)*(J1165/1000))*1000</f>
        <v>0</v>
      </c>
      <c r="Q1165" s="3"/>
      <c r="R1165" s="3" t="n">
        <v>4</v>
      </c>
      <c r="S1165" s="3" t="n">
        <v>8.3</v>
      </c>
      <c r="T1165" s="0" t="n">
        <f aca="false">(S1165/32)*5</f>
        <v>1.296875</v>
      </c>
      <c r="V1165" s="3" t="n">
        <v>16.1</v>
      </c>
      <c r="W1165" s="3" t="n">
        <v>4</v>
      </c>
      <c r="X1165" s="3" t="n">
        <f aca="false">LOOKUP(V1165,$AB$3:$AC$123)</f>
        <v>1.0635</v>
      </c>
      <c r="Y1165" s="2" t="n">
        <f aca="false">(V1165*((W1165+T1165)/1000)*X1165)/((((W1165+T1165)/1000)*X1165)-((W1165/1000)*0.9982))</f>
        <v>55.2874171447404</v>
      </c>
      <c r="Z1165" s="3" t="n">
        <f aca="false">(X1165*(V1165/100)*((W1165+T1165)/1000))*1000</f>
        <v>0.9069494765625</v>
      </c>
    </row>
    <row r="1166" customFormat="false" ht="15" hidden="false" customHeight="false" outlineLevel="0" collapsed="false">
      <c r="A1166" s="0" t="s">
        <v>54</v>
      </c>
      <c r="B1166" s="0" t="s">
        <v>55</v>
      </c>
      <c r="C1166" s="0" t="s">
        <v>56</v>
      </c>
      <c r="D1166" s="0" t="s">
        <v>152</v>
      </c>
      <c r="E1166" s="0" t="n">
        <v>25</v>
      </c>
      <c r="F1166" s="0" t="n">
        <v>0</v>
      </c>
      <c r="G1166" s="1"/>
      <c r="H1166" s="1"/>
      <c r="I1166" s="0" t="n">
        <v>0</v>
      </c>
      <c r="J1166" s="0" t="n">
        <f aca="false">(I1166/32)*5</f>
        <v>0</v>
      </c>
      <c r="L1166" s="3" t="n">
        <v>0</v>
      </c>
      <c r="M1166" s="3" t="n">
        <v>0</v>
      </c>
      <c r="N1166" s="3" t="n">
        <f aca="false">L1166</f>
        <v>0</v>
      </c>
      <c r="O1166" s="3" t="n">
        <v>0</v>
      </c>
      <c r="P1166" s="3" t="n">
        <f aca="false">(O1166*(N1166/100)*(J1166/1000))*1000</f>
        <v>0</v>
      </c>
      <c r="Q1166" s="3"/>
      <c r="R1166" s="3" t="n">
        <v>5</v>
      </c>
      <c r="S1166" s="3" t="n">
        <v>13.5</v>
      </c>
      <c r="T1166" s="0" t="n">
        <f aca="false">(S1166/32)*5</f>
        <v>2.109375</v>
      </c>
      <c r="V1166" s="3" t="n">
        <v>16.5</v>
      </c>
      <c r="W1166" s="3" t="n">
        <v>4</v>
      </c>
      <c r="X1166" s="3" t="n">
        <f aca="false">LOOKUP(V1166,$AB$3:$AC$123)</f>
        <v>1.06565</v>
      </c>
      <c r="Y1166" s="2" t="n">
        <f aca="false">(V1166*((W1166+T1166)/1000)*X1166)/((((W1166+T1166)/1000)*X1166)-((W1166/1000)*0.9982))</f>
        <v>42.6676789448517</v>
      </c>
      <c r="Z1166" s="3" t="n">
        <f aca="false">(X1166*(V1166/100)*((W1166+T1166)/1000))*1000</f>
        <v>1.07422515234375</v>
      </c>
    </row>
    <row r="1167" customFormat="false" ht="15" hidden="false" customHeight="false" outlineLevel="0" collapsed="false">
      <c r="A1167" s="0" t="s">
        <v>57</v>
      </c>
      <c r="B1167" s="0" t="s">
        <v>58</v>
      </c>
      <c r="C1167" s="0" t="s">
        <v>56</v>
      </c>
      <c r="D1167" s="0" t="s">
        <v>152</v>
      </c>
      <c r="E1167" s="0" t="n">
        <v>25</v>
      </c>
      <c r="F1167" s="0" t="n">
        <v>1</v>
      </c>
      <c r="G1167" s="1"/>
      <c r="H1167" s="1"/>
      <c r="I1167" s="0" t="n">
        <f aca="false">32+27</f>
        <v>59</v>
      </c>
      <c r="J1167" s="0" t="n">
        <f aca="false">(I1167/32)*5</f>
        <v>9.21875</v>
      </c>
      <c r="L1167" s="3" t="n">
        <v>21</v>
      </c>
      <c r="M1167" s="3" t="n">
        <v>0</v>
      </c>
      <c r="N1167" s="3" t="n">
        <f aca="false">L1167</f>
        <v>21</v>
      </c>
      <c r="O1167" s="3" t="n">
        <f aca="false">LOOKUP(L1167,$AB$3:$AC$123)</f>
        <v>1.08545</v>
      </c>
      <c r="P1167" s="3" t="n">
        <f aca="false">(O1167*(N1167/100)*(J1167/1000))*1000</f>
        <v>2.101363359375</v>
      </c>
      <c r="Q1167" s="3"/>
      <c r="R1167" s="3" t="n">
        <v>5</v>
      </c>
      <c r="S1167" s="3" t="n">
        <v>13.8</v>
      </c>
      <c r="T1167" s="0" t="n">
        <f aca="false">(S1167/32)*5</f>
        <v>2.15625</v>
      </c>
      <c r="V1167" s="3" t="n">
        <v>21.5</v>
      </c>
      <c r="W1167" s="3" t="n">
        <v>4</v>
      </c>
      <c r="X1167" s="3" t="n">
        <f aca="false">LOOKUP(V1167,$AB$3:$AC$123)</f>
        <v>1.087675</v>
      </c>
      <c r="Y1167" s="2" t="n">
        <f aca="false">(V1167*((W1167+T1167)/1000)*X1167)/((((W1167+T1167)/1000)*X1167)-((W1167/1000)*0.9982))</f>
        <v>53.2568899119822</v>
      </c>
      <c r="Z1167" s="3" t="n">
        <f aca="false">(X1167*(V1167/100)*((W1167+T1167)/1000))*1000</f>
        <v>1.43963983203125</v>
      </c>
    </row>
    <row r="1168" customFormat="false" ht="15" hidden="false" customHeight="false" outlineLevel="0" collapsed="false">
      <c r="A1168" s="0" t="s">
        <v>59</v>
      </c>
      <c r="B1168" s="0" t="s">
        <v>60</v>
      </c>
      <c r="C1168" s="0" t="s">
        <v>56</v>
      </c>
      <c r="D1168" s="0" t="s">
        <v>152</v>
      </c>
      <c r="E1168" s="0" t="n">
        <v>25</v>
      </c>
      <c r="F1168" s="0" t="n">
        <v>1</v>
      </c>
      <c r="G1168" s="1"/>
      <c r="H1168" s="1"/>
      <c r="I1168" s="0" t="n">
        <v>39.3</v>
      </c>
      <c r="J1168" s="0" t="n">
        <f aca="false">(I1168/32)*5</f>
        <v>6.140625</v>
      </c>
      <c r="L1168" s="3" t="n">
        <v>25</v>
      </c>
      <c r="M1168" s="3" t="n">
        <v>0</v>
      </c>
      <c r="N1168" s="3" t="n">
        <f aca="false">L1168</f>
        <v>25</v>
      </c>
      <c r="O1168" s="3" t="n">
        <f aca="false">LOOKUP(L1168,$AB$3:$AC$123)</f>
        <v>1.10355</v>
      </c>
      <c r="P1168" s="3" t="n">
        <f aca="false">(O1168*(N1168/100)*(J1168/1000))*1000</f>
        <v>1.6941216796875</v>
      </c>
      <c r="Q1168" s="3"/>
      <c r="R1168" s="3" t="n">
        <v>4</v>
      </c>
      <c r="S1168" s="3" t="n">
        <v>17.2</v>
      </c>
      <c r="T1168" s="0" t="n">
        <f aca="false">(S1168/32)*5</f>
        <v>2.6875</v>
      </c>
      <c r="V1168" s="3" t="n">
        <v>26</v>
      </c>
      <c r="W1168" s="3" t="n">
        <v>4</v>
      </c>
      <c r="X1168" s="3" t="n">
        <f aca="false">LOOKUP(V1168,$AB$3:$AC$123)</f>
        <v>1.1081</v>
      </c>
      <c r="Y1168" s="2" t="n">
        <f aca="false">(V1168*((W1168+T1168)/1000)*X1168)/((((W1168+T1168)/1000)*X1168)-((W1168/1000)*0.9982))</f>
        <v>56.3757696788151</v>
      </c>
      <c r="Z1168" s="3" t="n">
        <f aca="false">(X1168*(V1168/100)*((W1168+T1168)/1000))*1000</f>
        <v>1.926708875</v>
      </c>
    </row>
    <row r="1169" customFormat="false" ht="15" hidden="false" customHeight="false" outlineLevel="0" collapsed="false">
      <c r="A1169" s="0" t="s">
        <v>61</v>
      </c>
      <c r="B1169" s="0" t="s">
        <v>62</v>
      </c>
      <c r="C1169" s="0" t="s">
        <v>56</v>
      </c>
      <c r="D1169" s="0" t="s">
        <v>152</v>
      </c>
      <c r="E1169" s="0" t="n">
        <v>25</v>
      </c>
      <c r="F1169" s="0" t="n">
        <v>0</v>
      </c>
      <c r="G1169" s="1"/>
      <c r="H1169" s="1"/>
      <c r="I1169" s="0" t="n">
        <v>0</v>
      </c>
      <c r="J1169" s="0" t="n">
        <f aca="false">(I1169/32)*5</f>
        <v>0</v>
      </c>
      <c r="L1169" s="3" t="n">
        <v>0</v>
      </c>
      <c r="M1169" s="3" t="n">
        <v>0</v>
      </c>
      <c r="N1169" s="3" t="n">
        <f aca="false">L1169</f>
        <v>0</v>
      </c>
      <c r="O1169" s="3" t="n">
        <v>0</v>
      </c>
      <c r="P1169" s="3" t="n">
        <f aca="false">(O1169*(N1169/100)*(J1169/1000))*1000</f>
        <v>0</v>
      </c>
      <c r="Q1169" s="3"/>
      <c r="R1169" s="3" t="n">
        <v>10</v>
      </c>
      <c r="S1169" s="3" t="n">
        <v>23.5</v>
      </c>
      <c r="T1169" s="0" t="n">
        <f aca="false">(S1169/32)*5</f>
        <v>3.671875</v>
      </c>
      <c r="V1169" s="3" t="n">
        <v>30</v>
      </c>
      <c r="W1169" s="3" t="n">
        <v>4</v>
      </c>
      <c r="X1169" s="3" t="n">
        <f aca="false">LOOKUP(V1169,$AB$3:$AC$123)</f>
        <v>1.127</v>
      </c>
      <c r="Y1169" s="2" t="n">
        <f aca="false">(V1169*((W1169+T1169)/1000)*X1169)/((((W1169+T1169)/1000)*X1169)-((W1169/1000)*0.9982))</f>
        <v>55.7411612066169</v>
      </c>
      <c r="Z1169" s="3" t="n">
        <f aca="false">(X1169*(V1169/100)*((W1169+T1169)/1000))*1000</f>
        <v>2.5938609375</v>
      </c>
    </row>
    <row r="1170" customFormat="false" ht="15" hidden="false" customHeight="false" outlineLevel="0" collapsed="false">
      <c r="A1170" s="0" t="s">
        <v>63</v>
      </c>
      <c r="B1170" s="0" t="s">
        <v>64</v>
      </c>
      <c r="C1170" s="0" t="s">
        <v>56</v>
      </c>
      <c r="D1170" s="0" t="s">
        <v>152</v>
      </c>
      <c r="E1170" s="0" t="n">
        <v>25</v>
      </c>
      <c r="F1170" s="0" t="n">
        <v>1</v>
      </c>
      <c r="G1170" s="1"/>
      <c r="H1170" s="1"/>
      <c r="I1170" s="0" t="n">
        <f aca="false">32+17.5</f>
        <v>49.5</v>
      </c>
      <c r="J1170" s="0" t="n">
        <f aca="false">(I1170/32)*5</f>
        <v>7.734375</v>
      </c>
      <c r="L1170" s="3" t="n">
        <v>24</v>
      </c>
      <c r="M1170" s="3" t="n">
        <v>0</v>
      </c>
      <c r="N1170" s="3" t="n">
        <f aca="false">L1170</f>
        <v>24</v>
      </c>
      <c r="O1170" s="3" t="n">
        <f aca="false">LOOKUP(L1170,$AB$3:$AC$123)</f>
        <v>1.099</v>
      </c>
      <c r="P1170" s="3" t="n">
        <f aca="false">(O1170*(N1170/100)*(J1170/1000))*1000</f>
        <v>2.04001875</v>
      </c>
      <c r="Q1170" s="3"/>
      <c r="R1170" s="3" t="n">
        <v>1</v>
      </c>
      <c r="S1170" s="3" t="n">
        <v>1.9</v>
      </c>
      <c r="T1170" s="0" t="n">
        <f aca="false">(S1170/32)*5</f>
        <v>0.296875</v>
      </c>
      <c r="V1170" s="3" t="n">
        <v>11.5</v>
      </c>
      <c r="W1170" s="3" t="n">
        <v>4</v>
      </c>
      <c r="X1170" s="3" t="n">
        <f aca="false">LOOKUP(V1170,$AB$3:$AC$123)</f>
        <v>1.0444</v>
      </c>
      <c r="Y1170" s="2" t="n">
        <f aca="false">(V1170*((W1170+T1170)/1000)*X1170)/((((W1170+T1170)/1000)*X1170)-((W1170/1000)*0.9982))</f>
        <v>104.288966492795</v>
      </c>
      <c r="Z1170" s="3" t="n">
        <f aca="false">(X1170*(V1170/100)*((W1170+T1170)/1000))*1000</f>
        <v>0.51608046875</v>
      </c>
    </row>
    <row r="1171" customFormat="false" ht="15" hidden="false" customHeight="false" outlineLevel="0" collapsed="false">
      <c r="A1171" s="0" t="s">
        <v>65</v>
      </c>
      <c r="B1171" s="0" t="s">
        <v>66</v>
      </c>
      <c r="C1171" s="0" t="s">
        <v>56</v>
      </c>
      <c r="D1171" s="0" t="s">
        <v>152</v>
      </c>
      <c r="E1171" s="0" t="n">
        <v>25</v>
      </c>
      <c r="F1171" s="0" t="n">
        <v>6</v>
      </c>
      <c r="G1171" s="1"/>
      <c r="H1171" s="1"/>
      <c r="I1171" s="0" t="n">
        <f aca="false">32*6+14.9</f>
        <v>206.9</v>
      </c>
      <c r="J1171" s="0" t="n">
        <f aca="false">(I1171/32)*5</f>
        <v>32.328125</v>
      </c>
      <c r="L1171" s="3" t="n">
        <v>22</v>
      </c>
      <c r="M1171" s="3" t="n">
        <v>0</v>
      </c>
      <c r="N1171" s="3" t="n">
        <f aca="false">L1171</f>
        <v>22</v>
      </c>
      <c r="O1171" s="3" t="n">
        <f aca="false">LOOKUP(L1171,$AB$3:$AC$123)</f>
        <v>1.0899</v>
      </c>
      <c r="P1171" s="3" t="n">
        <f aca="false">(O1171*(N1171/100)*(J1171/1000))*1000</f>
        <v>7.75157315625</v>
      </c>
      <c r="Q1171" s="3"/>
      <c r="R1171" s="3" t="n">
        <v>9</v>
      </c>
      <c r="S1171" s="3" t="n">
        <v>13.3</v>
      </c>
      <c r="T1171" s="0" t="n">
        <f aca="false">(S1171/32)*5</f>
        <v>2.078125</v>
      </c>
      <c r="V1171" s="3" t="n">
        <v>18.5</v>
      </c>
      <c r="W1171" s="3" t="n">
        <v>4</v>
      </c>
      <c r="X1171" s="3" t="n">
        <f aca="false">LOOKUP(V1171,$AB$3:$AC$123)</f>
        <v>1.07435</v>
      </c>
      <c r="Y1171" s="2" t="n">
        <f aca="false">(V1171*((W1171+T1171)/1000)*X1171)/((((W1171+T1171)/1000)*X1171)-((W1171/1000)*0.9982))</f>
        <v>47.6131254851572</v>
      </c>
      <c r="Z1171" s="3" t="n">
        <f aca="false">(X1171*(V1171/100)*((W1171+T1171)/1000))*1000</f>
        <v>1.20805621484375</v>
      </c>
    </row>
    <row r="1172" customFormat="false" ht="15" hidden="false" customHeight="false" outlineLevel="0" collapsed="false">
      <c r="A1172" s="0" t="s">
        <v>67</v>
      </c>
      <c r="B1172" s="0" t="s">
        <v>68</v>
      </c>
      <c r="C1172" s="0" t="s">
        <v>56</v>
      </c>
      <c r="D1172" s="0" t="s">
        <v>152</v>
      </c>
      <c r="E1172" s="0" t="n">
        <v>25</v>
      </c>
      <c r="F1172" s="0" t="n">
        <v>1</v>
      </c>
      <c r="G1172" s="1"/>
      <c r="H1172" s="1"/>
      <c r="I1172" s="0" t="n">
        <f aca="false">64+22</f>
        <v>86</v>
      </c>
      <c r="J1172" s="0" t="n">
        <f aca="false">(I1172/32)*5</f>
        <v>13.4375</v>
      </c>
      <c r="L1172" s="3" t="n">
        <v>25</v>
      </c>
      <c r="M1172" s="3" t="n">
        <v>0</v>
      </c>
      <c r="N1172" s="3" t="n">
        <f aca="false">L1172</f>
        <v>25</v>
      </c>
      <c r="O1172" s="3" t="n">
        <f aca="false">LOOKUP(L1172,$AB$3:$AC$123)</f>
        <v>1.10355</v>
      </c>
      <c r="P1172" s="3" t="n">
        <f aca="false">(O1172*(N1172/100)*(J1172/1000))*1000</f>
        <v>3.70723828125</v>
      </c>
      <c r="Q1172" s="3"/>
      <c r="R1172" s="3" t="n">
        <v>7</v>
      </c>
      <c r="S1172" s="3" t="n">
        <v>11.1</v>
      </c>
      <c r="T1172" s="0" t="n">
        <f aca="false">(S1172/32)*5</f>
        <v>1.734375</v>
      </c>
      <c r="V1172" s="3" t="n">
        <v>18.5</v>
      </c>
      <c r="W1172" s="3" t="n">
        <v>4</v>
      </c>
      <c r="X1172" s="3" t="n">
        <f aca="false">LOOKUP(V1172,$AB$3:$AC$123)</f>
        <v>1.07435</v>
      </c>
      <c r="Y1172" s="2" t="n">
        <f aca="false">(V1172*((W1172+T1172)/1000)*X1172)/((((W1172+T1172)/1000)*X1172)-((W1172/1000)*0.9982))</f>
        <v>52.5725686455047</v>
      </c>
      <c r="Z1172" s="3" t="n">
        <f aca="false">(X1172*(V1172/100)*((W1172+T1172)/1000))*1000</f>
        <v>1.13973426953125</v>
      </c>
    </row>
    <row r="1173" customFormat="false" ht="15" hidden="false" customHeight="false" outlineLevel="0" collapsed="false">
      <c r="A1173" s="0" t="s">
        <v>69</v>
      </c>
      <c r="B1173" s="0" t="s">
        <v>70</v>
      </c>
      <c r="C1173" s="0" t="s">
        <v>56</v>
      </c>
      <c r="D1173" s="0" t="s">
        <v>152</v>
      </c>
      <c r="E1173" s="0" t="n">
        <v>25</v>
      </c>
      <c r="F1173" s="0" t="n">
        <v>3</v>
      </c>
      <c r="G1173" s="1"/>
      <c r="H1173" s="1"/>
      <c r="I1173" s="0" t="n">
        <f aca="false">20.1+6.4</f>
        <v>26.5</v>
      </c>
      <c r="J1173" s="0" t="n">
        <f aca="false">(I1173/32)*5</f>
        <v>4.140625</v>
      </c>
      <c r="L1173" s="3" t="n">
        <v>24</v>
      </c>
      <c r="M1173" s="3" t="n">
        <v>0</v>
      </c>
      <c r="N1173" s="3" t="n">
        <f aca="false">L1173</f>
        <v>24</v>
      </c>
      <c r="O1173" s="3" t="n">
        <f aca="false">LOOKUP(L1173,$AB$3:$AC$123)</f>
        <v>1.099</v>
      </c>
      <c r="P1173" s="3" t="n">
        <f aca="false">(O1173*(N1173/100)*(J1173/1000))*1000</f>
        <v>1.09213125</v>
      </c>
      <c r="Q1173" s="3"/>
      <c r="R1173" s="3" t="n">
        <v>5</v>
      </c>
      <c r="S1173" s="3" t="n">
        <v>9.7</v>
      </c>
      <c r="T1173" s="0" t="n">
        <f aca="false">(S1173/32)*5</f>
        <v>1.515625</v>
      </c>
      <c r="V1173" s="3" t="n">
        <v>22</v>
      </c>
      <c r="W1173" s="3" t="n">
        <v>4</v>
      </c>
      <c r="X1173" s="3" t="n">
        <f aca="false">LOOKUP(V1173,$AB$3:$AC$123)</f>
        <v>1.0899</v>
      </c>
      <c r="Y1173" s="2" t="n">
        <f aca="false">(V1173*((W1173+T1173)/1000)*X1173)/((((W1173+T1173)/1000)*X1173)-((W1173/1000)*0.9982))</f>
        <v>65.5143824668816</v>
      </c>
      <c r="Z1173" s="3" t="n">
        <f aca="false">(X1173*(V1173/100)*((W1173+T1173)/1000))*1000</f>
        <v>1.32252553125</v>
      </c>
    </row>
    <row r="1174" customFormat="false" ht="15" hidden="false" customHeight="false" outlineLevel="0" collapsed="false">
      <c r="A1174" s="0" t="s">
        <v>71</v>
      </c>
      <c r="B1174" s="0" t="s">
        <v>72</v>
      </c>
      <c r="C1174" s="0" t="s">
        <v>56</v>
      </c>
      <c r="D1174" s="0" t="s">
        <v>152</v>
      </c>
      <c r="E1174" s="0" t="n">
        <v>25</v>
      </c>
      <c r="F1174" s="0" t="n">
        <v>1</v>
      </c>
      <c r="G1174" s="1"/>
      <c r="H1174" s="1"/>
      <c r="I1174" s="0" t="n">
        <f aca="false">32+14.4-5.6</f>
        <v>40.8</v>
      </c>
      <c r="J1174" s="0" t="n">
        <f aca="false">(I1174/32)*5</f>
        <v>6.375</v>
      </c>
      <c r="L1174" s="3" t="n">
        <v>21</v>
      </c>
      <c r="M1174" s="3" t="n">
        <v>0</v>
      </c>
      <c r="N1174" s="3" t="n">
        <f aca="false">L1174</f>
        <v>21</v>
      </c>
      <c r="O1174" s="3" t="n">
        <f aca="false">LOOKUP(L1174,$AB$3:$AC$123)</f>
        <v>1.08545</v>
      </c>
      <c r="P1174" s="3" t="n">
        <f aca="false">(O1174*(N1174/100)*(J1174/1000))*1000</f>
        <v>1.4531461875</v>
      </c>
      <c r="Q1174" s="3"/>
      <c r="R1174" s="3" t="n">
        <v>3</v>
      </c>
      <c r="S1174" s="3" t="n">
        <v>4.1</v>
      </c>
      <c r="T1174" s="0" t="n">
        <f aca="false">(S1174/32)*5</f>
        <v>0.640625</v>
      </c>
      <c r="V1174" s="3" t="n">
        <v>9.5</v>
      </c>
      <c r="W1174" s="3" t="n">
        <v>4</v>
      </c>
      <c r="X1174" s="3" t="n">
        <f aca="false">LOOKUP(V1174,$AB$3:$AC$123)</f>
        <v>1.0361</v>
      </c>
      <c r="Y1174" s="2" t="n">
        <f aca="false">(V1174*((W1174+T1174)/1000)*X1174)/((((W1174+T1174)/1000)*X1174)-((W1174/1000)*0.9982))</f>
        <v>56.0217726249222</v>
      </c>
      <c r="Z1174" s="3" t="n">
        <f aca="false">(X1174*(V1174/100)*((W1174+T1174)/1000))*1000</f>
        <v>0.4567743984375</v>
      </c>
    </row>
    <row r="1175" customFormat="false" ht="15" hidden="false" customHeight="false" outlineLevel="0" collapsed="false">
      <c r="A1175" s="0" t="s">
        <v>73</v>
      </c>
      <c r="B1175" s="0" t="s">
        <v>74</v>
      </c>
      <c r="C1175" s="0" t="s">
        <v>56</v>
      </c>
      <c r="D1175" s="0" t="s">
        <v>152</v>
      </c>
      <c r="E1175" s="0" t="n">
        <v>25</v>
      </c>
      <c r="F1175" s="0" t="n">
        <v>0</v>
      </c>
      <c r="G1175" s="1"/>
      <c r="H1175" s="1"/>
      <c r="I1175" s="0" t="n">
        <v>0</v>
      </c>
      <c r="J1175" s="0" t="n">
        <f aca="false">(I1175/32)*5</f>
        <v>0</v>
      </c>
      <c r="L1175" s="3" t="n">
        <v>0</v>
      </c>
      <c r="M1175" s="3" t="n">
        <v>0</v>
      </c>
      <c r="N1175" s="3" t="n">
        <f aca="false">L1175</f>
        <v>0</v>
      </c>
      <c r="O1175" s="3" t="n">
        <v>0</v>
      </c>
      <c r="P1175" s="3" t="n">
        <f aca="false">(O1175*(N1175/100)*(J1175/1000))*1000</f>
        <v>0</v>
      </c>
      <c r="Q1175" s="3"/>
      <c r="R1175" s="3" t="n">
        <v>6</v>
      </c>
      <c r="S1175" s="3" t="n">
        <v>18.1</v>
      </c>
      <c r="T1175" s="0" t="n">
        <f aca="false">(S1175/32)*5</f>
        <v>2.828125</v>
      </c>
      <c r="V1175" s="3" t="n">
        <v>31</v>
      </c>
      <c r="W1175" s="3" t="n">
        <v>4</v>
      </c>
      <c r="X1175" s="3" t="n">
        <f aca="false">LOOKUP(V1175,$AB$3:$AC$123)</f>
        <v>1.1318</v>
      </c>
      <c r="Y1175" s="2" t="n">
        <f aca="false">(V1175*((W1175+T1175)/1000)*X1175)/((((W1175+T1175)/1000)*X1175)-((W1175/1000)*0.9982))</f>
        <v>64.1372933864419</v>
      </c>
      <c r="Z1175" s="3" t="n">
        <f aca="false">(X1175*(V1175/100)*((W1175+T1175)/1000))*1000</f>
        <v>2.39570228125</v>
      </c>
    </row>
    <row r="1176" customFormat="false" ht="15" hidden="false" customHeight="false" outlineLevel="0" collapsed="false">
      <c r="A1176" s="0" t="s">
        <v>75</v>
      </c>
      <c r="B1176" s="0" t="s">
        <v>76</v>
      </c>
      <c r="C1176" s="0" t="s">
        <v>56</v>
      </c>
      <c r="D1176" s="0" t="s">
        <v>152</v>
      </c>
      <c r="E1176" s="0" t="n">
        <v>25</v>
      </c>
      <c r="F1176" s="0" t="n">
        <v>2</v>
      </c>
      <c r="G1176" s="1"/>
      <c r="H1176" s="1"/>
      <c r="I1176" s="0" t="n">
        <f aca="false">32*3</f>
        <v>96</v>
      </c>
      <c r="J1176" s="0" t="n">
        <f aca="false">(I1176/32)*5</f>
        <v>15</v>
      </c>
      <c r="L1176" s="3" t="n">
        <v>19.5</v>
      </c>
      <c r="M1176" s="3" t="n">
        <v>0</v>
      </c>
      <c r="N1176" s="3" t="n">
        <f aca="false">L1176</f>
        <v>19.5</v>
      </c>
      <c r="O1176" s="3" t="n">
        <f aca="false">LOOKUP(L1176,$AB$3:$AC$123)</f>
        <v>1.07875</v>
      </c>
      <c r="P1176" s="3" t="n">
        <f aca="false">(O1176*(N1176/100)*(J1176/1000))*1000</f>
        <v>3.15534375</v>
      </c>
      <c r="Q1176" s="3"/>
      <c r="R1176" s="3" t="n">
        <v>10</v>
      </c>
      <c r="S1176" s="3" t="n">
        <v>32</v>
      </c>
      <c r="T1176" s="0" t="n">
        <f aca="false">(S1176/32)*5</f>
        <v>5</v>
      </c>
      <c r="V1176" s="3" t="n">
        <v>42</v>
      </c>
      <c r="W1176" s="3" t="n">
        <v>4</v>
      </c>
      <c r="X1176" s="3" t="n">
        <f aca="false">LOOKUP(V1176,$AB$3:$AC$123)</f>
        <v>1.1867</v>
      </c>
      <c r="Y1176" s="2" t="n">
        <f aca="false">(V1176*((W1176+T1176)/1000)*X1176)/((((W1176+T1176)/1000)*X1176)-((W1176/1000)*0.9982))</f>
        <v>67.076276635514</v>
      </c>
      <c r="Z1176" s="3" t="n">
        <f aca="false">(X1176*(V1176/100)*((W1176+T1176)/1000))*1000</f>
        <v>4.485726</v>
      </c>
    </row>
    <row r="1177" customFormat="false" ht="15" hidden="false" customHeight="false" outlineLevel="0" collapsed="false">
      <c r="A1177" s="0" t="s">
        <v>77</v>
      </c>
      <c r="B1177" s="0" t="s">
        <v>78</v>
      </c>
      <c r="C1177" s="0" t="s">
        <v>56</v>
      </c>
      <c r="D1177" s="0" t="s">
        <v>152</v>
      </c>
      <c r="E1177" s="0" t="n">
        <v>25</v>
      </c>
      <c r="F1177" s="0" t="n">
        <v>2</v>
      </c>
      <c r="G1177" s="1"/>
      <c r="H1177" s="1"/>
      <c r="I1177" s="0" t="n">
        <v>64</v>
      </c>
      <c r="J1177" s="0" t="n">
        <f aca="false">(I1177/32)*5</f>
        <v>10</v>
      </c>
      <c r="L1177" s="3" t="n">
        <v>19</v>
      </c>
      <c r="M1177" s="3" t="n">
        <v>0</v>
      </c>
      <c r="N1177" s="3" t="n">
        <f aca="false">L1177</f>
        <v>19</v>
      </c>
      <c r="O1177" s="3" t="n">
        <f aca="false">LOOKUP(L1177,$AB$3:$AC$123)</f>
        <v>1.0765</v>
      </c>
      <c r="P1177" s="3" t="n">
        <f aca="false">(O1177*(N1177/100)*(J1177/1000))*1000</f>
        <v>2.04535</v>
      </c>
      <c r="Q1177" s="3"/>
      <c r="R1177" s="3" t="n">
        <v>6</v>
      </c>
      <c r="S1177" s="3" t="n">
        <v>17.9</v>
      </c>
      <c r="T1177" s="0" t="n">
        <f aca="false">(S1177/32)*5</f>
        <v>2.796875</v>
      </c>
      <c r="V1177" s="3" t="n">
        <v>25.5</v>
      </c>
      <c r="W1177" s="3" t="n">
        <v>4</v>
      </c>
      <c r="X1177" s="3" t="n">
        <f aca="false">LOOKUP(V1177,$AB$3:$AC$123)</f>
        <v>1.105825</v>
      </c>
      <c r="Y1177" s="2" t="n">
        <f aca="false">(V1177*((W1177+T1177)/1000)*X1177)/((((W1177+T1177)/1000)*X1177)-((W1177/1000)*0.9982))</f>
        <v>54.3975764061834</v>
      </c>
      <c r="Z1177" s="3" t="n">
        <f aca="false">(X1177*(V1177/100)*((W1177+T1177)/1000))*1000</f>
        <v>1.91661934570312</v>
      </c>
    </row>
    <row r="1178" customFormat="false" ht="15" hidden="false" customHeight="false" outlineLevel="0" collapsed="false">
      <c r="A1178" s="0" t="s">
        <v>79</v>
      </c>
      <c r="B1178" s="0" t="s">
        <v>80</v>
      </c>
      <c r="C1178" s="0" t="s">
        <v>81</v>
      </c>
      <c r="D1178" s="0" t="s">
        <v>152</v>
      </c>
      <c r="E1178" s="0" t="n">
        <v>25</v>
      </c>
      <c r="F1178" s="0" t="n">
        <v>1</v>
      </c>
      <c r="G1178" s="1"/>
      <c r="H1178" s="1"/>
      <c r="I1178" s="0" t="n">
        <f aca="false">32+22.1</f>
        <v>54.1</v>
      </c>
      <c r="J1178" s="0" t="n">
        <f aca="false">(I1178/32)*5</f>
        <v>8.453125</v>
      </c>
      <c r="L1178" s="3" t="n">
        <v>25</v>
      </c>
      <c r="M1178" s="3" t="n">
        <v>0</v>
      </c>
      <c r="N1178" s="3" t="n">
        <f aca="false">L1178</f>
        <v>25</v>
      </c>
      <c r="O1178" s="3" t="n">
        <f aca="false">LOOKUP(L1178,$AB$3:$AC$123)</f>
        <v>1.10355</v>
      </c>
      <c r="P1178" s="3" t="n">
        <f aca="false">(O1178*(N1178/100)*(J1178/1000))*1000</f>
        <v>2.3321115234375</v>
      </c>
      <c r="Q1178" s="3"/>
      <c r="R1178" s="3" t="n">
        <v>2</v>
      </c>
      <c r="S1178" s="3" t="n">
        <v>7.2</v>
      </c>
      <c r="T1178" s="0" t="n">
        <f aca="false">(S1178/32)*5</f>
        <v>1.125</v>
      </c>
      <c r="V1178" s="3" t="n">
        <v>10</v>
      </c>
      <c r="W1178" s="3" t="n">
        <v>4</v>
      </c>
      <c r="X1178" s="3" t="n">
        <f aca="false">LOOKUP(V1178,$AB$3:$AC$123)</f>
        <v>1.0381</v>
      </c>
      <c r="Y1178" s="2" t="n">
        <f aca="false">(V1178*((W1178+T1178)/1000)*X1178)/((((W1178+T1178)/1000)*X1178)-((W1178/1000)*0.9982))</f>
        <v>40.0784391272824</v>
      </c>
      <c r="Z1178" s="3" t="n">
        <f aca="false">(X1178*(V1178/100)*((W1178+T1178)/1000))*1000</f>
        <v>0.53202625</v>
      </c>
    </row>
    <row r="1179" customFormat="false" ht="15" hidden="false" customHeight="false" outlineLevel="0" collapsed="false">
      <c r="A1179" s="0" t="s">
        <v>82</v>
      </c>
      <c r="B1179" s="0" t="s">
        <v>83</v>
      </c>
      <c r="C1179" s="0" t="s">
        <v>81</v>
      </c>
      <c r="D1179" s="0" t="s">
        <v>152</v>
      </c>
      <c r="E1179" s="0" t="n">
        <v>25</v>
      </c>
      <c r="F1179" s="0" t="n">
        <v>1</v>
      </c>
      <c r="G1179" s="1"/>
      <c r="H1179" s="1"/>
      <c r="I1179" s="0" t="n">
        <v>64</v>
      </c>
      <c r="J1179" s="0" t="n">
        <f aca="false">(I1179/32)*5</f>
        <v>10</v>
      </c>
      <c r="L1179" s="3" t="n">
        <v>24.5</v>
      </c>
      <c r="M1179" s="3" t="n">
        <v>0</v>
      </c>
      <c r="N1179" s="3" t="n">
        <f aca="false">L1179</f>
        <v>24.5</v>
      </c>
      <c r="O1179" s="3" t="n">
        <f aca="false">LOOKUP(L1179,$AB$3:$AC$123)</f>
        <v>1.101275</v>
      </c>
      <c r="P1179" s="3" t="n">
        <f aca="false">(O1179*(N1179/100)*(J1179/1000))*1000</f>
        <v>2.69812375</v>
      </c>
      <c r="Q1179" s="3"/>
      <c r="R1179" s="3" t="n">
        <v>4</v>
      </c>
      <c r="S1179" s="3" t="n">
        <v>17.7</v>
      </c>
      <c r="T1179" s="0" t="n">
        <f aca="false">(S1179/32)*5</f>
        <v>2.765625</v>
      </c>
      <c r="V1179" s="3" t="n">
        <v>25</v>
      </c>
      <c r="W1179" s="3" t="n">
        <v>4</v>
      </c>
      <c r="X1179" s="3" t="n">
        <f aca="false">LOOKUP(V1179,$AB$3:$AC$123)</f>
        <v>1.10355</v>
      </c>
      <c r="Y1179" s="2" t="n">
        <f aca="false">(V1179*((W1179+T1179)/1000)*X1179)/((((W1179+T1179)/1000)*X1179)-((W1179/1000)*0.9982))</f>
        <v>53.7383666830936</v>
      </c>
      <c r="Z1179" s="3" t="n">
        <f aca="false">(X1179*(V1179/100)*((W1179+T1179)/1000))*1000</f>
        <v>1.8665513671875</v>
      </c>
    </row>
    <row r="1180" customFormat="false" ht="15" hidden="false" customHeight="false" outlineLevel="0" collapsed="false">
      <c r="A1180" s="0" t="s">
        <v>84</v>
      </c>
      <c r="B1180" s="0" t="s">
        <v>85</v>
      </c>
      <c r="C1180" s="0" t="s">
        <v>81</v>
      </c>
      <c r="D1180" s="0" t="s">
        <v>152</v>
      </c>
      <c r="E1180" s="0" t="n">
        <v>25</v>
      </c>
      <c r="F1180" s="0" t="n">
        <v>1</v>
      </c>
      <c r="G1180" s="1"/>
      <c r="H1180" s="1"/>
      <c r="I1180" s="0" t="n">
        <f aca="false">32+22.2</f>
        <v>54.2</v>
      </c>
      <c r="J1180" s="0" t="n">
        <f aca="false">(I1180/32)*5</f>
        <v>8.46875</v>
      </c>
      <c r="L1180" s="3" t="n">
        <v>23.5</v>
      </c>
      <c r="M1180" s="3" t="n">
        <v>0</v>
      </c>
      <c r="N1180" s="3" t="n">
        <f aca="false">L1180</f>
        <v>23.5</v>
      </c>
      <c r="O1180" s="3" t="n">
        <f aca="false">LOOKUP(L1180,$AB$3:$AC$123)</f>
        <v>1.096725</v>
      </c>
      <c r="P1180" s="3" t="n">
        <f aca="false">(O1180*(N1180/100)*(J1180/1000))*1000</f>
        <v>2.18265411328125</v>
      </c>
      <c r="Q1180" s="3"/>
      <c r="R1180" s="3" t="n">
        <v>4</v>
      </c>
      <c r="S1180" s="3" t="n">
        <v>7.6</v>
      </c>
      <c r="T1180" s="0" t="n">
        <f aca="false">(S1180/32)*5</f>
        <v>1.1875</v>
      </c>
      <c r="V1180" s="3" t="n">
        <v>17.5</v>
      </c>
      <c r="W1180" s="3" t="n">
        <v>4</v>
      </c>
      <c r="X1180" s="3" t="n">
        <f aca="false">LOOKUP(V1180,$AB$3:$AC$123)</f>
        <v>1.07</v>
      </c>
      <c r="Y1180" s="2" t="n">
        <f aca="false">(V1180*((W1180+T1180)/1000)*X1180)/((((W1180+T1180)/1000)*X1180)-((W1180/1000)*0.9982))</f>
        <v>62.3535618570764</v>
      </c>
      <c r="Z1180" s="3" t="n">
        <f aca="false">(X1180*(V1180/100)*((W1180+T1180)/1000))*1000</f>
        <v>0.971359375</v>
      </c>
    </row>
    <row r="1181" customFormat="false" ht="15" hidden="false" customHeight="false" outlineLevel="0" collapsed="false">
      <c r="A1181" s="0" t="s">
        <v>86</v>
      </c>
      <c r="B1181" s="0" t="s">
        <v>87</v>
      </c>
      <c r="C1181" s="0" t="s">
        <v>81</v>
      </c>
      <c r="D1181" s="0" t="s">
        <v>152</v>
      </c>
      <c r="E1181" s="0" t="n">
        <v>25</v>
      </c>
      <c r="F1181" s="0" t="n">
        <v>2</v>
      </c>
      <c r="G1181" s="1"/>
      <c r="H1181" s="1"/>
      <c r="I1181" s="0" t="n">
        <f aca="false">32*3+9.8</f>
        <v>105.8</v>
      </c>
      <c r="J1181" s="0" t="n">
        <f aca="false">(I1181/32)*5</f>
        <v>16.53125</v>
      </c>
      <c r="L1181" s="3" t="n">
        <v>20.5</v>
      </c>
      <c r="M1181" s="3" t="n">
        <v>0</v>
      </c>
      <c r="N1181" s="3" t="n">
        <f aca="false">L1181</f>
        <v>20.5</v>
      </c>
      <c r="O1181" s="3" t="n">
        <f aca="false">LOOKUP(L1181,$AB$3:$AC$123)</f>
        <v>1.083225</v>
      </c>
      <c r="P1181" s="3" t="n">
        <f aca="false">(O1181*(N1181/100)*(J1181/1000))*1000</f>
        <v>3.67094797265625</v>
      </c>
      <c r="Q1181" s="3"/>
      <c r="R1181" s="3" t="n">
        <v>3</v>
      </c>
      <c r="S1181" s="3" t="n">
        <v>12.1</v>
      </c>
      <c r="T1181" s="0" t="n">
        <f aca="false">(S1181/32)*5</f>
        <v>1.890625</v>
      </c>
      <c r="V1181" s="3" t="n">
        <v>23</v>
      </c>
      <c r="W1181" s="3" t="n">
        <v>4</v>
      </c>
      <c r="X1181" s="3" t="n">
        <f aca="false">LOOKUP(V1181,$AB$3:$AC$123)</f>
        <v>1.09445</v>
      </c>
      <c r="Y1181" s="2" t="n">
        <f aca="false">(V1181*((W1181+T1181)/1000)*X1181)/((((W1181+T1181)/1000)*X1181)-((W1181/1000)*0.9982))</f>
        <v>60.4193646145995</v>
      </c>
      <c r="Z1181" s="3" t="n">
        <f aca="false">(X1181*(V1181/100)*((W1181+T1181)/1000))*1000</f>
        <v>1.4828087421875</v>
      </c>
    </row>
    <row r="1182" customFormat="false" ht="15" hidden="false" customHeight="false" outlineLevel="0" collapsed="false">
      <c r="A1182" s="0" t="s">
        <v>88</v>
      </c>
      <c r="B1182" s="0" t="s">
        <v>89</v>
      </c>
      <c r="C1182" s="0" t="s">
        <v>81</v>
      </c>
      <c r="D1182" s="0" t="s">
        <v>152</v>
      </c>
      <c r="E1182" s="0" t="n">
        <v>25</v>
      </c>
      <c r="F1182" s="0" t="n">
        <v>2</v>
      </c>
      <c r="G1182" s="1"/>
      <c r="H1182" s="1"/>
      <c r="I1182" s="0" t="n">
        <f aca="false">32*4+15</f>
        <v>143</v>
      </c>
      <c r="J1182" s="0" t="n">
        <f aca="false">(I1182/32)*5</f>
        <v>22.34375</v>
      </c>
      <c r="L1182" s="3" t="n">
        <v>24</v>
      </c>
      <c r="M1182" s="3" t="n">
        <v>0</v>
      </c>
      <c r="N1182" s="3" t="n">
        <f aca="false">L1182</f>
        <v>24</v>
      </c>
      <c r="O1182" s="3" t="n">
        <f aca="false">LOOKUP(L1182,$AB$3:$AC$123)</f>
        <v>1.099</v>
      </c>
      <c r="P1182" s="3" t="n">
        <f aca="false">(O1182*(N1182/100)*(J1182/1000))*1000</f>
        <v>5.8933875</v>
      </c>
      <c r="Q1182" s="3"/>
      <c r="R1182" s="3" t="n">
        <v>4</v>
      </c>
      <c r="S1182" s="3" t="n">
        <v>9</v>
      </c>
      <c r="T1182" s="0" t="n">
        <f aca="false">(S1182/32)*5</f>
        <v>1.40625</v>
      </c>
      <c r="V1182" s="3" t="n">
        <v>21.5</v>
      </c>
      <c r="W1182" s="3" t="n">
        <v>4</v>
      </c>
      <c r="X1182" s="3" t="n">
        <f aca="false">LOOKUP(V1182,$AB$3:$AC$123)</f>
        <v>1.087675</v>
      </c>
      <c r="Y1182" s="2" t="n">
        <f aca="false">(V1182*((W1182+T1182)/1000)*X1182)/((((W1182+T1182)/1000)*X1182)-((W1182/1000)*0.9982))</f>
        <v>66.9822749197306</v>
      </c>
      <c r="Z1182" s="3" t="n">
        <f aca="false">(X1182*(V1182/100)*((W1182+T1182)/1000))*1000</f>
        <v>1.26425223828125</v>
      </c>
    </row>
    <row r="1183" customFormat="false" ht="15" hidden="false" customHeight="false" outlineLevel="0" collapsed="false">
      <c r="A1183" s="0" t="s">
        <v>90</v>
      </c>
      <c r="B1183" s="0" t="s">
        <v>91</v>
      </c>
      <c r="C1183" s="0" t="s">
        <v>81</v>
      </c>
      <c r="D1183" s="0" t="s">
        <v>152</v>
      </c>
      <c r="E1183" s="0" t="n">
        <v>25</v>
      </c>
      <c r="F1183" s="0" t="n">
        <v>2</v>
      </c>
      <c r="G1183" s="1"/>
      <c r="H1183" s="1"/>
      <c r="I1183" s="0" t="n">
        <f aca="false">32+29</f>
        <v>61</v>
      </c>
      <c r="J1183" s="0" t="n">
        <f aca="false">(I1183/32)*5</f>
        <v>9.53125</v>
      </c>
      <c r="L1183" s="3" t="n">
        <v>22</v>
      </c>
      <c r="M1183" s="3" t="n">
        <v>0</v>
      </c>
      <c r="N1183" s="3" t="n">
        <f aca="false">L1183</f>
        <v>22</v>
      </c>
      <c r="O1183" s="3" t="n">
        <f aca="false">LOOKUP(L1183,$AB$3:$AC$123)</f>
        <v>1.0899</v>
      </c>
      <c r="P1183" s="3" t="n">
        <f aca="false">(O1183*(N1183/100)*(J1183/1000))*1000</f>
        <v>2.2853840625</v>
      </c>
      <c r="Q1183" s="3"/>
      <c r="R1183" s="3" t="n">
        <v>5</v>
      </c>
      <c r="S1183" s="3" t="n">
        <v>8.9</v>
      </c>
      <c r="T1183" s="0" t="n">
        <f aca="false">(S1183/32)*5</f>
        <v>1.390625</v>
      </c>
      <c r="V1183" s="3" t="n">
        <v>20.5</v>
      </c>
      <c r="W1183" s="3" t="n">
        <v>4</v>
      </c>
      <c r="X1183" s="3" t="n">
        <f aca="false">LOOKUP(V1183,$AB$3:$AC$123)</f>
        <v>1.083225</v>
      </c>
      <c r="Y1183" s="2" t="n">
        <f aca="false">(V1183*((W1183+T1183)/1000)*X1183)/((((W1183+T1183)/1000)*X1183)-((W1183/1000)*0.9982))</f>
        <v>64.8293710070602</v>
      </c>
      <c r="Z1183" s="3" t="n">
        <f aca="false">(X1183*(V1183/100)*((W1183+T1183)/1000))*1000</f>
        <v>1.19704825195313</v>
      </c>
    </row>
    <row r="1184" customFormat="false" ht="15" hidden="false" customHeight="false" outlineLevel="0" collapsed="false">
      <c r="A1184" s="0" t="s">
        <v>92</v>
      </c>
      <c r="B1184" s="0" t="s">
        <v>93</v>
      </c>
      <c r="C1184" s="0" t="s">
        <v>81</v>
      </c>
      <c r="D1184" s="0" t="s">
        <v>152</v>
      </c>
      <c r="E1184" s="0" t="n">
        <v>25</v>
      </c>
      <c r="F1184" s="0" t="n">
        <v>2</v>
      </c>
      <c r="G1184" s="1"/>
      <c r="H1184" s="1"/>
      <c r="I1184" s="0" t="n">
        <f aca="false">32*4+21.8</f>
        <v>149.8</v>
      </c>
      <c r="J1184" s="0" t="n">
        <f aca="false">(I1184/32)*5</f>
        <v>23.40625</v>
      </c>
      <c r="L1184" s="3" t="n">
        <v>21</v>
      </c>
      <c r="M1184" s="3" t="n">
        <v>0</v>
      </c>
      <c r="N1184" s="3" t="n">
        <f aca="false">L1184</f>
        <v>21</v>
      </c>
      <c r="O1184" s="3" t="n">
        <f aca="false">LOOKUP(L1184,$AB$3:$AC$123)</f>
        <v>1.08545</v>
      </c>
      <c r="P1184" s="3" t="n">
        <f aca="false">(O1184*(N1184/100)*(J1184/1000))*1000</f>
        <v>5.335325953125</v>
      </c>
      <c r="Q1184" s="3"/>
      <c r="R1184" s="3" t="n">
        <v>2</v>
      </c>
      <c r="S1184" s="3" t="n">
        <v>2.6</v>
      </c>
      <c r="T1184" s="0" t="n">
        <f aca="false">(S1184/32)*5</f>
        <v>0.40625</v>
      </c>
      <c r="V1184" s="3" t="n">
        <v>5.5</v>
      </c>
      <c r="W1184" s="3" t="n">
        <v>4</v>
      </c>
      <c r="X1184" s="3" t="n">
        <f aca="false">LOOKUP(V1184,$AB$3:$AC$123)</f>
        <v>1.01985</v>
      </c>
      <c r="Y1184" s="2" t="n">
        <f aca="false">(V1184*((W1184+T1184)/1000)*X1184)/((((W1184+T1184)/1000)*X1184)-((W1184/1000)*0.9982))</f>
        <v>49.3406538047633</v>
      </c>
      <c r="Z1184" s="3" t="n">
        <f aca="false">(X1184*(V1184/100)*((W1184+T1184)/1000))*1000</f>
        <v>0.2471542734375</v>
      </c>
    </row>
    <row r="1185" customFormat="false" ht="15" hidden="false" customHeight="false" outlineLevel="0" collapsed="false">
      <c r="A1185" s="0" t="s">
        <v>94</v>
      </c>
      <c r="B1185" s="0" t="s">
        <v>95</v>
      </c>
      <c r="C1185" s="0" t="s">
        <v>81</v>
      </c>
      <c r="D1185" s="0" t="s">
        <v>152</v>
      </c>
      <c r="E1185" s="0" t="n">
        <v>25</v>
      </c>
      <c r="F1185" s="0" t="n">
        <v>2</v>
      </c>
      <c r="G1185" s="1"/>
      <c r="H1185" s="1"/>
      <c r="I1185" s="0" t="n">
        <f aca="false">24+25.1+25</f>
        <v>74.1</v>
      </c>
      <c r="J1185" s="0" t="n">
        <f aca="false">(I1185/32)*5</f>
        <v>11.578125</v>
      </c>
      <c r="L1185" s="3" t="n">
        <v>21.5</v>
      </c>
      <c r="M1185" s="3" t="n">
        <v>0</v>
      </c>
      <c r="N1185" s="3" t="n">
        <f aca="false">L1185</f>
        <v>21.5</v>
      </c>
      <c r="O1185" s="3" t="n">
        <f aca="false">LOOKUP(L1185,$AB$3:$AC$123)</f>
        <v>1.087675</v>
      </c>
      <c r="P1185" s="3" t="n">
        <f aca="false">(O1185*(N1185/100)*(J1185/1000))*1000</f>
        <v>2.70754597851562</v>
      </c>
      <c r="Q1185" s="3"/>
      <c r="R1185" s="3" t="n">
        <v>5</v>
      </c>
      <c r="S1185" s="3" t="n">
        <v>9.2</v>
      </c>
      <c r="T1185" s="0" t="n">
        <f aca="false">(S1185/32)*5</f>
        <v>1.4375</v>
      </c>
      <c r="V1185" s="3" t="n">
        <v>13.5</v>
      </c>
      <c r="W1185" s="3" t="n">
        <v>4</v>
      </c>
      <c r="X1185" s="3" t="n">
        <f aca="false">LOOKUP(V1185,$AB$3:$AC$123)</f>
        <v>1.0528</v>
      </c>
      <c r="Y1185" s="2" t="n">
        <f aca="false">(V1185*((W1185+T1185)/1000)*X1185)/((((W1185+T1185)/1000)*X1185)-((W1185/1000)*0.9982))</f>
        <v>44.625303152789</v>
      </c>
      <c r="Z1185" s="3" t="n">
        <f aca="false">(X1185*(V1185/100)*((W1185+T1185)/1000))*1000</f>
        <v>0.772821</v>
      </c>
    </row>
    <row r="1186" customFormat="false" ht="15" hidden="false" customHeight="false" outlineLevel="0" collapsed="false">
      <c r="A1186" s="0" t="s">
        <v>96</v>
      </c>
      <c r="B1186" s="0" t="s">
        <v>97</v>
      </c>
      <c r="C1186" s="0" t="s">
        <v>81</v>
      </c>
      <c r="D1186" s="0" t="s">
        <v>152</v>
      </c>
      <c r="E1186" s="0" t="n">
        <v>25</v>
      </c>
      <c r="F1186" s="0" t="n">
        <v>1</v>
      </c>
      <c r="G1186" s="1"/>
      <c r="H1186" s="1"/>
      <c r="I1186" s="0" t="n">
        <v>64</v>
      </c>
      <c r="J1186" s="0" t="n">
        <f aca="false">(I1186/32)*5</f>
        <v>10</v>
      </c>
      <c r="L1186" s="3" t="n">
        <v>21.5</v>
      </c>
      <c r="M1186" s="3" t="n">
        <v>0</v>
      </c>
      <c r="N1186" s="3" t="n">
        <f aca="false">L1186</f>
        <v>21.5</v>
      </c>
      <c r="O1186" s="3" t="n">
        <f aca="false">LOOKUP(L1186,$AB$3:$AC$123)</f>
        <v>1.087675</v>
      </c>
      <c r="P1186" s="3" t="n">
        <f aca="false">(O1186*(N1186/100)*(J1186/1000))*1000</f>
        <v>2.33850125</v>
      </c>
      <c r="Q1186" s="3"/>
      <c r="R1186" s="3" t="n">
        <v>2</v>
      </c>
      <c r="S1186" s="3" t="n">
        <v>6.8</v>
      </c>
      <c r="T1186" s="0" t="n">
        <f aca="false">(S1186/32)*5</f>
        <v>1.0625</v>
      </c>
      <c r="V1186" s="3" t="n">
        <v>15</v>
      </c>
      <c r="W1186" s="3" t="n">
        <v>4</v>
      </c>
      <c r="X1186" s="3" t="n">
        <f aca="false">LOOKUP(V1186,$AB$3:$AC$123)</f>
        <v>1.0592</v>
      </c>
      <c r="Y1186" s="2" t="n">
        <f aca="false">(V1186*((W1186+T1186)/1000)*X1186)/((((W1186+T1186)/1000)*X1186)-((W1186/1000)*0.9982))</f>
        <v>58.735942748649</v>
      </c>
      <c r="Z1186" s="3" t="n">
        <f aca="false">(X1186*(V1186/100)*((W1186+T1186)/1000))*1000</f>
        <v>0.80433</v>
      </c>
    </row>
    <row r="1187" customFormat="false" ht="15" hidden="false" customHeight="false" outlineLevel="0" collapsed="false">
      <c r="A1187" s="0" t="s">
        <v>98</v>
      </c>
      <c r="B1187" s="0" t="s">
        <v>99</v>
      </c>
      <c r="C1187" s="0" t="s">
        <v>81</v>
      </c>
      <c r="D1187" s="0" t="s">
        <v>152</v>
      </c>
      <c r="E1187" s="0" t="n">
        <v>25</v>
      </c>
      <c r="F1187" s="0" t="n">
        <v>4</v>
      </c>
      <c r="G1187" s="1"/>
      <c r="H1187" s="1"/>
      <c r="I1187" s="0" t="n">
        <f aca="false">32*4+9.4</f>
        <v>137.4</v>
      </c>
      <c r="J1187" s="0" t="n">
        <f aca="false">(I1187/32)*5</f>
        <v>21.46875</v>
      </c>
      <c r="L1187" s="3" t="n">
        <v>22</v>
      </c>
      <c r="M1187" s="3" t="n">
        <v>0</v>
      </c>
      <c r="N1187" s="3" t="n">
        <f aca="false">L1187</f>
        <v>22</v>
      </c>
      <c r="O1187" s="3" t="n">
        <f aca="false">LOOKUP(L1187,$AB$3:$AC$123)</f>
        <v>1.0899</v>
      </c>
      <c r="P1187" s="3" t="n">
        <f aca="false">(O1187*(N1187/100)*(J1187/1000))*1000</f>
        <v>5.1477339375</v>
      </c>
      <c r="Q1187" s="3"/>
      <c r="R1187" s="3" t="n">
        <v>7</v>
      </c>
      <c r="S1187" s="3" t="n">
        <v>18.4</v>
      </c>
      <c r="T1187" s="0" t="n">
        <f aca="false">(S1187/32)*5</f>
        <v>2.875</v>
      </c>
      <c r="V1187" s="3" t="n">
        <v>22</v>
      </c>
      <c r="W1187" s="3" t="n">
        <v>4</v>
      </c>
      <c r="X1187" s="3" t="n">
        <f aca="false">LOOKUP(V1187,$AB$3:$AC$123)</f>
        <v>1.0899</v>
      </c>
      <c r="Y1187" s="2" t="n">
        <f aca="false">(V1187*((W1187+T1187)/1000)*X1187)/((((W1187+T1187)/1000)*X1187)-((W1187/1000)*0.9982))</f>
        <v>47.0957178211634</v>
      </c>
      <c r="Z1187" s="3" t="n">
        <f aca="false">(X1187*(V1187/100)*((W1187+T1187)/1000))*1000</f>
        <v>1.64847375</v>
      </c>
    </row>
    <row r="1188" customFormat="false" ht="15" hidden="false" customHeight="false" outlineLevel="0" collapsed="false">
      <c r="A1188" s="0" t="s">
        <v>100</v>
      </c>
      <c r="B1188" s="0" t="s">
        <v>101</v>
      </c>
      <c r="C1188" s="0" t="s">
        <v>81</v>
      </c>
      <c r="D1188" s="0" t="s">
        <v>152</v>
      </c>
      <c r="E1188" s="0" t="n">
        <v>25</v>
      </c>
      <c r="F1188" s="0" t="n">
        <v>0</v>
      </c>
      <c r="G1188" s="1"/>
      <c r="H1188" s="1"/>
      <c r="I1188" s="0" t="n">
        <v>0</v>
      </c>
      <c r="J1188" s="0" t="n">
        <f aca="false">(I1188/32)*5</f>
        <v>0</v>
      </c>
      <c r="L1188" s="3" t="n">
        <v>0</v>
      </c>
      <c r="M1188" s="3" t="n">
        <v>0</v>
      </c>
      <c r="N1188" s="3" t="n">
        <f aca="false">L1188</f>
        <v>0</v>
      </c>
      <c r="O1188" s="3" t="n">
        <v>0</v>
      </c>
      <c r="P1188" s="3" t="n">
        <f aca="false">(O1188*(N1188/100)*(J1188/1000))*1000</f>
        <v>0</v>
      </c>
      <c r="Q1188" s="3"/>
      <c r="R1188" s="3" t="n">
        <v>2</v>
      </c>
      <c r="S1188" s="3" t="n">
        <v>6.1</v>
      </c>
      <c r="T1188" s="0" t="n">
        <f aca="false">(S1188/32)*5</f>
        <v>0.953125</v>
      </c>
      <c r="V1188" s="3" t="n">
        <v>7</v>
      </c>
      <c r="W1188" s="3" t="n">
        <v>4</v>
      </c>
      <c r="X1188" s="3" t="n">
        <f aca="false">LOOKUP(V1188,$AB$3:$AC$123)</f>
        <v>1.0259</v>
      </c>
      <c r="Y1188" s="2" t="n">
        <f aca="false">(V1188*((W1188+T1188)/1000)*X1188)/((((W1188+T1188)/1000)*X1188)-((W1188/1000)*0.9982))</f>
        <v>32.6745537245716</v>
      </c>
      <c r="Z1188" s="3" t="n">
        <f aca="false">(X1188*(V1188/100)*((W1188+T1188)/1000))*1000</f>
        <v>0.355698765625</v>
      </c>
    </row>
    <row r="1189" customFormat="false" ht="15" hidden="false" customHeight="false" outlineLevel="0" collapsed="false">
      <c r="A1189" s="0" t="s">
        <v>102</v>
      </c>
      <c r="B1189" s="0" t="s">
        <v>103</v>
      </c>
      <c r="C1189" s="0" t="s">
        <v>81</v>
      </c>
      <c r="D1189" s="0" t="s">
        <v>152</v>
      </c>
      <c r="E1189" s="0" t="n">
        <v>25</v>
      </c>
      <c r="F1189" s="0" t="n">
        <v>0</v>
      </c>
      <c r="G1189" s="1"/>
      <c r="H1189" s="1"/>
      <c r="I1189" s="0" t="n">
        <v>0</v>
      </c>
      <c r="J1189" s="0" t="n">
        <f aca="false">(I1189/32)*5</f>
        <v>0</v>
      </c>
      <c r="L1189" s="3" t="n">
        <v>0</v>
      </c>
      <c r="M1189" s="3" t="n">
        <v>0</v>
      </c>
      <c r="N1189" s="3" t="n">
        <f aca="false">L1189</f>
        <v>0</v>
      </c>
      <c r="O1189" s="3" t="n">
        <v>0</v>
      </c>
      <c r="P1189" s="3" t="n">
        <f aca="false">(O1189*(N1189/100)*(J1189/1000))*1000</f>
        <v>0</v>
      </c>
      <c r="Q1189" s="3"/>
      <c r="R1189" s="3" t="n">
        <v>6</v>
      </c>
      <c r="S1189" s="3" t="n">
        <v>23.3</v>
      </c>
      <c r="T1189" s="0" t="n">
        <f aca="false">(S1189/32)*5</f>
        <v>3.640625</v>
      </c>
      <c r="V1189" s="3" t="n">
        <v>18</v>
      </c>
      <c r="W1189" s="3" t="n">
        <v>4</v>
      </c>
      <c r="X1189" s="3" t="n">
        <f aca="false">LOOKUP(V1189,$AB$3:$AC$123)</f>
        <v>1.0722</v>
      </c>
      <c r="Y1189" s="2" t="n">
        <f aca="false">(V1189*((W1189+T1189)/1000)*X1189)/((((W1189+T1189)/1000)*X1189)-((W1189/1000)*0.9982))</f>
        <v>35.1141265320914</v>
      </c>
      <c r="Z1189" s="3" t="n">
        <f aca="false">(X1189*(V1189/100)*((W1189+T1189)/1000))*1000</f>
        <v>1.4746100625</v>
      </c>
    </row>
    <row r="1190" customFormat="false" ht="15" hidden="false" customHeight="false" outlineLevel="0" collapsed="false">
      <c r="A1190" s="0" t="s">
        <v>104</v>
      </c>
      <c r="B1190" s="0" t="s">
        <v>105</v>
      </c>
      <c r="C1190" s="0" t="s">
        <v>106</v>
      </c>
      <c r="D1190" s="0" t="s">
        <v>152</v>
      </c>
      <c r="E1190" s="0" t="n">
        <v>25</v>
      </c>
      <c r="F1190" s="0" t="n">
        <v>3</v>
      </c>
      <c r="G1190" s="1"/>
      <c r="H1190" s="1"/>
      <c r="I1190" s="0" t="n">
        <f aca="false">32*5+8.4</f>
        <v>168.4</v>
      </c>
      <c r="J1190" s="0" t="n">
        <f aca="false">(I1190/32)*5</f>
        <v>26.3125</v>
      </c>
      <c r="L1190" s="3" t="n">
        <v>24</v>
      </c>
      <c r="M1190" s="3" t="n">
        <v>0</v>
      </c>
      <c r="N1190" s="3" t="n">
        <f aca="false">L1190</f>
        <v>24</v>
      </c>
      <c r="O1190" s="3" t="n">
        <f aca="false">LOOKUP(L1190,$AB$3:$AC$123)</f>
        <v>1.099</v>
      </c>
      <c r="P1190" s="3" t="n">
        <f aca="false">(O1190*(N1190/100)*(J1190/1000))*1000</f>
        <v>6.940185</v>
      </c>
      <c r="Q1190" s="3"/>
      <c r="R1190" s="3" t="n">
        <v>7</v>
      </c>
      <c r="S1190" s="3" t="n">
        <v>20.8</v>
      </c>
      <c r="T1190" s="0" t="n">
        <f aca="false">(S1190/32)*5</f>
        <v>3.25</v>
      </c>
      <c r="V1190" s="3" t="n">
        <v>25</v>
      </c>
      <c r="W1190" s="3" t="n">
        <v>4</v>
      </c>
      <c r="X1190" s="3" t="n">
        <f aca="false">LOOKUP(V1190,$AB$3:$AC$123)</f>
        <v>1.10355</v>
      </c>
      <c r="Y1190" s="2" t="n">
        <f aca="false">(V1190*((W1190+T1190)/1000)*X1190)/((((W1190+T1190)/1000)*X1190)-((W1190/1000)*0.9982))</f>
        <v>49.9055779936688</v>
      </c>
      <c r="Z1190" s="3" t="n">
        <f aca="false">(X1190*(V1190/100)*((W1190+T1190)/1000))*1000</f>
        <v>2.000184375</v>
      </c>
    </row>
    <row r="1191" customFormat="false" ht="15" hidden="false" customHeight="false" outlineLevel="0" collapsed="false">
      <c r="A1191" s="0" t="s">
        <v>107</v>
      </c>
      <c r="B1191" s="0" t="s">
        <v>37</v>
      </c>
      <c r="C1191" s="0" t="s">
        <v>106</v>
      </c>
      <c r="D1191" s="0" t="s">
        <v>152</v>
      </c>
      <c r="E1191" s="0" t="n">
        <v>25</v>
      </c>
      <c r="F1191" s="0" t="n">
        <v>1</v>
      </c>
      <c r="G1191" s="1"/>
      <c r="H1191" s="1"/>
      <c r="I1191" s="0" t="n">
        <f aca="false">64+7.6</f>
        <v>71.6</v>
      </c>
      <c r="J1191" s="0" t="n">
        <f aca="false">(I1191/32)*5</f>
        <v>11.1875</v>
      </c>
      <c r="L1191" s="3" t="n">
        <v>23</v>
      </c>
      <c r="M1191" s="3" t="n">
        <v>0</v>
      </c>
      <c r="N1191" s="3" t="n">
        <f aca="false">L1191</f>
        <v>23</v>
      </c>
      <c r="O1191" s="3" t="n">
        <f aca="false">LOOKUP(L1191,$AB$3:$AC$123)</f>
        <v>1.09445</v>
      </c>
      <c r="P1191" s="3" t="n">
        <f aca="false">(O1191*(N1191/100)*(J1191/1000))*1000</f>
        <v>2.81615665625</v>
      </c>
      <c r="Q1191" s="3"/>
      <c r="R1191" s="3" t="n">
        <v>9</v>
      </c>
      <c r="S1191" s="0" t="n">
        <f aca="false">32+11.1</f>
        <v>43.1</v>
      </c>
      <c r="T1191" s="0" t="n">
        <f aca="false">(S1191/32)*5</f>
        <v>6.734375</v>
      </c>
      <c r="V1191" s="3" t="n">
        <v>31.5</v>
      </c>
      <c r="W1191" s="3" t="n">
        <v>8</v>
      </c>
      <c r="X1191" s="3" t="n">
        <f aca="false">LOOKUP(V1191,$AB$3:$AC$123)</f>
        <v>1.1342</v>
      </c>
      <c r="Y1191" s="2" t="n">
        <f aca="false">(V1191*((W1191+T1191)/1000)*X1191)/((((W1191+T1191)/1000)*X1191)-((W1191/1000)*0.9982))</f>
        <v>60.3268057031308</v>
      </c>
      <c r="Z1191" s="3" t="n">
        <f aca="false">(X1191*(V1191/100)*((W1191+T1191)/1000))*1000</f>
        <v>5.264194359375</v>
      </c>
    </row>
    <row r="1192" customFormat="false" ht="15" hidden="false" customHeight="false" outlineLevel="0" collapsed="false">
      <c r="A1192" s="0" t="s">
        <v>108</v>
      </c>
      <c r="B1192" s="0" t="s">
        <v>109</v>
      </c>
      <c r="C1192" s="0" t="s">
        <v>106</v>
      </c>
      <c r="D1192" s="0" t="s">
        <v>152</v>
      </c>
      <c r="E1192" s="0" t="n">
        <v>25</v>
      </c>
      <c r="F1192" s="0" t="n">
        <v>1</v>
      </c>
      <c r="G1192" s="1"/>
      <c r="H1192" s="1"/>
      <c r="I1192" s="0" t="n">
        <f aca="false">32+23.8</f>
        <v>55.8</v>
      </c>
      <c r="J1192" s="0" t="n">
        <f aca="false">(I1192/32)*5</f>
        <v>8.71875</v>
      </c>
      <c r="L1192" s="3" t="n">
        <v>22.5</v>
      </c>
      <c r="M1192" s="3" t="n">
        <v>0</v>
      </c>
      <c r="N1192" s="3" t="n">
        <f aca="false">L1192</f>
        <v>22.5</v>
      </c>
      <c r="O1192" s="3" t="n">
        <f aca="false">LOOKUP(L1192,$AB$3:$AC$123)</f>
        <v>1.092175</v>
      </c>
      <c r="P1192" s="3" t="n">
        <f aca="false">(O1192*(N1192/100)*(J1192/1000))*1000</f>
        <v>2.14254017578125</v>
      </c>
      <c r="Q1192" s="3"/>
      <c r="R1192" s="3" t="n">
        <v>9</v>
      </c>
      <c r="S1192" s="0" t="n">
        <v>35.8</v>
      </c>
      <c r="T1192" s="0" t="n">
        <f aca="false">(S1192/32)*5</f>
        <v>5.59375</v>
      </c>
      <c r="V1192" s="3" t="n">
        <v>34</v>
      </c>
      <c r="W1192" s="3" t="n">
        <v>8</v>
      </c>
      <c r="X1192" s="3" t="n">
        <f aca="false">LOOKUP(V1192,$AB$3:$AC$123)</f>
        <v>1.1464</v>
      </c>
      <c r="Y1192" s="2" t="n">
        <f aca="false">(V1192*((W1192+T1192)/1000)*X1192)/((((W1192+T1192)/1000)*X1192)-((W1192/1000)*0.9982))</f>
        <v>69.7331631192606</v>
      </c>
      <c r="Z1192" s="3" t="n">
        <f aca="false">(X1192*(V1192/100)*((W1192+T1192)/1000))*1000</f>
        <v>5.2985175</v>
      </c>
    </row>
    <row r="1193" customFormat="false" ht="15" hidden="false" customHeight="false" outlineLevel="0" collapsed="false">
      <c r="A1193" s="0" t="s">
        <v>110</v>
      </c>
      <c r="B1193" s="0" t="s">
        <v>111</v>
      </c>
      <c r="C1193" s="0" t="s">
        <v>106</v>
      </c>
      <c r="D1193" s="0" t="s">
        <v>152</v>
      </c>
      <c r="E1193" s="0" t="n">
        <v>25</v>
      </c>
      <c r="F1193" s="0" t="n">
        <v>1</v>
      </c>
      <c r="G1193" s="1"/>
      <c r="H1193" s="1"/>
      <c r="I1193" s="0" t="n">
        <f aca="false">64+4.4</f>
        <v>68.4</v>
      </c>
      <c r="J1193" s="0" t="n">
        <f aca="false">(I1193/32)*5</f>
        <v>10.6875</v>
      </c>
      <c r="L1193" s="3" t="n">
        <v>20</v>
      </c>
      <c r="M1193" s="3" t="n">
        <v>0</v>
      </c>
      <c r="N1193" s="3" t="n">
        <f aca="false">L1193</f>
        <v>20</v>
      </c>
      <c r="O1193" s="3" t="n">
        <f aca="false">LOOKUP(L1193,$AB$3:$AC$123)</f>
        <v>1.081</v>
      </c>
      <c r="P1193" s="3" t="n">
        <f aca="false">(O1193*(N1193/100)*(J1193/1000))*1000</f>
        <v>2.3106375</v>
      </c>
      <c r="Q1193" s="3"/>
      <c r="R1193" s="3" t="n">
        <v>8</v>
      </c>
      <c r="S1193" s="0" t="n">
        <v>35.4</v>
      </c>
      <c r="T1193" s="0" t="n">
        <f aca="false">(S1193/32)*5</f>
        <v>5.53125</v>
      </c>
      <c r="V1193" s="3" t="n">
        <v>41.5</v>
      </c>
      <c r="W1193" s="3" t="n">
        <v>4</v>
      </c>
      <c r="X1193" s="3" t="n">
        <f aca="false">LOOKUP(V1193,$AB$3:$AC$123)</f>
        <v>1.18415</v>
      </c>
      <c r="Y1193" s="2" t="n">
        <f aca="false">(V1193*((W1193+T1193)/1000)*X1193)/((((W1193+T1193)/1000)*X1193)-((W1193/1000)*0.9982))</f>
        <v>64.2186198229919</v>
      </c>
      <c r="Z1193" s="3" t="n">
        <f aca="false">(X1193*(V1193/100)*((W1193+T1193)/1000))*1000</f>
        <v>4.6838683203125</v>
      </c>
    </row>
    <row r="1194" customFormat="false" ht="15" hidden="false" customHeight="false" outlineLevel="0" collapsed="false">
      <c r="A1194" s="0" t="s">
        <v>112</v>
      </c>
      <c r="B1194" s="0" t="s">
        <v>113</v>
      </c>
      <c r="C1194" s="0" t="s">
        <v>106</v>
      </c>
      <c r="D1194" s="0" t="s">
        <v>152</v>
      </c>
      <c r="E1194" s="0" t="n">
        <v>25</v>
      </c>
      <c r="F1194" s="0" t="n">
        <v>0</v>
      </c>
      <c r="G1194" s="1"/>
      <c r="H1194" s="1"/>
      <c r="I1194" s="0" t="n">
        <v>0</v>
      </c>
      <c r="J1194" s="0" t="n">
        <f aca="false">(I1194/32)*5</f>
        <v>0</v>
      </c>
      <c r="L1194" s="3" t="n">
        <v>0</v>
      </c>
      <c r="M1194" s="3" t="n">
        <v>0</v>
      </c>
      <c r="N1194" s="3" t="n">
        <f aca="false">L1194</f>
        <v>0</v>
      </c>
      <c r="O1194" s="3" t="n">
        <v>0</v>
      </c>
      <c r="P1194" s="3" t="n">
        <f aca="false">(O1194*(N1194/100)*(J1194/1000))*1000</f>
        <v>0</v>
      </c>
      <c r="Q1194" s="3"/>
      <c r="R1194" s="3" t="n">
        <v>4</v>
      </c>
      <c r="S1194" s="0" t="n">
        <v>4.6</v>
      </c>
      <c r="T1194" s="0" t="n">
        <f aca="false">(S1194/32)*5</f>
        <v>0.71875</v>
      </c>
      <c r="V1194" s="3" t="n">
        <v>9</v>
      </c>
      <c r="W1194" s="3" t="n">
        <v>4</v>
      </c>
      <c r="X1194" s="3" t="n">
        <f aca="false">LOOKUP(V1194,$AB$3:$AC$123)</f>
        <v>1.0341</v>
      </c>
      <c r="Y1194" s="2" t="n">
        <f aca="false">(V1194*((W1194+T1194)/1000)*X1194)/((((W1194+T1194)/1000)*X1194)-((W1194/1000)*0.9982))</f>
        <v>49.5196145104742</v>
      </c>
      <c r="Z1194" s="3" t="n">
        <f aca="false">(X1194*(V1194/100)*((W1194+T1194)/1000))*1000</f>
        <v>0.43916934375</v>
      </c>
    </row>
    <row r="1195" customFormat="false" ht="15" hidden="false" customHeight="false" outlineLevel="0" collapsed="false">
      <c r="A1195" s="0" t="s">
        <v>114</v>
      </c>
      <c r="B1195" s="0" t="s">
        <v>115</v>
      </c>
      <c r="C1195" s="0" t="s">
        <v>106</v>
      </c>
      <c r="D1195" s="0" t="s">
        <v>152</v>
      </c>
      <c r="E1195" s="0" t="n">
        <v>25</v>
      </c>
      <c r="F1195" s="0" t="n">
        <v>0</v>
      </c>
      <c r="G1195" s="1"/>
      <c r="H1195" s="1"/>
      <c r="I1195" s="0" t="n">
        <v>0</v>
      </c>
      <c r="J1195" s="0" t="n">
        <f aca="false">(I1195/32)*5</f>
        <v>0</v>
      </c>
      <c r="L1195" s="3" t="n">
        <v>0</v>
      </c>
      <c r="M1195" s="3" t="n">
        <v>0</v>
      </c>
      <c r="N1195" s="3" t="n">
        <f aca="false">L1195</f>
        <v>0</v>
      </c>
      <c r="O1195" s="3" t="n">
        <v>0</v>
      </c>
      <c r="P1195" s="3" t="n">
        <f aca="false">(O1195*(N1195/100)*(J1195/1000))*1000</f>
        <v>0</v>
      </c>
      <c r="Q1195" s="3"/>
      <c r="R1195" s="3" t="n">
        <v>2</v>
      </c>
      <c r="S1195" s="0" t="n">
        <v>5.5</v>
      </c>
      <c r="T1195" s="0" t="n">
        <f aca="false">(S1195/32)*5</f>
        <v>0.859375</v>
      </c>
      <c r="V1195" s="3" t="n">
        <v>14.5</v>
      </c>
      <c r="W1195" s="3" t="n">
        <v>4</v>
      </c>
      <c r="X1195" s="3" t="n">
        <f aca="false">LOOKUP(V1195,$AB$3:$AC$123)</f>
        <v>1.05705</v>
      </c>
      <c r="Y1195" s="2" t="n">
        <f aca="false">(V1195*((W1195+T1195)/1000)*X1195)/((((W1195+T1195)/1000)*X1195)-((W1195/1000)*0.9982))</f>
        <v>65.1167873464807</v>
      </c>
      <c r="Z1195" s="3" t="n">
        <f aca="false">(X1195*(V1195/100)*((W1195+T1195)/1000))*1000</f>
        <v>0.74480733984375</v>
      </c>
    </row>
    <row r="1196" customFormat="false" ht="15" hidden="false" customHeight="false" outlineLevel="0" collapsed="false">
      <c r="A1196" s="0" t="s">
        <v>116</v>
      </c>
      <c r="B1196" s="0" t="s">
        <v>117</v>
      </c>
      <c r="C1196" s="0" t="s">
        <v>106</v>
      </c>
      <c r="D1196" s="0" t="s">
        <v>152</v>
      </c>
      <c r="E1196" s="0" t="n">
        <v>25</v>
      </c>
      <c r="F1196" s="0" t="n">
        <v>1</v>
      </c>
      <c r="G1196" s="1"/>
      <c r="H1196" s="1"/>
      <c r="I1196" s="0" t="n">
        <f aca="false">64+17.8</f>
        <v>81.8</v>
      </c>
      <c r="J1196" s="0" t="n">
        <f aca="false">(I1196/32)*5</f>
        <v>12.78125</v>
      </c>
      <c r="L1196" s="3" t="n">
        <v>30.5</v>
      </c>
      <c r="M1196" s="3" t="n">
        <v>0</v>
      </c>
      <c r="N1196" s="3" t="n">
        <f aca="false">L1196</f>
        <v>30.5</v>
      </c>
      <c r="O1196" s="3" t="n">
        <f aca="false">LOOKUP(L1196,$AB$3:$AC$123)</f>
        <v>1.1294</v>
      </c>
      <c r="P1196" s="3" t="n">
        <f aca="false">(O1196*(N1196/100)*(J1196/1000))*1000</f>
        <v>4.40271884375</v>
      </c>
      <c r="Q1196" s="3"/>
      <c r="R1196" s="3" t="n">
        <v>3</v>
      </c>
      <c r="S1196" s="0" t="n">
        <v>5.2</v>
      </c>
      <c r="T1196" s="0" t="n">
        <f aca="false">(S1196/32)*5</f>
        <v>0.8125</v>
      </c>
      <c r="V1196" s="3" t="n">
        <v>13.5</v>
      </c>
      <c r="W1196" s="3" t="n">
        <v>4</v>
      </c>
      <c r="X1196" s="3" t="n">
        <f aca="false">LOOKUP(V1196,$AB$3:$AC$123)</f>
        <v>1.0528</v>
      </c>
      <c r="Y1196" s="2" t="n">
        <f aca="false">(V1196*((W1196+T1196)/1000)*X1196)/((((W1196+T1196)/1000)*X1196)-((W1196/1000)*0.9982))</f>
        <v>63.6981747066493</v>
      </c>
      <c r="Z1196" s="3" t="n">
        <f aca="false">(X1196*(V1196/100)*((W1196+T1196)/1000))*1000</f>
        <v>0.683991</v>
      </c>
    </row>
    <row r="1197" customFormat="false" ht="15" hidden="false" customHeight="false" outlineLevel="0" collapsed="false">
      <c r="A1197" s="0" t="s">
        <v>118</v>
      </c>
      <c r="B1197" s="0" t="s">
        <v>119</v>
      </c>
      <c r="C1197" s="0" t="s">
        <v>106</v>
      </c>
      <c r="D1197" s="0" t="s">
        <v>152</v>
      </c>
      <c r="E1197" s="0" t="n">
        <v>25</v>
      </c>
      <c r="F1197" s="0" t="n">
        <v>3</v>
      </c>
      <c r="G1197" s="1"/>
      <c r="H1197" s="1"/>
      <c r="I1197" s="0" t="n">
        <f aca="false">8.3+29.2+19.8</f>
        <v>57.3</v>
      </c>
      <c r="J1197" s="0" t="n">
        <f aca="false">(I1197/32)*5</f>
        <v>8.953125</v>
      </c>
      <c r="L1197" s="3" t="n">
        <v>24.5</v>
      </c>
      <c r="M1197" s="3" t="n">
        <v>0</v>
      </c>
      <c r="N1197" s="3" t="n">
        <f aca="false">L1197</f>
        <v>24.5</v>
      </c>
      <c r="O1197" s="3" t="n">
        <f aca="false">LOOKUP(L1197,$AB$3:$AC$123)</f>
        <v>1.101275</v>
      </c>
      <c r="P1197" s="3" t="n">
        <f aca="false">(O1197*(N1197/100)*(J1197/1000))*1000</f>
        <v>2.41566391992187</v>
      </c>
      <c r="Q1197" s="3"/>
      <c r="R1197" s="3" t="n">
        <v>5</v>
      </c>
      <c r="S1197" s="0" t="n">
        <v>7.1</v>
      </c>
      <c r="T1197" s="0" t="n">
        <f aca="false">(S1197/32)*5</f>
        <v>1.109375</v>
      </c>
      <c r="V1197" s="3" t="n">
        <v>19.5</v>
      </c>
      <c r="W1197" s="3" t="n">
        <v>4</v>
      </c>
      <c r="X1197" s="3" t="n">
        <f aca="false">LOOKUP(V1197,$AB$3:$AC$123)</f>
        <v>1.07875</v>
      </c>
      <c r="Y1197" s="2" t="n">
        <f aca="false">(V1197*((W1197+T1197)/1000)*X1197)/((((W1197+T1197)/1000)*X1197)-((W1197/1000)*0.9982))</f>
        <v>70.759225579545</v>
      </c>
      <c r="Z1197" s="3" t="n">
        <f aca="false">(X1197*(V1197/100)*((W1197+T1197)/1000))*1000</f>
        <v>1.07478896484375</v>
      </c>
    </row>
    <row r="1198" customFormat="false" ht="15" hidden="false" customHeight="false" outlineLevel="0" collapsed="false">
      <c r="A1198" s="0" t="s">
        <v>120</v>
      </c>
      <c r="B1198" s="0" t="s">
        <v>121</v>
      </c>
      <c r="C1198" s="0" t="s">
        <v>106</v>
      </c>
      <c r="D1198" s="0" t="s">
        <v>152</v>
      </c>
      <c r="E1198" s="0" t="n">
        <v>25</v>
      </c>
      <c r="F1198" s="0" t="n">
        <v>1</v>
      </c>
      <c r="G1198" s="1"/>
      <c r="H1198" s="1"/>
      <c r="I1198" s="0" t="n">
        <f aca="false">32+11.5</f>
        <v>43.5</v>
      </c>
      <c r="J1198" s="0" t="n">
        <f aca="false">(I1198/32)*5</f>
        <v>6.796875</v>
      </c>
      <c r="L1198" s="3" t="n">
        <v>13</v>
      </c>
      <c r="M1198" s="3" t="n">
        <v>0</v>
      </c>
      <c r="N1198" s="3" t="n">
        <f aca="false">L1198</f>
        <v>13</v>
      </c>
      <c r="O1198" s="3" t="n">
        <f aca="false">LOOKUP(L1198,$AB$3:$AC$123)</f>
        <v>1.0507</v>
      </c>
      <c r="P1198" s="3" t="n">
        <f aca="false">(O1198*(N1198/100)*(J1198/1000))*1000</f>
        <v>0.928391953125</v>
      </c>
      <c r="Q1198" s="3"/>
      <c r="R1198" s="3" t="n">
        <v>7</v>
      </c>
      <c r="S1198" s="0" t="n">
        <v>25.2</v>
      </c>
      <c r="T1198" s="0" t="n">
        <f aca="false">(S1198/32)*5</f>
        <v>3.9375</v>
      </c>
      <c r="V1198" s="3" t="n">
        <v>21</v>
      </c>
      <c r="W1198" s="3" t="n">
        <v>4</v>
      </c>
      <c r="X1198" s="3" t="n">
        <f aca="false">LOOKUP(V1198,$AB$3:$AC$123)</f>
        <v>1.08545</v>
      </c>
      <c r="Y1198" s="2" t="n">
        <f aca="false">(V1198*((W1198+T1198)/1000)*X1198)/((((W1198+T1198)/1000)*X1198)-((W1198/1000)*0.9982))</f>
        <v>39.1374728173985</v>
      </c>
      <c r="Z1198" s="3" t="n">
        <f aca="false">(X1198*(V1198/100)*((W1198+T1198)/1000))*1000</f>
        <v>1.80930946875</v>
      </c>
    </row>
    <row r="1199" customFormat="false" ht="15" hidden="false" customHeight="false" outlineLevel="0" collapsed="false">
      <c r="A1199" s="0" t="s">
        <v>122</v>
      </c>
      <c r="B1199" s="0" t="s">
        <v>123</v>
      </c>
      <c r="C1199" s="0" t="s">
        <v>106</v>
      </c>
      <c r="D1199" s="0" t="s">
        <v>152</v>
      </c>
      <c r="E1199" s="0" t="n">
        <v>25</v>
      </c>
      <c r="F1199" s="0" t="n">
        <v>0</v>
      </c>
      <c r="G1199" s="1"/>
      <c r="H1199" s="1"/>
      <c r="I1199" s="0" t="n">
        <v>0</v>
      </c>
      <c r="J1199" s="0" t="n">
        <f aca="false">(I1199/32)*5</f>
        <v>0</v>
      </c>
      <c r="L1199" s="3" t="n">
        <v>0</v>
      </c>
      <c r="M1199" s="3" t="n">
        <v>0</v>
      </c>
      <c r="N1199" s="3" t="n">
        <f aca="false">L1199</f>
        <v>0</v>
      </c>
      <c r="O1199" s="3" t="n">
        <v>0</v>
      </c>
      <c r="P1199" s="3" t="n">
        <f aca="false">(O1199*(N1199/100)*(J1199/1000))*1000</f>
        <v>0</v>
      </c>
      <c r="Q1199" s="3"/>
      <c r="R1199" s="3" t="n">
        <v>4</v>
      </c>
      <c r="S1199" s="0" t="n">
        <v>18.8</v>
      </c>
      <c r="T1199" s="0" t="n">
        <f aca="false">(S1199/32)*5</f>
        <v>2.9375</v>
      </c>
      <c r="V1199" s="3" t="n">
        <v>21</v>
      </c>
      <c r="W1199" s="3" t="n">
        <v>4</v>
      </c>
      <c r="X1199" s="3" t="n">
        <f aca="false">LOOKUP(V1199,$AB$3:$AC$123)</f>
        <v>1.08545</v>
      </c>
      <c r="Y1199" s="2" t="n">
        <f aca="false">(V1199*((W1199+T1199)/1000)*X1199)/((((W1199+T1199)/1000)*X1199)-((W1199/1000)*0.9982))</f>
        <v>44.7027781728494</v>
      </c>
      <c r="Z1199" s="3" t="n">
        <f aca="false">(X1199*(V1199/100)*((W1199+T1199)/1000))*1000</f>
        <v>1.58136496875</v>
      </c>
    </row>
    <row r="1200" customFormat="false" ht="15" hidden="false" customHeight="false" outlineLevel="0" collapsed="false">
      <c r="A1200" s="0" t="s">
        <v>124</v>
      </c>
      <c r="B1200" s="0" t="s">
        <v>125</v>
      </c>
      <c r="C1200" s="0" t="s">
        <v>106</v>
      </c>
      <c r="D1200" s="0" t="s">
        <v>152</v>
      </c>
      <c r="E1200" s="0" t="n">
        <v>25</v>
      </c>
      <c r="F1200" s="0" t="n">
        <v>4</v>
      </c>
      <c r="G1200" s="1"/>
      <c r="H1200" s="1"/>
      <c r="I1200" s="0" t="n">
        <f aca="false">32*3+19.4</f>
        <v>115.4</v>
      </c>
      <c r="J1200" s="0" t="n">
        <f aca="false">(I1200/32)*5</f>
        <v>18.03125</v>
      </c>
      <c r="L1200" s="3" t="n">
        <v>25.5</v>
      </c>
      <c r="M1200" s="3" t="n">
        <v>0</v>
      </c>
      <c r="N1200" s="3" t="n">
        <f aca="false">L1200</f>
        <v>25.5</v>
      </c>
      <c r="O1200" s="3" t="n">
        <f aca="false">LOOKUP(L1200,$AB$3:$AC$123)</f>
        <v>1.105825</v>
      </c>
      <c r="P1200" s="3" t="n">
        <f aca="false">(O1200*(N1200/100)*(J1200/1000))*1000</f>
        <v>5.08454879296875</v>
      </c>
      <c r="Q1200" s="3"/>
      <c r="R1200" s="3" t="n">
        <v>11</v>
      </c>
      <c r="S1200" s="0" t="n">
        <v>35.5</v>
      </c>
      <c r="T1200" s="0" t="n">
        <f aca="false">(S1200/32)*5</f>
        <v>5.546875</v>
      </c>
      <c r="V1200" s="3" t="n">
        <v>25</v>
      </c>
      <c r="W1200" s="3" t="n">
        <v>4</v>
      </c>
      <c r="X1200" s="3" t="n">
        <f aca="false">LOOKUP(V1200,$AB$3:$AC$123)</f>
        <v>1.10355</v>
      </c>
      <c r="Y1200" s="2" t="n">
        <f aca="false">(V1200*((W1200+T1200)/1000)*X1200)/((((W1200+T1200)/1000)*X1200)-((W1200/1000)*0.9982))</f>
        <v>40.2568057901771</v>
      </c>
      <c r="Z1200" s="3" t="n">
        <f aca="false">(X1200*(V1200/100)*((W1200+T1200)/1000))*1000</f>
        <v>2.6338634765625</v>
      </c>
    </row>
    <row r="1201" customFormat="false" ht="15" hidden="false" customHeight="false" outlineLevel="0" collapsed="false">
      <c r="A1201" s="0" t="s">
        <v>126</v>
      </c>
      <c r="B1201" s="0" t="s">
        <v>127</v>
      </c>
      <c r="C1201" s="0" t="s">
        <v>106</v>
      </c>
      <c r="D1201" s="0" t="s">
        <v>152</v>
      </c>
      <c r="E1201" s="0" t="n">
        <v>25</v>
      </c>
      <c r="F1201" s="0" t="n">
        <v>2</v>
      </c>
      <c r="G1201" s="1"/>
      <c r="H1201" s="1"/>
      <c r="I1201" s="0" t="n">
        <f aca="false">32*3+28.8</f>
        <v>124.8</v>
      </c>
      <c r="J1201" s="0" t="n">
        <f aca="false">(I1201/32)*5</f>
        <v>19.5</v>
      </c>
      <c r="L1201" s="3" t="n">
        <v>22.5</v>
      </c>
      <c r="M1201" s="3" t="n">
        <v>0</v>
      </c>
      <c r="N1201" s="3" t="n">
        <f aca="false">L1201</f>
        <v>22.5</v>
      </c>
      <c r="O1201" s="3" t="n">
        <f aca="false">LOOKUP(L1201,$AB$3:$AC$123)</f>
        <v>1.092175</v>
      </c>
      <c r="P1201" s="3" t="n">
        <f aca="false">(O1201*(N1201/100)*(J1201/1000))*1000</f>
        <v>4.7919178125</v>
      </c>
      <c r="Q1201" s="3"/>
      <c r="R1201" s="3" t="n">
        <v>8</v>
      </c>
      <c r="S1201" s="0" t="n">
        <v>27.2</v>
      </c>
      <c r="T1201" s="0" t="n">
        <f aca="false">(S1201/32)*5</f>
        <v>4.25</v>
      </c>
      <c r="V1201" s="3" t="n">
        <v>23</v>
      </c>
      <c r="W1201" s="3" t="n">
        <v>4</v>
      </c>
      <c r="X1201" s="3" t="n">
        <f aca="false">LOOKUP(V1201,$AB$3:$AC$123)</f>
        <v>1.09445</v>
      </c>
      <c r="Y1201" s="2" t="n">
        <f aca="false">(V1201*((W1201+T1201)/1000)*X1201)/((((W1201+T1201)/1000)*X1201)-((W1201/1000)*0.9982))</f>
        <v>41.2340902378429</v>
      </c>
      <c r="Z1201" s="3" t="n">
        <f aca="false">(X1201*(V1201/100)*((W1201+T1201)/1000))*1000</f>
        <v>2.076718875</v>
      </c>
    </row>
    <row r="1202" customFormat="false" ht="15" hidden="false" customHeight="false" outlineLevel="0" collapsed="false">
      <c r="A1202" s="0" t="s">
        <v>26</v>
      </c>
      <c r="B1202" s="0" t="s">
        <v>27</v>
      </c>
      <c r="C1202" s="0" t="s">
        <v>28</v>
      </c>
      <c r="D1202" s="0" t="s">
        <v>153</v>
      </c>
      <c r="E1202" s="0" t="n">
        <v>26</v>
      </c>
      <c r="F1202" s="0" t="n">
        <v>1</v>
      </c>
      <c r="G1202" s="1"/>
      <c r="H1202" s="1"/>
      <c r="I1202" s="0" t="n">
        <f aca="false">32+14.1</f>
        <v>46.1</v>
      </c>
      <c r="J1202" s="0" t="n">
        <f aca="false">(I1202/32)*5</f>
        <v>7.203125</v>
      </c>
      <c r="L1202" s="3" t="n">
        <v>19</v>
      </c>
      <c r="M1202" s="3" t="n">
        <v>0</v>
      </c>
      <c r="N1202" s="3" t="n">
        <f aca="false">L1202</f>
        <v>19</v>
      </c>
      <c r="O1202" s="3" t="n">
        <f aca="false">LOOKUP(L1202,$AB$3:$AC$123)</f>
        <v>1.0765</v>
      </c>
      <c r="P1202" s="3" t="n">
        <f aca="false">(O1202*(N1202/100)*(J1202/1000))*1000</f>
        <v>1.473291171875</v>
      </c>
      <c r="Q1202" s="3"/>
      <c r="R1202" s="3" t="n">
        <v>2</v>
      </c>
      <c r="S1202" s="0" t="n">
        <v>6.2</v>
      </c>
      <c r="T1202" s="0" t="n">
        <f aca="false">(S1202/32)*5</f>
        <v>0.96875</v>
      </c>
      <c r="V1202" s="3" t="n">
        <v>12</v>
      </c>
      <c r="W1202" s="3" t="n">
        <v>4</v>
      </c>
      <c r="X1202" s="3" t="n">
        <f aca="false">LOOKUP(V1202,$AB$3:$AC$123)</f>
        <v>1.0465</v>
      </c>
      <c r="Y1202" s="2" t="n">
        <f aca="false">(V1202*((W1202+T1202)/1000)*X1202)/((((W1202+T1202)/1000)*X1202)-((W1202/1000)*0.9982))</f>
        <v>51.6965402250938</v>
      </c>
      <c r="Z1202" s="3" t="n">
        <f aca="false">(X1202*(V1202/100)*((W1202+T1202)/1000))*1000</f>
        <v>0.623975625</v>
      </c>
    </row>
    <row r="1203" customFormat="false" ht="15" hidden="false" customHeight="false" outlineLevel="0" collapsed="false">
      <c r="A1203" s="0" t="s">
        <v>32</v>
      </c>
      <c r="B1203" s="0" t="s">
        <v>33</v>
      </c>
      <c r="C1203" s="0" t="s">
        <v>28</v>
      </c>
      <c r="D1203" s="0" t="s">
        <v>153</v>
      </c>
      <c r="E1203" s="0" t="n">
        <v>26</v>
      </c>
      <c r="F1203" s="0" t="n">
        <v>3</v>
      </c>
      <c r="G1203" s="1"/>
      <c r="H1203" s="1"/>
      <c r="I1203" s="0" t="n">
        <f aca="false">64+11.8</f>
        <v>75.8</v>
      </c>
      <c r="J1203" s="0" t="n">
        <f aca="false">(I1203/32)*5</f>
        <v>11.84375</v>
      </c>
      <c r="L1203" s="3" t="n">
        <v>14.5</v>
      </c>
      <c r="M1203" s="3" t="n">
        <v>0</v>
      </c>
      <c r="N1203" s="3" t="n">
        <f aca="false">L1203</f>
        <v>14.5</v>
      </c>
      <c r="O1203" s="3" t="n">
        <f aca="false">LOOKUP(L1203,$AB$3:$AC$123)</f>
        <v>1.05705</v>
      </c>
      <c r="P1203" s="3" t="n">
        <f aca="false">(O1203*(N1203/100)*(J1203/1000))*1000</f>
        <v>1.8153182109375</v>
      </c>
      <c r="Q1203" s="3"/>
      <c r="R1203" s="3" t="n">
        <v>6</v>
      </c>
      <c r="S1203" s="0" t="n">
        <v>22.4</v>
      </c>
      <c r="T1203" s="0" t="n">
        <f aca="false">(S1203/32)*5</f>
        <v>3.5</v>
      </c>
      <c r="V1203" s="3" t="n">
        <v>29</v>
      </c>
      <c r="W1203" s="3" t="n">
        <v>4</v>
      </c>
      <c r="X1203" s="3" t="n">
        <f aca="false">LOOKUP(V1203,$AB$3:$AC$123)</f>
        <v>1.12225</v>
      </c>
      <c r="Y1203" s="2" t="n">
        <f aca="false">(V1203*((W1203+T1203)/1000)*X1203)/((((W1203+T1203)/1000)*X1203)-((W1203/1000)*0.9982))</f>
        <v>55.1729740115166</v>
      </c>
      <c r="Z1203" s="3" t="n">
        <f aca="false">(X1203*(V1203/100)*((W1203+T1203)/1000))*1000</f>
        <v>2.44089375</v>
      </c>
    </row>
    <row r="1204" customFormat="false" ht="15" hidden="false" customHeight="false" outlineLevel="0" collapsed="false">
      <c r="A1204" s="0" t="s">
        <v>34</v>
      </c>
      <c r="B1204" s="0" t="s">
        <v>35</v>
      </c>
      <c r="C1204" s="0" t="s">
        <v>28</v>
      </c>
      <c r="D1204" s="0" t="s">
        <v>153</v>
      </c>
      <c r="E1204" s="0" t="n">
        <v>26</v>
      </c>
      <c r="F1204" s="0" t="n">
        <v>3</v>
      </c>
      <c r="G1204" s="1"/>
      <c r="H1204" s="1"/>
      <c r="I1204" s="0" t="n">
        <f aca="false">32*6</f>
        <v>192</v>
      </c>
      <c r="J1204" s="0" t="n">
        <f aca="false">(I1204/32)*5</f>
        <v>30</v>
      </c>
      <c r="L1204" s="3" t="n">
        <v>19</v>
      </c>
      <c r="M1204" s="3" t="n">
        <v>0</v>
      </c>
      <c r="N1204" s="3" t="n">
        <f aca="false">L1204</f>
        <v>19</v>
      </c>
      <c r="O1204" s="3" t="n">
        <f aca="false">LOOKUP(L1204,$AB$3:$AC$123)</f>
        <v>1.0765</v>
      </c>
      <c r="P1204" s="3" t="n">
        <f aca="false">(O1204*(N1204/100)*(J1204/1000))*1000</f>
        <v>6.13605</v>
      </c>
      <c r="Q1204" s="3"/>
      <c r="R1204" s="3" t="n">
        <v>4</v>
      </c>
      <c r="S1204" s="0" t="n">
        <v>12.8</v>
      </c>
      <c r="T1204" s="0" t="n">
        <f aca="false">(S1204/32)*5</f>
        <v>2</v>
      </c>
      <c r="V1204" s="3" t="n">
        <v>20</v>
      </c>
      <c r="W1204" s="3" t="n">
        <v>4</v>
      </c>
      <c r="X1204" s="3" t="n">
        <f aca="false">LOOKUP(V1204,$AB$3:$AC$123)</f>
        <v>1.081</v>
      </c>
      <c r="Y1204" s="2" t="n">
        <f aca="false">(V1204*((W1204+T1204)/1000)*X1204)/((((W1204+T1204)/1000)*X1204)-((W1204/1000)*0.9982))</f>
        <v>52.029520295203</v>
      </c>
      <c r="Z1204" s="3" t="n">
        <f aca="false">(X1204*(V1204/100)*((W1204+T1204)/1000))*1000</f>
        <v>1.2972</v>
      </c>
    </row>
    <row r="1205" customFormat="false" ht="15" hidden="false" customHeight="false" outlineLevel="0" collapsed="false">
      <c r="A1205" s="0" t="s">
        <v>36</v>
      </c>
      <c r="B1205" s="0" t="s">
        <v>37</v>
      </c>
      <c r="C1205" s="0" t="s">
        <v>28</v>
      </c>
      <c r="D1205" s="0" t="s">
        <v>153</v>
      </c>
      <c r="E1205" s="0" t="n">
        <v>26</v>
      </c>
      <c r="F1205" s="0" t="n">
        <v>2</v>
      </c>
      <c r="G1205" s="1"/>
      <c r="H1205" s="1"/>
      <c r="I1205" s="0" t="n">
        <f aca="false">64+13.4</f>
        <v>77.4</v>
      </c>
      <c r="J1205" s="0" t="n">
        <f aca="false">(I1205/32)*5</f>
        <v>12.09375</v>
      </c>
      <c r="L1205" s="3" t="n">
        <v>20</v>
      </c>
      <c r="M1205" s="3" t="n">
        <v>0</v>
      </c>
      <c r="N1205" s="3" t="n">
        <f aca="false">L1205</f>
        <v>20</v>
      </c>
      <c r="O1205" s="3" t="n">
        <f aca="false">LOOKUP(L1205,$AB$3:$AC$123)</f>
        <v>1.081</v>
      </c>
      <c r="P1205" s="3" t="n">
        <f aca="false">(O1205*(N1205/100)*(J1205/1000))*1000</f>
        <v>2.61466875</v>
      </c>
      <c r="Q1205" s="3"/>
      <c r="R1205" s="3" t="n">
        <v>4</v>
      </c>
      <c r="S1205" s="0" t="n">
        <v>11.1</v>
      </c>
      <c r="T1205" s="0" t="n">
        <f aca="false">(S1205/32)*5</f>
        <v>1.734375</v>
      </c>
      <c r="V1205" s="3" t="n">
        <v>20</v>
      </c>
      <c r="W1205" s="3" t="n">
        <v>4</v>
      </c>
      <c r="X1205" s="3" t="n">
        <f aca="false">LOOKUP(V1205,$AB$3:$AC$123)</f>
        <v>1.081</v>
      </c>
      <c r="Y1205" s="2" t="n">
        <f aca="false">(V1205*((W1205+T1205)/1000)*X1205)/((((W1205+T1205)/1000)*X1205)-((W1205/1000)*0.9982))</f>
        <v>56.1984817385072</v>
      </c>
      <c r="Z1205" s="3" t="n">
        <f aca="false">(X1205*(V1205/100)*((W1205+T1205)/1000))*1000</f>
        <v>1.239771875</v>
      </c>
    </row>
    <row r="1206" customFormat="false" ht="15" hidden="false" customHeight="false" outlineLevel="0" collapsed="false">
      <c r="A1206" s="0" t="s">
        <v>38</v>
      </c>
      <c r="B1206" s="0" t="s">
        <v>39</v>
      </c>
      <c r="C1206" s="0" t="s">
        <v>28</v>
      </c>
      <c r="D1206" s="0" t="s">
        <v>153</v>
      </c>
      <c r="E1206" s="0" t="n">
        <v>26</v>
      </c>
      <c r="F1206" s="0" t="n">
        <v>3</v>
      </c>
      <c r="G1206" s="1"/>
      <c r="H1206" s="1"/>
      <c r="I1206" s="0" t="n">
        <f aca="false">32*5</f>
        <v>160</v>
      </c>
      <c r="J1206" s="0" t="n">
        <f aca="false">(I1206/32)*5</f>
        <v>25</v>
      </c>
      <c r="L1206" s="3" t="n">
        <v>23</v>
      </c>
      <c r="M1206" s="3" t="n">
        <v>0</v>
      </c>
      <c r="N1206" s="3" t="n">
        <f aca="false">L1206</f>
        <v>23</v>
      </c>
      <c r="O1206" s="3" t="n">
        <f aca="false">LOOKUP(L1206,$AB$3:$AC$123)</f>
        <v>1.09445</v>
      </c>
      <c r="P1206" s="3" t="n">
        <f aca="false">(O1206*(N1206/100)*(J1206/1000))*1000</f>
        <v>6.2930875</v>
      </c>
      <c r="Q1206" s="3"/>
      <c r="R1206" s="3" t="n">
        <v>7</v>
      </c>
      <c r="S1206" s="0" t="n">
        <f aca="false">32+4.9</f>
        <v>36.9</v>
      </c>
      <c r="T1206" s="0" t="n">
        <f aca="false">(S1206/32)*5</f>
        <v>5.765625</v>
      </c>
      <c r="V1206" s="3" t="n">
        <v>32</v>
      </c>
      <c r="W1206" s="3" t="n">
        <v>4</v>
      </c>
      <c r="X1206" s="3" t="n">
        <f aca="false">LOOKUP(V1206,$AB$3:$AC$123)</f>
        <v>1.1366</v>
      </c>
      <c r="Y1206" s="2" t="n">
        <f aca="false">(V1206*((W1206+T1206)/1000)*X1206)/((((W1206+T1206)/1000)*X1206)-((W1206/1000)*0.9982))</f>
        <v>49.9784757488307</v>
      </c>
      <c r="Z1206" s="3" t="n">
        <f aca="false">(X1206*(V1206/100)*((W1206+T1206)/1000))*1000</f>
        <v>3.551875</v>
      </c>
    </row>
    <row r="1207" customFormat="false" ht="15" hidden="false" customHeight="false" outlineLevel="0" collapsed="false">
      <c r="A1207" s="0" t="s">
        <v>40</v>
      </c>
      <c r="B1207" s="0" t="s">
        <v>41</v>
      </c>
      <c r="C1207" s="0" t="s">
        <v>28</v>
      </c>
      <c r="D1207" s="0" t="s">
        <v>153</v>
      </c>
      <c r="E1207" s="0" t="n">
        <v>26</v>
      </c>
      <c r="F1207" s="0" t="n">
        <v>3</v>
      </c>
      <c r="G1207" s="1"/>
      <c r="H1207" s="1"/>
      <c r="I1207" s="0" t="n">
        <f aca="false">32+3+15.4+3.6</f>
        <v>54</v>
      </c>
      <c r="J1207" s="0" t="n">
        <f aca="false">(I1207/32)*5</f>
        <v>8.4375</v>
      </c>
      <c r="L1207" s="3" t="n">
        <v>25</v>
      </c>
      <c r="M1207" s="3" t="n">
        <v>0</v>
      </c>
      <c r="N1207" s="3" t="n">
        <f aca="false">L1207</f>
        <v>25</v>
      </c>
      <c r="O1207" s="3" t="n">
        <f aca="false">LOOKUP(L1207,$AB$3:$AC$123)</f>
        <v>1.10355</v>
      </c>
      <c r="P1207" s="3" t="n">
        <f aca="false">(O1207*(N1207/100)*(J1207/1000))*1000</f>
        <v>2.32780078125</v>
      </c>
      <c r="Q1207" s="3"/>
      <c r="R1207" s="3" t="n">
        <v>9</v>
      </c>
      <c r="S1207" s="0" t="n">
        <v>18.9</v>
      </c>
      <c r="T1207" s="0" t="n">
        <f aca="false">(S1207/32)*5</f>
        <v>2.953125</v>
      </c>
      <c r="V1207" s="3" t="n">
        <v>22</v>
      </c>
      <c r="W1207" s="3" t="n">
        <v>4</v>
      </c>
      <c r="X1207" s="3" t="n">
        <f aca="false">LOOKUP(V1207,$AB$3:$AC$123)</f>
        <v>1.0899</v>
      </c>
      <c r="Y1207" s="2" t="n">
        <f aca="false">(V1207*((W1207+T1207)/1000)*X1207)/((((W1207+T1207)/1000)*X1207)-((W1207/1000)*0.9982))</f>
        <v>46.4997300257162</v>
      </c>
      <c r="Z1207" s="3" t="n">
        <f aca="false">(X1207*(V1207/100)*((W1207+T1207)/1000))*1000</f>
        <v>1.66720640625</v>
      </c>
    </row>
    <row r="1208" customFormat="false" ht="15" hidden="false" customHeight="false" outlineLevel="0" collapsed="false">
      <c r="A1208" s="0" t="s">
        <v>42</v>
      </c>
      <c r="B1208" s="0" t="s">
        <v>43</v>
      </c>
      <c r="C1208" s="0" t="s">
        <v>28</v>
      </c>
      <c r="D1208" s="0" t="s">
        <v>153</v>
      </c>
      <c r="E1208" s="0" t="n">
        <v>26</v>
      </c>
      <c r="F1208" s="0" t="n">
        <v>1</v>
      </c>
      <c r="G1208" s="1"/>
      <c r="H1208" s="1"/>
      <c r="I1208" s="0" t="n">
        <v>64</v>
      </c>
      <c r="J1208" s="0" t="n">
        <f aca="false">(I1208/32)*5</f>
        <v>10</v>
      </c>
      <c r="L1208" s="3" t="n">
        <v>25</v>
      </c>
      <c r="M1208" s="3" t="n">
        <v>0</v>
      </c>
      <c r="N1208" s="3" t="n">
        <f aca="false">L1208</f>
        <v>25</v>
      </c>
      <c r="O1208" s="3" t="n">
        <f aca="false">LOOKUP(L1208,$AB$3:$AC$123)</f>
        <v>1.10355</v>
      </c>
      <c r="P1208" s="3" t="n">
        <f aca="false">(O1208*(N1208/100)*(J1208/1000))*1000</f>
        <v>2.758875</v>
      </c>
      <c r="Q1208" s="3"/>
      <c r="R1208" s="3" t="n">
        <v>3</v>
      </c>
      <c r="S1208" s="0" t="n">
        <v>16.4</v>
      </c>
      <c r="T1208" s="0" t="n">
        <f aca="false">(S1208/32)*5</f>
        <v>2.5625</v>
      </c>
      <c r="V1208" s="3" t="n">
        <v>22.5</v>
      </c>
      <c r="W1208" s="3" t="n">
        <v>4</v>
      </c>
      <c r="X1208" s="3" t="n">
        <f aca="false">LOOKUP(V1208,$AB$3:$AC$123)</f>
        <v>1.092175</v>
      </c>
      <c r="Y1208" s="2" t="n">
        <f aca="false">(V1208*((W1208+T1208)/1000)*X1208)/((((W1208+T1208)/1000)*X1208)-((W1208/1000)*0.9982))</f>
        <v>50.7990122274323</v>
      </c>
      <c r="Z1208" s="3" t="n">
        <f aca="false">(X1208*(V1208/100)*((W1208+T1208)/1000))*1000</f>
        <v>1.6126646484375</v>
      </c>
    </row>
    <row r="1209" customFormat="false" ht="15" hidden="false" customHeight="false" outlineLevel="0" collapsed="false">
      <c r="A1209" s="0" t="s">
        <v>44</v>
      </c>
      <c r="B1209" s="0" t="s">
        <v>45</v>
      </c>
      <c r="C1209" s="0" t="s">
        <v>28</v>
      </c>
      <c r="D1209" s="0" t="s">
        <v>153</v>
      </c>
      <c r="E1209" s="0" t="n">
        <v>26</v>
      </c>
      <c r="F1209" s="0" t="n">
        <v>1</v>
      </c>
      <c r="G1209" s="1"/>
      <c r="H1209" s="1"/>
      <c r="I1209" s="0" t="n">
        <f aca="false">32*3</f>
        <v>96</v>
      </c>
      <c r="J1209" s="0" t="n">
        <f aca="false">(I1209/32)*5</f>
        <v>15</v>
      </c>
      <c r="L1209" s="3" t="n">
        <v>23</v>
      </c>
      <c r="M1209" s="3" t="n">
        <v>0</v>
      </c>
      <c r="N1209" s="3" t="n">
        <f aca="false">L1209</f>
        <v>23</v>
      </c>
      <c r="O1209" s="3" t="n">
        <f aca="false">LOOKUP(L1209,$AB$3:$AC$123)</f>
        <v>1.09445</v>
      </c>
      <c r="P1209" s="3" t="n">
        <f aca="false">(O1209*(N1209/100)*(J1209/1000))*1000</f>
        <v>3.7758525</v>
      </c>
      <c r="Q1209" s="3"/>
      <c r="R1209" s="3" t="n">
        <v>3</v>
      </c>
      <c r="S1209" s="0" t="n">
        <v>6.5</v>
      </c>
      <c r="T1209" s="0" t="n">
        <f aca="false">(S1209/32)*5</f>
        <v>1.015625</v>
      </c>
      <c r="V1209" s="3" t="n">
        <v>12.5</v>
      </c>
      <c r="W1209" s="3" t="n">
        <v>4</v>
      </c>
      <c r="X1209" s="3" t="n">
        <f aca="false">LOOKUP(V1209,$AB$3:$AC$123)</f>
        <v>1.0486</v>
      </c>
      <c r="Y1209" s="2" t="n">
        <f aca="false">(V1209*((W1209+T1209)/1000)*X1209)/((((W1209+T1209)/1000)*X1209)-((W1209/1000)*0.9982))</f>
        <v>51.9051916201793</v>
      </c>
      <c r="Z1209" s="3" t="n">
        <f aca="false">(X1209*(V1209/100)*((W1209+T1209)/1000))*1000</f>
        <v>0.657423046875</v>
      </c>
    </row>
    <row r="1210" customFormat="false" ht="15" hidden="false" customHeight="false" outlineLevel="0" collapsed="false">
      <c r="A1210" s="0" t="s">
        <v>46</v>
      </c>
      <c r="B1210" s="0" t="s">
        <v>47</v>
      </c>
      <c r="C1210" s="0" t="s">
        <v>28</v>
      </c>
      <c r="D1210" s="0" t="s">
        <v>153</v>
      </c>
      <c r="E1210" s="0" t="n">
        <v>26</v>
      </c>
      <c r="F1210" s="0" t="n">
        <v>1</v>
      </c>
      <c r="G1210" s="1"/>
      <c r="H1210" s="1"/>
      <c r="I1210" s="0" t="n">
        <f aca="false">32+21.2</f>
        <v>53.2</v>
      </c>
      <c r="J1210" s="0" t="n">
        <f aca="false">(I1210/32)*5</f>
        <v>8.3125</v>
      </c>
      <c r="L1210" s="3" t="n">
        <v>22</v>
      </c>
      <c r="M1210" s="3" t="n">
        <v>0</v>
      </c>
      <c r="N1210" s="3" t="n">
        <f aca="false">L1210</f>
        <v>22</v>
      </c>
      <c r="O1210" s="3" t="n">
        <f aca="false">LOOKUP(L1210,$AB$3:$AC$123)</f>
        <v>1.0899</v>
      </c>
      <c r="P1210" s="3" t="n">
        <f aca="false">(O1210*(N1210/100)*(J1210/1000))*1000</f>
        <v>1.993154625</v>
      </c>
      <c r="Q1210" s="3"/>
      <c r="R1210" s="3" t="n">
        <v>3</v>
      </c>
      <c r="S1210" s="0" t="n">
        <v>4.7</v>
      </c>
      <c r="T1210" s="0" t="n">
        <f aca="false">(S1210/32)*5</f>
        <v>0.734375</v>
      </c>
      <c r="V1210" s="3" t="n">
        <v>6</v>
      </c>
      <c r="W1210" s="3" t="n">
        <v>4</v>
      </c>
      <c r="X1210" s="3" t="n">
        <f aca="false">LOOKUP(V1210,$AB$3:$AC$123)</f>
        <v>1.0218</v>
      </c>
      <c r="Y1210" s="2" t="n">
        <f aca="false">(V1210*((W1210+T1210)/1000)*X1210)/((((W1210+T1210)/1000)*X1210)-((W1210/1000)*0.9982))</f>
        <v>34.3584790497575</v>
      </c>
      <c r="Z1210" s="3" t="n">
        <f aca="false">(X1210*(V1210/100)*((W1210+T1210)/1000))*1000</f>
        <v>0.2902550625</v>
      </c>
    </row>
    <row r="1211" customFormat="false" ht="15" hidden="false" customHeight="false" outlineLevel="0" collapsed="false">
      <c r="A1211" s="0" t="s">
        <v>48</v>
      </c>
      <c r="B1211" s="0" t="s">
        <v>49</v>
      </c>
      <c r="C1211" s="0" t="s">
        <v>28</v>
      </c>
      <c r="D1211" s="0" t="s">
        <v>153</v>
      </c>
      <c r="E1211" s="0" t="n">
        <v>26</v>
      </c>
      <c r="F1211" s="0" t="n">
        <v>1</v>
      </c>
      <c r="G1211" s="1"/>
      <c r="H1211" s="1"/>
      <c r="I1211" s="0" t="n">
        <v>28.8</v>
      </c>
      <c r="J1211" s="0" t="n">
        <f aca="false">(I1211/32)*5</f>
        <v>4.5</v>
      </c>
      <c r="L1211" s="3" t="n">
        <v>11</v>
      </c>
      <c r="M1211" s="3" t="n">
        <v>0</v>
      </c>
      <c r="N1211" s="3" t="n">
        <f aca="false">L1211</f>
        <v>11</v>
      </c>
      <c r="O1211" s="3" t="n">
        <f aca="false">LOOKUP(L1211,$AB$3:$AC$123)</f>
        <v>1.0423</v>
      </c>
      <c r="P1211" s="3" t="n">
        <f aca="false">(O1211*(N1211/100)*(J1211/1000))*1000</f>
        <v>0.5159385</v>
      </c>
      <c r="Q1211" s="3"/>
      <c r="R1211" s="3" t="n">
        <v>2</v>
      </c>
      <c r="S1211" s="0" t="n">
        <v>8.6</v>
      </c>
      <c r="T1211" s="0" t="n">
        <f aca="false">(S1211/32)*5</f>
        <v>1.34375</v>
      </c>
      <c r="V1211" s="3" t="n">
        <v>9.5</v>
      </c>
      <c r="W1211" s="3" t="n">
        <v>4</v>
      </c>
      <c r="X1211" s="3" t="n">
        <f aca="false">LOOKUP(V1211,$AB$3:$AC$123)</f>
        <v>1.0361</v>
      </c>
      <c r="Y1211" s="2" t="n">
        <f aca="false">(V1211*((W1211+T1211)/1000)*X1211)/((((W1211+T1211)/1000)*X1211)-((W1211/1000)*0.9982))</f>
        <v>34.069336180635</v>
      </c>
      <c r="Z1211" s="3" t="n">
        <f aca="false">(X1211*(V1211/100)*((W1211+T1211)/1000))*1000</f>
        <v>0.525982640625</v>
      </c>
    </row>
    <row r="1212" customFormat="false" ht="15" hidden="false" customHeight="false" outlineLevel="0" collapsed="false">
      <c r="A1212" s="0" t="s">
        <v>50</v>
      </c>
      <c r="B1212" s="0" t="s">
        <v>51</v>
      </c>
      <c r="C1212" s="0" t="s">
        <v>28</v>
      </c>
      <c r="D1212" s="0" t="s">
        <v>153</v>
      </c>
      <c r="E1212" s="0" t="n">
        <v>26</v>
      </c>
      <c r="F1212" s="0" t="n">
        <v>1</v>
      </c>
      <c r="G1212" s="1"/>
      <c r="H1212" s="1"/>
      <c r="I1212" s="0" t="n">
        <v>30.9</v>
      </c>
      <c r="J1212" s="0" t="n">
        <f aca="false">(I1212/32)*5</f>
        <v>4.828125</v>
      </c>
      <c r="L1212" s="3" t="n">
        <v>20</v>
      </c>
      <c r="M1212" s="3" t="n">
        <v>0</v>
      </c>
      <c r="N1212" s="3" t="n">
        <f aca="false">L1212</f>
        <v>20</v>
      </c>
      <c r="O1212" s="3" t="n">
        <f aca="false">LOOKUP(L1212,$AB$3:$AC$123)</f>
        <v>1.081</v>
      </c>
      <c r="P1212" s="3" t="n">
        <f aca="false">(O1212*(N1212/100)*(J1212/1000))*1000</f>
        <v>1.043840625</v>
      </c>
      <c r="Q1212" s="3"/>
      <c r="R1212" s="3" t="n">
        <v>1</v>
      </c>
      <c r="S1212" s="0" t="n">
        <v>3.1</v>
      </c>
      <c r="T1212" s="0" t="n">
        <f aca="false">(S1212/32)*5</f>
        <v>0.484375</v>
      </c>
      <c r="V1212" s="3" t="n">
        <v>6</v>
      </c>
      <c r="W1212" s="3" t="n">
        <v>4</v>
      </c>
      <c r="X1212" s="3" t="n">
        <f aca="false">LOOKUP(V1212,$AB$3:$AC$123)</f>
        <v>1.0218</v>
      </c>
      <c r="Y1212" s="2" t="n">
        <f aca="false">(V1212*((W1212+T1212)/1000)*X1212)/((((W1212+T1212)/1000)*X1212)-((W1212/1000)*0.9982))</f>
        <v>46.6506068817045</v>
      </c>
      <c r="Z1212" s="3" t="n">
        <f aca="false">(X1212*(V1212/100)*((W1212+T1212)/1000))*1000</f>
        <v>0.2749280625</v>
      </c>
    </row>
    <row r="1213" customFormat="false" ht="15" hidden="false" customHeight="false" outlineLevel="0" collapsed="false">
      <c r="A1213" s="0" t="s">
        <v>52</v>
      </c>
      <c r="B1213" s="0" t="s">
        <v>53</v>
      </c>
      <c r="C1213" s="0" t="s">
        <v>28</v>
      </c>
      <c r="D1213" s="0" t="s">
        <v>153</v>
      </c>
      <c r="E1213" s="0" t="n">
        <v>26</v>
      </c>
      <c r="F1213" s="0" t="n">
        <v>0</v>
      </c>
      <c r="G1213" s="1"/>
      <c r="H1213" s="1"/>
      <c r="I1213" s="0" t="n">
        <v>0</v>
      </c>
      <c r="J1213" s="0" t="n">
        <f aca="false">(I1213/32)*5</f>
        <v>0</v>
      </c>
      <c r="L1213" s="3" t="n">
        <v>0</v>
      </c>
      <c r="M1213" s="3" t="n">
        <v>0</v>
      </c>
      <c r="N1213" s="3" t="n">
        <f aca="false">L1213</f>
        <v>0</v>
      </c>
      <c r="O1213" s="3" t="n">
        <v>0</v>
      </c>
      <c r="P1213" s="3" t="n">
        <f aca="false">(O1213*(N1213/100)*(J1213/1000))*1000</f>
        <v>0</v>
      </c>
      <c r="Q1213" s="3"/>
      <c r="R1213" s="3" t="n">
        <v>3</v>
      </c>
      <c r="S1213" s="3" t="n">
        <v>7.1</v>
      </c>
      <c r="T1213" s="0" t="n">
        <f aca="false">(S1213/32)*5</f>
        <v>1.109375</v>
      </c>
      <c r="V1213" s="3" t="n">
        <v>7</v>
      </c>
      <c r="W1213" s="3" t="n">
        <v>4</v>
      </c>
      <c r="X1213" s="3" t="n">
        <f aca="false">LOOKUP(V1213,$AB$3:$AC$123)</f>
        <v>1.0259</v>
      </c>
      <c r="Y1213" s="2" t="n">
        <f aca="false">(V1213*((W1213+T1213)/1000)*X1213)/((((W1213+T1213)/1000)*X1213)-((W1213/1000)*0.9982))</f>
        <v>29.3792338555813</v>
      </c>
      <c r="Z1213" s="3" t="n">
        <f aca="false">(X1213*(V1213/100)*((W1213+T1213)/1000))*1000</f>
        <v>0.366919546875</v>
      </c>
    </row>
    <row r="1214" customFormat="false" ht="15" hidden="false" customHeight="false" outlineLevel="0" collapsed="false">
      <c r="A1214" s="0" t="s">
        <v>54</v>
      </c>
      <c r="B1214" s="0" t="s">
        <v>55</v>
      </c>
      <c r="C1214" s="0" t="s">
        <v>56</v>
      </c>
      <c r="D1214" s="0" t="s">
        <v>153</v>
      </c>
      <c r="E1214" s="0" t="n">
        <v>26</v>
      </c>
      <c r="F1214" s="0" t="n">
        <v>0</v>
      </c>
      <c r="G1214" s="1"/>
      <c r="H1214" s="1"/>
      <c r="I1214" s="0" t="n">
        <v>0</v>
      </c>
      <c r="J1214" s="0" t="n">
        <f aca="false">(I1214/32)*5</f>
        <v>0</v>
      </c>
      <c r="L1214" s="3" t="n">
        <v>0</v>
      </c>
      <c r="M1214" s="3" t="n">
        <v>0</v>
      </c>
      <c r="N1214" s="3" t="n">
        <f aca="false">L1214</f>
        <v>0</v>
      </c>
      <c r="O1214" s="3" t="n">
        <v>0</v>
      </c>
      <c r="P1214" s="3" t="n">
        <f aca="false">(O1214*(N1214/100)*(J1214/1000))*1000</f>
        <v>0</v>
      </c>
      <c r="Q1214" s="3"/>
      <c r="R1214" s="3" t="n">
        <v>4</v>
      </c>
      <c r="S1214" s="3" t="n">
        <v>15.7</v>
      </c>
      <c r="T1214" s="0" t="n">
        <f aca="false">(S1214/32)*5</f>
        <v>2.453125</v>
      </c>
      <c r="V1214" s="3" t="n">
        <v>24.5</v>
      </c>
      <c r="W1214" s="3" t="n">
        <v>4</v>
      </c>
      <c r="X1214" s="3" t="n">
        <f aca="false">LOOKUP(V1214,$AB$3:$AC$123)</f>
        <v>1.101275</v>
      </c>
      <c r="Y1214" s="2" t="n">
        <f aca="false">(V1214*((W1214+T1214)/1000)*X1214)/((((W1214+T1214)/1000)*X1214)-((W1214/1000)*0.9982))</f>
        <v>55.9154893153668</v>
      </c>
      <c r="Z1214" s="3" t="n">
        <f aca="false">(X1214*(V1214/100)*((W1214+T1214)/1000))*1000</f>
        <v>1.74113298242187</v>
      </c>
    </row>
    <row r="1215" customFormat="false" ht="15" hidden="false" customHeight="false" outlineLevel="0" collapsed="false">
      <c r="A1215" s="0" t="s">
        <v>57</v>
      </c>
      <c r="B1215" s="0" t="s">
        <v>58</v>
      </c>
      <c r="C1215" s="0" t="s">
        <v>56</v>
      </c>
      <c r="D1215" s="0" t="s">
        <v>153</v>
      </c>
      <c r="E1215" s="0" t="n">
        <v>26</v>
      </c>
      <c r="F1215" s="0" t="n">
        <v>1</v>
      </c>
      <c r="G1215" s="1"/>
      <c r="H1215" s="1"/>
      <c r="I1215" s="0" t="n">
        <f aca="false">64+3.6</f>
        <v>67.6</v>
      </c>
      <c r="J1215" s="0" t="n">
        <f aca="false">(I1215/32)*5</f>
        <v>10.5625</v>
      </c>
      <c r="L1215" s="3" t="n">
        <v>16</v>
      </c>
      <c r="M1215" s="3" t="n">
        <v>0</v>
      </c>
      <c r="N1215" s="3" t="n">
        <f aca="false">L1215</f>
        <v>16</v>
      </c>
      <c r="O1215" s="3" t="n">
        <f aca="false">LOOKUP(L1215,$AB$3:$AC$123)</f>
        <v>1.0635</v>
      </c>
      <c r="P1215" s="3" t="n">
        <f aca="false">(O1215*(N1215/100)*(J1215/1000))*1000</f>
        <v>1.797315</v>
      </c>
      <c r="Q1215" s="3"/>
      <c r="R1215" s="3" t="n">
        <v>3</v>
      </c>
      <c r="S1215" s="3" t="n">
        <v>2.9</v>
      </c>
      <c r="T1215" s="0" t="n">
        <f aca="false">(S1215/32)*5</f>
        <v>0.453125</v>
      </c>
      <c r="V1215" s="3" t="n">
        <v>6</v>
      </c>
      <c r="W1215" s="3" t="n">
        <v>4</v>
      </c>
      <c r="X1215" s="3" t="n">
        <f aca="false">LOOKUP(V1215,$AB$3:$AC$123)</f>
        <v>1.0218</v>
      </c>
      <c r="Y1215" s="2" t="n">
        <f aca="false">(V1215*((W1215+T1215)/1000)*X1215)/((((W1215+T1215)/1000)*X1215)-((W1215/1000)*0.9982))</f>
        <v>48.9793069423499</v>
      </c>
      <c r="Z1215" s="3" t="n">
        <f aca="false">(X1215*(V1215/100)*((W1215+T1215)/1000))*1000</f>
        <v>0.2730121875</v>
      </c>
    </row>
    <row r="1216" customFormat="false" ht="15" hidden="false" customHeight="false" outlineLevel="0" collapsed="false">
      <c r="A1216" s="0" t="s">
        <v>59</v>
      </c>
      <c r="B1216" s="0" t="s">
        <v>60</v>
      </c>
      <c r="C1216" s="0" t="s">
        <v>56</v>
      </c>
      <c r="D1216" s="0" t="s">
        <v>153</v>
      </c>
      <c r="E1216" s="0" t="n">
        <v>26</v>
      </c>
      <c r="F1216" s="0" t="n">
        <v>1</v>
      </c>
      <c r="G1216" s="1"/>
      <c r="H1216" s="1"/>
      <c r="I1216" s="0" t="n">
        <f aca="false">64+3.1</f>
        <v>67.1</v>
      </c>
      <c r="J1216" s="0" t="n">
        <f aca="false">(I1216/32)*5</f>
        <v>10.484375</v>
      </c>
      <c r="L1216" s="3" t="n">
        <v>18</v>
      </c>
      <c r="M1216" s="3" t="n">
        <v>0</v>
      </c>
      <c r="N1216" s="3" t="n">
        <f aca="false">L1216</f>
        <v>18</v>
      </c>
      <c r="O1216" s="3" t="n">
        <f aca="false">LOOKUP(L1216,$AB$3:$AC$123)</f>
        <v>1.0722</v>
      </c>
      <c r="P1216" s="3" t="n">
        <f aca="false">(O1216*(N1216/100)*(J1216/1000))*1000</f>
        <v>2.0234424375</v>
      </c>
      <c r="Q1216" s="3"/>
      <c r="R1216" s="3" t="n">
        <v>6</v>
      </c>
      <c r="S1216" s="3" t="n">
        <v>16.2</v>
      </c>
      <c r="T1216" s="0" t="n">
        <f aca="false">(S1216/32)*5</f>
        <v>2.53125</v>
      </c>
      <c r="V1216" s="3" t="n">
        <v>27</v>
      </c>
      <c r="W1216" s="3" t="n">
        <v>4</v>
      </c>
      <c r="X1216" s="3" t="n">
        <f aca="false">LOOKUP(V1216,$AB$3:$AC$123)</f>
        <v>1.1128</v>
      </c>
      <c r="Y1216" s="2" t="n">
        <f aca="false">(V1216*((W1216+T1216)/1000)*X1216)/((((W1216+T1216)/1000)*X1216)-((W1216/1000)*0.9982))</f>
        <v>59.9159815887701</v>
      </c>
      <c r="Z1216" s="3" t="n">
        <f aca="false">(X1216*(V1216/100)*((W1216+T1216)/1000))*1000</f>
        <v>1.96235325</v>
      </c>
    </row>
    <row r="1217" customFormat="false" ht="15" hidden="false" customHeight="false" outlineLevel="0" collapsed="false">
      <c r="A1217" s="0" t="s">
        <v>61</v>
      </c>
      <c r="B1217" s="0" t="s">
        <v>62</v>
      </c>
      <c r="C1217" s="0" t="s">
        <v>56</v>
      </c>
      <c r="D1217" s="0" t="s">
        <v>153</v>
      </c>
      <c r="E1217" s="0" t="n">
        <v>26</v>
      </c>
      <c r="F1217" s="0" t="n">
        <v>4</v>
      </c>
      <c r="G1217" s="1"/>
      <c r="H1217" s="1"/>
      <c r="I1217" s="0" t="n">
        <f aca="false">32*4+5.6</f>
        <v>133.6</v>
      </c>
      <c r="J1217" s="0" t="n">
        <f aca="false">(I1217/32)*5</f>
        <v>20.875</v>
      </c>
      <c r="L1217" s="3" t="n">
        <v>21.5</v>
      </c>
      <c r="M1217" s="3" t="n">
        <v>0</v>
      </c>
      <c r="N1217" s="3" t="n">
        <f aca="false">L1217</f>
        <v>21.5</v>
      </c>
      <c r="O1217" s="3" t="n">
        <f aca="false">LOOKUP(L1217,$AB$3:$AC$123)</f>
        <v>1.087675</v>
      </c>
      <c r="P1217" s="3" t="n">
        <f aca="false">(O1217*(N1217/100)*(J1217/1000))*1000</f>
        <v>4.881621359375</v>
      </c>
      <c r="Q1217" s="3"/>
      <c r="R1217" s="3" t="n">
        <v>9</v>
      </c>
      <c r="S1217" s="3" t="n">
        <v>22.2</v>
      </c>
      <c r="T1217" s="0" t="n">
        <f aca="false">(S1217/32)*5</f>
        <v>3.46875</v>
      </c>
      <c r="V1217" s="3" t="n">
        <v>34</v>
      </c>
      <c r="W1217" s="3" t="n">
        <v>4</v>
      </c>
      <c r="X1217" s="3" t="n">
        <f aca="false">LOOKUP(V1217,$AB$3:$AC$123)</f>
        <v>1.1464</v>
      </c>
      <c r="Y1217" s="2" t="n">
        <f aca="false">(V1217*((W1217+T1217)/1000)*X1217)/((((W1217+T1217)/1000)*X1217)-((W1217/1000)*0.9982))</f>
        <v>63.7097961975106</v>
      </c>
      <c r="Z1217" s="3" t="n">
        <f aca="false">(X1217*(V1217/100)*((W1217+T1217)/1000))*1000</f>
        <v>2.9111395</v>
      </c>
    </row>
    <row r="1218" customFormat="false" ht="15" hidden="false" customHeight="false" outlineLevel="0" collapsed="false">
      <c r="A1218" s="0" t="s">
        <v>63</v>
      </c>
      <c r="B1218" s="0" t="s">
        <v>64</v>
      </c>
      <c r="C1218" s="0" t="s">
        <v>56</v>
      </c>
      <c r="D1218" s="0" t="s">
        <v>153</v>
      </c>
      <c r="E1218" s="0" t="n">
        <v>26</v>
      </c>
      <c r="F1218" s="0" t="n">
        <v>0</v>
      </c>
      <c r="G1218" s="1"/>
      <c r="H1218" s="1"/>
      <c r="I1218" s="0" t="n">
        <v>0</v>
      </c>
      <c r="J1218" s="0" t="n">
        <f aca="false">(I1218/32)*5</f>
        <v>0</v>
      </c>
      <c r="L1218" s="3" t="n">
        <v>0</v>
      </c>
      <c r="M1218" s="3" t="n">
        <v>0</v>
      </c>
      <c r="N1218" s="3" t="n">
        <f aca="false">L1218</f>
        <v>0</v>
      </c>
      <c r="O1218" s="3" t="n">
        <v>0</v>
      </c>
      <c r="P1218" s="3" t="n">
        <f aca="false">(O1218*(N1218/100)*(J1218/1000))*1000</f>
        <v>0</v>
      </c>
      <c r="Q1218" s="3"/>
      <c r="R1218" s="3" t="n">
        <v>2</v>
      </c>
      <c r="S1218" s="3" t="n">
        <v>1.9</v>
      </c>
      <c r="T1218" s="0" t="n">
        <f aca="false">(S1218/32)*5</f>
        <v>0.296875</v>
      </c>
      <c r="V1218" s="3" t="n">
        <v>3</v>
      </c>
      <c r="W1218" s="3" t="n">
        <v>4</v>
      </c>
      <c r="X1218" s="3" t="n">
        <f aca="false">LOOKUP(V1218,$AB$3:$AC$123)</f>
        <v>1.0099</v>
      </c>
      <c r="Y1218" s="2" t="n">
        <f aca="false">(V1218*((W1218+T1218)/1000)*X1218)/((((W1218+T1218)/1000)*X1218)-((W1218/1000)*0.9982))</f>
        <v>37.5583208990547</v>
      </c>
      <c r="Z1218" s="3" t="n">
        <f aca="false">(X1218*(V1218/100)*((W1218+T1218)/1000))*1000</f>
        <v>0.130182421875</v>
      </c>
    </row>
    <row r="1219" customFormat="false" ht="15" hidden="false" customHeight="false" outlineLevel="0" collapsed="false">
      <c r="A1219" s="0" t="s">
        <v>65</v>
      </c>
      <c r="B1219" s="0" t="s">
        <v>66</v>
      </c>
      <c r="C1219" s="0" t="s">
        <v>56</v>
      </c>
      <c r="D1219" s="0" t="s">
        <v>153</v>
      </c>
      <c r="E1219" s="0" t="n">
        <v>26</v>
      </c>
      <c r="F1219" s="0" t="n">
        <v>2</v>
      </c>
      <c r="G1219" s="1"/>
      <c r="H1219" s="1"/>
      <c r="I1219" s="0" t="n">
        <v>75</v>
      </c>
      <c r="J1219" s="0" t="n">
        <f aca="false">(I1219/32)*5</f>
        <v>11.71875</v>
      </c>
      <c r="L1219" s="3" t="n">
        <v>24.5</v>
      </c>
      <c r="M1219" s="3" t="n">
        <v>0</v>
      </c>
      <c r="N1219" s="3" t="n">
        <f aca="false">L1219</f>
        <v>24.5</v>
      </c>
      <c r="O1219" s="3" t="n">
        <f aca="false">LOOKUP(L1219,$AB$3:$AC$123)</f>
        <v>1.101275</v>
      </c>
      <c r="P1219" s="3" t="n">
        <f aca="false">(O1219*(N1219/100)*(J1219/1000))*1000</f>
        <v>3.16186376953125</v>
      </c>
      <c r="Q1219" s="3"/>
      <c r="R1219" s="3" t="n">
        <v>6</v>
      </c>
      <c r="S1219" s="3" t="n">
        <v>20.4</v>
      </c>
      <c r="T1219" s="0" t="n">
        <f aca="false">(S1219/32)*5</f>
        <v>3.1875</v>
      </c>
      <c r="V1219" s="3" t="n">
        <v>29.5</v>
      </c>
      <c r="W1219" s="3" t="n">
        <v>4</v>
      </c>
      <c r="X1219" s="3" t="n">
        <f aca="false">LOOKUP(V1219,$AB$3:$AC$123)</f>
        <v>1.124625</v>
      </c>
      <c r="Y1219" s="2" t="n">
        <f aca="false">(V1219*((W1219+T1219)/1000)*X1219)/((((W1219+T1219)/1000)*X1219)-((W1219/1000)*0.9982))</f>
        <v>58.2958109663419</v>
      </c>
      <c r="Z1219" s="3" t="n">
        <f aca="false">(X1219*(V1219/100)*((W1219+T1219)/1000))*1000</f>
        <v>2.3845564453125</v>
      </c>
    </row>
    <row r="1220" customFormat="false" ht="15" hidden="false" customHeight="false" outlineLevel="0" collapsed="false">
      <c r="A1220" s="0" t="s">
        <v>67</v>
      </c>
      <c r="B1220" s="0" t="s">
        <v>68</v>
      </c>
      <c r="C1220" s="0" t="s">
        <v>56</v>
      </c>
      <c r="D1220" s="0" t="s">
        <v>153</v>
      </c>
      <c r="E1220" s="0" t="n">
        <v>26</v>
      </c>
      <c r="F1220" s="0" t="n">
        <v>4</v>
      </c>
      <c r="G1220" s="1"/>
      <c r="H1220" s="1"/>
      <c r="I1220" s="0" t="n">
        <f aca="false">32*8+20.8</f>
        <v>276.8</v>
      </c>
      <c r="J1220" s="0" t="n">
        <f aca="false">(I1220/32)*5</f>
        <v>43.25</v>
      </c>
      <c r="L1220" s="3" t="n">
        <v>23</v>
      </c>
      <c r="M1220" s="3" t="n">
        <v>0</v>
      </c>
      <c r="N1220" s="3" t="n">
        <f aca="false">L1220</f>
        <v>23</v>
      </c>
      <c r="O1220" s="3" t="n">
        <f aca="false">LOOKUP(L1220,$AB$3:$AC$123)</f>
        <v>1.09445</v>
      </c>
      <c r="P1220" s="3" t="n">
        <f aca="false">(O1220*(N1220/100)*(J1220/1000))*1000</f>
        <v>10.887041375</v>
      </c>
      <c r="Q1220" s="3"/>
      <c r="R1220" s="3" t="n">
        <v>7</v>
      </c>
      <c r="S1220" s="3" t="n">
        <v>15.2</v>
      </c>
      <c r="T1220" s="0" t="n">
        <f aca="false">(S1220/32)*5</f>
        <v>2.375</v>
      </c>
      <c r="V1220" s="3" t="n">
        <v>33</v>
      </c>
      <c r="W1220" s="3" t="n">
        <v>4</v>
      </c>
      <c r="X1220" s="3" t="n">
        <f aca="false">LOOKUP(V1220,$AB$3:$AC$123)</f>
        <v>1.1415</v>
      </c>
      <c r="Y1220" s="2" t="n">
        <f aca="false">(V1220*((W1220+T1220)/1000)*X1220)/((((W1220+T1220)/1000)*X1220)-((W1220/1000)*0.9982))</f>
        <v>73.1193266372588</v>
      </c>
      <c r="Z1220" s="3" t="n">
        <f aca="false">(X1220*(V1220/100)*((W1220+T1220)/1000))*1000</f>
        <v>2.401430625</v>
      </c>
    </row>
    <row r="1221" customFormat="false" ht="15" hidden="false" customHeight="false" outlineLevel="0" collapsed="false">
      <c r="A1221" s="0" t="s">
        <v>69</v>
      </c>
      <c r="B1221" s="0" t="s">
        <v>70</v>
      </c>
      <c r="C1221" s="0" t="s">
        <v>56</v>
      </c>
      <c r="D1221" s="0" t="s">
        <v>153</v>
      </c>
      <c r="E1221" s="0" t="n">
        <v>26</v>
      </c>
      <c r="F1221" s="0" t="n">
        <v>2</v>
      </c>
      <c r="G1221" s="1"/>
      <c r="H1221" s="1"/>
      <c r="I1221" s="0" t="n">
        <f aca="false">32*3+21.2</f>
        <v>117.2</v>
      </c>
      <c r="J1221" s="0" t="n">
        <f aca="false">(I1221/32)*5</f>
        <v>18.3125</v>
      </c>
      <c r="L1221" s="3" t="n">
        <v>24</v>
      </c>
      <c r="M1221" s="3" t="n">
        <v>0</v>
      </c>
      <c r="N1221" s="3" t="n">
        <f aca="false">L1221</f>
        <v>24</v>
      </c>
      <c r="O1221" s="3" t="n">
        <f aca="false">LOOKUP(L1221,$AB$3:$AC$123)</f>
        <v>1.099</v>
      </c>
      <c r="P1221" s="3" t="n">
        <f aca="false">(O1221*(N1221/100)*(J1221/1000))*1000</f>
        <v>4.830105</v>
      </c>
      <c r="Q1221" s="3"/>
      <c r="R1221" s="3" t="n">
        <v>8</v>
      </c>
      <c r="S1221" s="3" t="n">
        <v>26.8</v>
      </c>
      <c r="T1221" s="0" t="n">
        <f aca="false">(S1221/32)*5</f>
        <v>4.1875</v>
      </c>
      <c r="V1221" s="3" t="n">
        <v>36</v>
      </c>
      <c r="W1221" s="3" t="n">
        <v>4</v>
      </c>
      <c r="X1221" s="3" t="n">
        <f aca="false">LOOKUP(V1221,$AB$3:$AC$123)</f>
        <v>1.1562</v>
      </c>
      <c r="Y1221" s="2" t="n">
        <f aca="false">(V1221*((W1221+T1221)/1000)*X1221)/((((W1221+T1221)/1000)*X1221)-((W1221/1000)*0.9982))</f>
        <v>62.2608024444663</v>
      </c>
      <c r="Z1221" s="3" t="n">
        <f aca="false">(X1221*(V1221/100)*((W1221+T1221)/1000))*1000</f>
        <v>3.4078995</v>
      </c>
    </row>
    <row r="1222" customFormat="false" ht="15" hidden="false" customHeight="false" outlineLevel="0" collapsed="false">
      <c r="A1222" s="0" t="s">
        <v>71</v>
      </c>
      <c r="B1222" s="0" t="s">
        <v>72</v>
      </c>
      <c r="C1222" s="0" t="s">
        <v>56</v>
      </c>
      <c r="D1222" s="0" t="s">
        <v>153</v>
      </c>
      <c r="E1222" s="0" t="n">
        <v>26</v>
      </c>
      <c r="F1222" s="0" t="n">
        <v>1</v>
      </c>
      <c r="G1222" s="1"/>
      <c r="H1222" s="1"/>
      <c r="I1222" s="0" t="n">
        <v>21.7</v>
      </c>
      <c r="J1222" s="0" t="n">
        <f aca="false">(I1222/32)*5</f>
        <v>3.390625</v>
      </c>
      <c r="L1222" s="3" t="n">
        <v>18</v>
      </c>
      <c r="M1222" s="3" t="n">
        <v>0</v>
      </c>
      <c r="N1222" s="3" t="n">
        <f aca="false">L1222</f>
        <v>18</v>
      </c>
      <c r="O1222" s="3" t="n">
        <f aca="false">LOOKUP(L1222,$AB$3:$AC$123)</f>
        <v>1.0722</v>
      </c>
      <c r="P1222" s="3" t="n">
        <f aca="false">(O1222*(N1222/100)*(J1222/1000))*1000</f>
        <v>0.6543770625</v>
      </c>
      <c r="Q1222" s="3"/>
      <c r="R1222" s="3" t="n">
        <v>3</v>
      </c>
      <c r="S1222" s="3" t="n">
        <v>4.9</v>
      </c>
      <c r="T1222" s="0" t="n">
        <f aca="false">(S1222/32)*5</f>
        <v>0.765625</v>
      </c>
      <c r="V1222" s="3" t="n">
        <v>6</v>
      </c>
      <c r="W1222" s="3" t="n">
        <v>4</v>
      </c>
      <c r="X1222" s="3" t="n">
        <f aca="false">LOOKUP(V1222,$AB$3:$AC$123)</f>
        <v>1.0218</v>
      </c>
      <c r="Y1222" s="2" t="n">
        <f aca="false">(V1222*((W1222+T1222)/1000)*X1222)/((((W1222+T1222)/1000)*X1222)-((W1222/1000)*0.9982))</f>
        <v>33.3256222620647</v>
      </c>
      <c r="Z1222" s="3" t="n">
        <f aca="false">(X1222*(V1222/100)*((W1222+T1222)/1000))*1000</f>
        <v>0.2921709375</v>
      </c>
    </row>
    <row r="1223" customFormat="false" ht="15" hidden="false" customHeight="false" outlineLevel="0" collapsed="false">
      <c r="A1223" s="0" t="s">
        <v>73</v>
      </c>
      <c r="B1223" s="0" t="s">
        <v>74</v>
      </c>
      <c r="C1223" s="0" t="s">
        <v>56</v>
      </c>
      <c r="D1223" s="0" t="s">
        <v>153</v>
      </c>
      <c r="E1223" s="0" t="n">
        <v>26</v>
      </c>
      <c r="F1223" s="0" t="n">
        <v>1</v>
      </c>
      <c r="G1223" s="1"/>
      <c r="H1223" s="1"/>
      <c r="I1223" s="0" t="n">
        <v>42.1</v>
      </c>
      <c r="J1223" s="0" t="n">
        <f aca="false">(I1223/32)*5</f>
        <v>6.578125</v>
      </c>
      <c r="L1223" s="3" t="n">
        <v>19</v>
      </c>
      <c r="M1223" s="3" t="n">
        <v>0</v>
      </c>
      <c r="N1223" s="3" t="n">
        <f aca="false">L1223</f>
        <v>19</v>
      </c>
      <c r="O1223" s="3" t="n">
        <f aca="false">LOOKUP(L1223,$AB$3:$AC$123)</f>
        <v>1.0765</v>
      </c>
      <c r="P1223" s="3" t="n">
        <f aca="false">(O1223*(N1223/100)*(J1223/1000))*1000</f>
        <v>1.345456796875</v>
      </c>
      <c r="Q1223" s="3"/>
      <c r="R1223" s="3" t="n">
        <v>3</v>
      </c>
      <c r="S1223" s="3" t="n">
        <v>6.5</v>
      </c>
      <c r="T1223" s="0" t="n">
        <f aca="false">(S1223/32)*5</f>
        <v>1.015625</v>
      </c>
      <c r="V1223" s="3" t="n">
        <v>8</v>
      </c>
      <c r="W1223" s="3" t="n">
        <v>4</v>
      </c>
      <c r="X1223" s="3" t="n">
        <f aca="false">LOOKUP(V1223,$AB$3:$AC$123)</f>
        <v>1.0299</v>
      </c>
      <c r="Y1223" s="2" t="n">
        <f aca="false">(V1223*((W1223+T1223)/1000)*X1223)/((((W1223+T1223)/1000)*X1223)-((W1223/1000)*0.9982))</f>
        <v>35.2361978025199</v>
      </c>
      <c r="Z1223" s="3" t="n">
        <f aca="false">(X1223*(V1223/100)*((W1223+T1223)/1000))*1000</f>
        <v>0.413247375</v>
      </c>
    </row>
    <row r="1224" customFormat="false" ht="15" hidden="false" customHeight="false" outlineLevel="0" collapsed="false">
      <c r="A1224" s="0" t="s">
        <v>75</v>
      </c>
      <c r="B1224" s="0" t="s">
        <v>76</v>
      </c>
      <c r="C1224" s="0" t="s">
        <v>56</v>
      </c>
      <c r="D1224" s="0" t="s">
        <v>153</v>
      </c>
      <c r="E1224" s="0" t="n">
        <v>26</v>
      </c>
      <c r="F1224" s="0" t="n">
        <v>5</v>
      </c>
      <c r="G1224" s="1"/>
      <c r="H1224" s="1"/>
      <c r="I1224" s="0" t="n">
        <f aca="false">32+27.2+26.7</f>
        <v>85.9</v>
      </c>
      <c r="J1224" s="0" t="n">
        <f aca="false">(I1224/32)*5</f>
        <v>13.421875</v>
      </c>
      <c r="L1224" s="3" t="n">
        <v>21</v>
      </c>
      <c r="M1224" s="3" t="n">
        <v>0</v>
      </c>
      <c r="N1224" s="3" t="n">
        <f aca="false">L1224</f>
        <v>21</v>
      </c>
      <c r="O1224" s="3" t="n">
        <f aca="false">LOOKUP(L1224,$AB$3:$AC$123)</f>
        <v>1.08545</v>
      </c>
      <c r="P1224" s="3" t="n">
        <f aca="false">(O1224*(N1224/100)*(J1224/1000))*1000</f>
        <v>3.0594425859375</v>
      </c>
      <c r="Q1224" s="3"/>
      <c r="R1224" s="3" t="n">
        <v>11</v>
      </c>
      <c r="S1224" s="3" t="n">
        <v>29.3</v>
      </c>
      <c r="T1224" s="0" t="n">
        <f aca="false">(S1224/32)*5</f>
        <v>4.578125</v>
      </c>
      <c r="V1224" s="3" t="n">
        <v>25</v>
      </c>
      <c r="W1224" s="3" t="n">
        <v>4</v>
      </c>
      <c r="X1224" s="3" t="n">
        <f aca="false">LOOKUP(V1224,$AB$3:$AC$123)</f>
        <v>1.10355</v>
      </c>
      <c r="Y1224" s="2" t="n">
        <f aca="false">(V1224*((W1224+T1224)/1000)*X1224)/((((W1224+T1224)/1000)*X1224)-((W1224/1000)*0.9982))</f>
        <v>43.2366605554085</v>
      </c>
      <c r="Z1224" s="3" t="n">
        <f aca="false">(X1224*(V1224/100)*((W1224+T1224)/1000))*1000</f>
        <v>2.3665974609375</v>
      </c>
    </row>
    <row r="1225" customFormat="false" ht="15" hidden="false" customHeight="false" outlineLevel="0" collapsed="false">
      <c r="A1225" s="0" t="s">
        <v>77</v>
      </c>
      <c r="B1225" s="0" t="s">
        <v>78</v>
      </c>
      <c r="C1225" s="0" t="s">
        <v>56</v>
      </c>
      <c r="D1225" s="0" t="s">
        <v>153</v>
      </c>
      <c r="E1225" s="0" t="n">
        <v>26</v>
      </c>
      <c r="F1225" s="0" t="n">
        <v>2</v>
      </c>
      <c r="G1225" s="1"/>
      <c r="H1225" s="1"/>
      <c r="I1225" s="0" t="n">
        <f aca="false">32+19.4</f>
        <v>51.4</v>
      </c>
      <c r="J1225" s="0" t="n">
        <f aca="false">(I1225/32)*5</f>
        <v>8.03125</v>
      </c>
      <c r="L1225" s="3" t="n">
        <v>20</v>
      </c>
      <c r="M1225" s="3" t="n">
        <v>0</v>
      </c>
      <c r="N1225" s="3" t="n">
        <f aca="false">L1225</f>
        <v>20</v>
      </c>
      <c r="O1225" s="3" t="n">
        <f aca="false">LOOKUP(L1225,$AB$3:$AC$123)</f>
        <v>1.081</v>
      </c>
      <c r="P1225" s="3" t="n">
        <f aca="false">(O1225*(N1225/100)*(J1225/1000))*1000</f>
        <v>1.73635625</v>
      </c>
      <c r="Q1225" s="3"/>
      <c r="R1225" s="3" t="n">
        <v>4</v>
      </c>
      <c r="S1225" s="3" t="n">
        <v>10.2</v>
      </c>
      <c r="T1225" s="0" t="n">
        <f aca="false">(S1225/32)*5</f>
        <v>1.59375</v>
      </c>
      <c r="V1225" s="3" t="n">
        <v>12</v>
      </c>
      <c r="W1225" s="3" t="n">
        <v>4</v>
      </c>
      <c r="X1225" s="3" t="n">
        <f aca="false">LOOKUP(V1225,$AB$3:$AC$123)</f>
        <v>1.0465</v>
      </c>
      <c r="Y1225" s="2" t="n">
        <f aca="false">(V1225*((W1225+T1225)/1000)*X1225)/((((W1225+T1225)/1000)*X1225)-((W1225/1000)*0.9982))</f>
        <v>37.7453365774534</v>
      </c>
      <c r="Z1225" s="3" t="n">
        <f aca="false">(X1225*(V1225/100)*((W1225+T1225)/1000))*1000</f>
        <v>0.702463125</v>
      </c>
    </row>
    <row r="1226" customFormat="false" ht="15" hidden="false" customHeight="false" outlineLevel="0" collapsed="false">
      <c r="A1226" s="0" t="s">
        <v>79</v>
      </c>
      <c r="B1226" s="0" t="s">
        <v>80</v>
      </c>
      <c r="C1226" s="0" t="s">
        <v>81</v>
      </c>
      <c r="D1226" s="0" t="s">
        <v>153</v>
      </c>
      <c r="E1226" s="0" t="n">
        <v>26</v>
      </c>
      <c r="F1226" s="0" t="n">
        <v>0</v>
      </c>
      <c r="G1226" s="1"/>
      <c r="H1226" s="1"/>
      <c r="I1226" s="0" t="n">
        <v>0</v>
      </c>
      <c r="J1226" s="0" t="n">
        <f aca="false">(I1226/32)*5</f>
        <v>0</v>
      </c>
      <c r="L1226" s="3" t="n">
        <v>0</v>
      </c>
      <c r="M1226" s="3" t="n">
        <v>0</v>
      </c>
      <c r="N1226" s="3" t="n">
        <f aca="false">L1226</f>
        <v>0</v>
      </c>
      <c r="O1226" s="3" t="n">
        <v>0</v>
      </c>
      <c r="P1226" s="3" t="n">
        <f aca="false">(O1226*(N1226/100)*(J1226/1000))*1000</f>
        <v>0</v>
      </c>
      <c r="Q1226" s="3"/>
      <c r="R1226" s="3" t="n">
        <v>4</v>
      </c>
      <c r="S1226" s="3" t="n">
        <v>14.1</v>
      </c>
      <c r="T1226" s="0" t="n">
        <f aca="false">(S1226/32)*5</f>
        <v>2.203125</v>
      </c>
      <c r="V1226" s="3" t="n">
        <v>23</v>
      </c>
      <c r="W1226" s="3" t="n">
        <v>4</v>
      </c>
      <c r="X1226" s="3" t="n">
        <f aca="false">LOOKUP(V1226,$AB$3:$AC$123)</f>
        <v>1.09445</v>
      </c>
      <c r="Y1226" s="2" t="n">
        <f aca="false">(V1226*((W1226+T1226)/1000)*X1226)/((((W1226+T1226)/1000)*X1226)-((W1226/1000)*0.9982))</f>
        <v>55.8424527729916</v>
      </c>
      <c r="Z1226" s="3" t="n">
        <f aca="false">(X1226*(V1226/100)*((W1226+T1226)/1000))*1000</f>
        <v>1.5614723359375</v>
      </c>
    </row>
    <row r="1227" customFormat="false" ht="15" hidden="false" customHeight="false" outlineLevel="0" collapsed="false">
      <c r="A1227" s="0" t="s">
        <v>82</v>
      </c>
      <c r="B1227" s="0" t="s">
        <v>83</v>
      </c>
      <c r="C1227" s="0" t="s">
        <v>81</v>
      </c>
      <c r="D1227" s="0" t="s">
        <v>153</v>
      </c>
      <c r="E1227" s="0" t="n">
        <v>26</v>
      </c>
      <c r="F1227" s="0" t="n">
        <v>0</v>
      </c>
      <c r="G1227" s="1"/>
      <c r="H1227" s="1"/>
      <c r="I1227" s="0" t="n">
        <v>0</v>
      </c>
      <c r="J1227" s="0" t="n">
        <f aca="false">(I1227/32)*5</f>
        <v>0</v>
      </c>
      <c r="L1227" s="3" t="n">
        <v>0</v>
      </c>
      <c r="M1227" s="3" t="n">
        <v>0</v>
      </c>
      <c r="N1227" s="3" t="n">
        <f aca="false">L1227</f>
        <v>0</v>
      </c>
      <c r="O1227" s="3" t="n">
        <v>0</v>
      </c>
      <c r="P1227" s="3" t="n">
        <f aca="false">(O1227*(N1227/100)*(J1227/1000))*1000</f>
        <v>0</v>
      </c>
      <c r="Q1227" s="3"/>
      <c r="R1227" s="3" t="n">
        <v>4</v>
      </c>
      <c r="S1227" s="3" t="n">
        <v>14.2</v>
      </c>
      <c r="T1227" s="0" t="n">
        <f aca="false">(S1227/32)*5</f>
        <v>2.21875</v>
      </c>
      <c r="V1227" s="3" t="n">
        <v>23.5</v>
      </c>
      <c r="W1227" s="3" t="n">
        <v>4</v>
      </c>
      <c r="X1227" s="3" t="n">
        <f aca="false">LOOKUP(V1227,$AB$3:$AC$123)</f>
        <v>1.096725</v>
      </c>
      <c r="Y1227" s="2" t="n">
        <f aca="false">(V1227*((W1227+T1227)/1000)*X1227)/((((W1227+T1227)/1000)*X1227)-((W1227/1000)*0.9982))</f>
        <v>56.685561128078</v>
      </c>
      <c r="Z1227" s="3" t="n">
        <f aca="false">(X1227*(V1227/100)*((W1227+T1227)/1000))*1000</f>
        <v>1.60276076953125</v>
      </c>
    </row>
    <row r="1228" customFormat="false" ht="15" hidden="false" customHeight="false" outlineLevel="0" collapsed="false">
      <c r="A1228" s="0" t="s">
        <v>84</v>
      </c>
      <c r="B1228" s="0" t="s">
        <v>85</v>
      </c>
      <c r="C1228" s="0" t="s">
        <v>81</v>
      </c>
      <c r="D1228" s="0" t="s">
        <v>153</v>
      </c>
      <c r="E1228" s="0" t="n">
        <v>26</v>
      </c>
      <c r="F1228" s="0" t="n">
        <v>2</v>
      </c>
      <c r="G1228" s="1"/>
      <c r="H1228" s="1"/>
      <c r="I1228" s="0" t="n">
        <f aca="false">32*3</f>
        <v>96</v>
      </c>
      <c r="J1228" s="0" t="n">
        <f aca="false">(I1228/32)*5</f>
        <v>15</v>
      </c>
      <c r="L1228" s="3" t="n">
        <v>19</v>
      </c>
      <c r="M1228" s="3" t="n">
        <v>0</v>
      </c>
      <c r="N1228" s="3" t="n">
        <f aca="false">L1228</f>
        <v>19</v>
      </c>
      <c r="O1228" s="3" t="n">
        <f aca="false">LOOKUP(L1228,$AB$3:$AC$123)</f>
        <v>1.0765</v>
      </c>
      <c r="P1228" s="3" t="n">
        <f aca="false">(O1228*(N1228/100)*(J1228/1000))*1000</f>
        <v>3.068025</v>
      </c>
      <c r="Q1228" s="3"/>
      <c r="R1228" s="3" t="n">
        <v>4</v>
      </c>
      <c r="S1228" s="3" t="n">
        <v>17.1</v>
      </c>
      <c r="T1228" s="0" t="n">
        <f aca="false">(S1228/32)*5</f>
        <v>2.671875</v>
      </c>
      <c r="V1228" s="3" t="n">
        <v>31</v>
      </c>
      <c r="W1228" s="3" t="n">
        <v>4</v>
      </c>
      <c r="X1228" s="3" t="n">
        <f aca="false">LOOKUP(V1228,$AB$3:$AC$123)</f>
        <v>1.1318</v>
      </c>
      <c r="Y1228" s="2" t="n">
        <f aca="false">(V1228*((W1228+T1228)/1000)*X1228)/((((W1228+T1228)/1000)*X1228)-((W1228/1000)*0.9982))</f>
        <v>65.7841225541123</v>
      </c>
      <c r="Z1228" s="3" t="n">
        <f aca="false">(X1228*(V1228/100)*((W1228+T1228)/1000))*1000</f>
        <v>2.34088071875</v>
      </c>
    </row>
    <row r="1229" customFormat="false" ht="15" hidden="false" customHeight="false" outlineLevel="0" collapsed="false">
      <c r="A1229" s="0" t="s">
        <v>86</v>
      </c>
      <c r="B1229" s="0" t="s">
        <v>87</v>
      </c>
      <c r="C1229" s="0" t="s">
        <v>81</v>
      </c>
      <c r="D1229" s="0" t="s">
        <v>153</v>
      </c>
      <c r="E1229" s="0" t="n">
        <v>26</v>
      </c>
      <c r="F1229" s="0" t="n">
        <v>1</v>
      </c>
      <c r="G1229" s="1"/>
      <c r="H1229" s="1"/>
      <c r="I1229" s="0" t="n">
        <f aca="false">64-10.7</f>
        <v>53.3</v>
      </c>
      <c r="J1229" s="0" t="n">
        <f aca="false">(I1229/32)*5</f>
        <v>8.328125</v>
      </c>
      <c r="L1229" s="3" t="n">
        <v>11</v>
      </c>
      <c r="M1229" s="3" t="n">
        <v>0</v>
      </c>
      <c r="N1229" s="3" t="n">
        <f aca="false">L1229</f>
        <v>11</v>
      </c>
      <c r="O1229" s="3" t="n">
        <f aca="false">LOOKUP(L1229,$AB$3:$AC$123)</f>
        <v>1.0423</v>
      </c>
      <c r="P1229" s="3" t="n">
        <f aca="false">(O1229*(N1229/100)*(J1229/1000))*1000</f>
        <v>0.954844515625</v>
      </c>
      <c r="Q1229" s="3"/>
      <c r="R1229" s="3" t="n">
        <v>5</v>
      </c>
      <c r="S1229" s="3" t="n">
        <v>17.1</v>
      </c>
      <c r="T1229" s="0" t="n">
        <f aca="false">(S1229/32)*5</f>
        <v>2.671875</v>
      </c>
      <c r="V1229" s="3" t="n">
        <v>25</v>
      </c>
      <c r="W1229" s="3" t="n">
        <v>4</v>
      </c>
      <c r="X1229" s="3" t="n">
        <f aca="false">LOOKUP(V1229,$AB$3:$AC$123)</f>
        <v>1.10355</v>
      </c>
      <c r="Y1229" s="2" t="n">
        <f aca="false">(V1229*((W1229+T1229)/1000)*X1229)/((((W1229+T1229)/1000)*X1229)-((W1229/1000)*0.9982))</f>
        <v>54.6206381172927</v>
      </c>
      <c r="Z1229" s="3" t="n">
        <f aca="false">(X1229*(V1229/100)*((W1229+T1229)/1000))*1000</f>
        <v>1.8406869140625</v>
      </c>
    </row>
    <row r="1230" customFormat="false" ht="15" hidden="false" customHeight="false" outlineLevel="0" collapsed="false">
      <c r="A1230" s="0" t="s">
        <v>88</v>
      </c>
      <c r="B1230" s="0" t="s">
        <v>89</v>
      </c>
      <c r="C1230" s="0" t="s">
        <v>81</v>
      </c>
      <c r="D1230" s="0" t="s">
        <v>153</v>
      </c>
      <c r="E1230" s="0" t="n">
        <v>26</v>
      </c>
      <c r="F1230" s="0" t="n">
        <v>1</v>
      </c>
      <c r="G1230" s="1"/>
      <c r="H1230" s="1"/>
      <c r="I1230" s="0" t="n">
        <v>64</v>
      </c>
      <c r="J1230" s="0" t="n">
        <f aca="false">(I1230/32)*5</f>
        <v>10</v>
      </c>
      <c r="L1230" s="3" t="n">
        <v>26</v>
      </c>
      <c r="M1230" s="3" t="n">
        <v>0</v>
      </c>
      <c r="N1230" s="3" t="n">
        <f aca="false">L1230</f>
        <v>26</v>
      </c>
      <c r="O1230" s="3" t="n">
        <f aca="false">LOOKUP(L1230,$AB$3:$AC$123)</f>
        <v>1.1081</v>
      </c>
      <c r="P1230" s="3" t="n">
        <f aca="false">(O1230*(N1230/100)*(J1230/1000))*1000</f>
        <v>2.88106</v>
      </c>
      <c r="Q1230" s="3"/>
      <c r="R1230" s="3" t="n">
        <v>3</v>
      </c>
      <c r="S1230" s="3" t="n">
        <v>12.4</v>
      </c>
      <c r="T1230" s="0" t="n">
        <f aca="false">(S1230/32)*5</f>
        <v>1.9375</v>
      </c>
      <c r="V1230" s="3" t="n">
        <v>18.5</v>
      </c>
      <c r="W1230" s="3" t="n">
        <v>4</v>
      </c>
      <c r="X1230" s="3" t="n">
        <f aca="false">LOOKUP(V1230,$AB$3:$AC$123)</f>
        <v>1.07435</v>
      </c>
      <c r="Y1230" s="2" t="n">
        <f aca="false">(V1230*((W1230+T1230)/1000)*X1230)/((((W1230+T1230)/1000)*X1230)-((W1230/1000)*0.9982))</f>
        <v>49.4564374666861</v>
      </c>
      <c r="Z1230" s="3" t="n">
        <f aca="false">(X1230*(V1230/100)*((W1230+T1230)/1000))*1000</f>
        <v>1.180106328125</v>
      </c>
    </row>
    <row r="1231" customFormat="false" ht="15" hidden="false" customHeight="false" outlineLevel="0" collapsed="false">
      <c r="A1231" s="0" t="s">
        <v>90</v>
      </c>
      <c r="B1231" s="0" t="s">
        <v>91</v>
      </c>
      <c r="C1231" s="0" t="s">
        <v>81</v>
      </c>
      <c r="D1231" s="0" t="s">
        <v>153</v>
      </c>
      <c r="E1231" s="0" t="n">
        <v>26</v>
      </c>
      <c r="F1231" s="0" t="n">
        <v>2</v>
      </c>
      <c r="G1231" s="1"/>
      <c r="H1231" s="1"/>
      <c r="I1231" s="0" t="n">
        <f aca="false">32*4+17.1</f>
        <v>145.1</v>
      </c>
      <c r="J1231" s="0" t="n">
        <f aca="false">(I1231/32)*5</f>
        <v>22.671875</v>
      </c>
      <c r="L1231" s="3" t="n">
        <v>19</v>
      </c>
      <c r="M1231" s="3" t="n">
        <v>0</v>
      </c>
      <c r="N1231" s="3" t="n">
        <f aca="false">L1231</f>
        <v>19</v>
      </c>
      <c r="O1231" s="3" t="n">
        <f aca="false">LOOKUP(L1231,$AB$3:$AC$123)</f>
        <v>1.0765</v>
      </c>
      <c r="P1231" s="3" t="n">
        <f aca="false">(O1231*(N1231/100)*(J1231/1000))*1000</f>
        <v>4.637191953125</v>
      </c>
      <c r="Q1231" s="3"/>
      <c r="R1231" s="3" t="n">
        <v>3</v>
      </c>
      <c r="S1231" s="3" t="n">
        <v>11</v>
      </c>
      <c r="T1231" s="0" t="n">
        <f aca="false">(S1231/32)*5</f>
        <v>1.71875</v>
      </c>
      <c r="V1231" s="3" t="n">
        <v>20</v>
      </c>
      <c r="W1231" s="3" t="n">
        <v>4</v>
      </c>
      <c r="X1231" s="3" t="n">
        <f aca="false">LOOKUP(V1231,$AB$3:$AC$123)</f>
        <v>1.081</v>
      </c>
      <c r="Y1231" s="2" t="n">
        <f aca="false">(V1231*((W1231+T1231)/1000)*X1231)/((((W1231+T1231)/1000)*X1231)-((W1231/1000)*0.9982))</f>
        <v>56.4777726705628</v>
      </c>
      <c r="Z1231" s="3" t="n">
        <f aca="false">(X1231*(V1231/100)*((W1231+T1231)/1000))*1000</f>
        <v>1.23639375</v>
      </c>
    </row>
    <row r="1232" customFormat="false" ht="15" hidden="false" customHeight="false" outlineLevel="0" collapsed="false">
      <c r="A1232" s="0" t="s">
        <v>92</v>
      </c>
      <c r="B1232" s="0" t="s">
        <v>93</v>
      </c>
      <c r="C1232" s="0" t="s">
        <v>81</v>
      </c>
      <c r="D1232" s="0" t="s">
        <v>153</v>
      </c>
      <c r="E1232" s="0" t="n">
        <v>26</v>
      </c>
      <c r="F1232" s="0" t="n">
        <v>3</v>
      </c>
      <c r="G1232" s="1"/>
      <c r="H1232" s="1"/>
      <c r="I1232" s="0" t="n">
        <v>96</v>
      </c>
      <c r="J1232" s="0" t="n">
        <f aca="false">(I1232/32)*5</f>
        <v>15</v>
      </c>
      <c r="L1232" s="3" t="n">
        <v>23</v>
      </c>
      <c r="M1232" s="3" t="n">
        <v>0</v>
      </c>
      <c r="N1232" s="3" t="n">
        <f aca="false">L1232</f>
        <v>23</v>
      </c>
      <c r="O1232" s="3" t="n">
        <f aca="false">LOOKUP(L1232,$AB$3:$AC$123)</f>
        <v>1.09445</v>
      </c>
      <c r="P1232" s="3" t="n">
        <f aca="false">(O1232*(N1232/100)*(J1232/1000))*1000</f>
        <v>3.7758525</v>
      </c>
      <c r="Q1232" s="3"/>
      <c r="R1232" s="3" t="n">
        <v>5</v>
      </c>
      <c r="S1232" s="3" t="n">
        <v>6.7</v>
      </c>
      <c r="T1232" s="0" t="n">
        <f aca="false">(S1232/32)*5</f>
        <v>1.046875</v>
      </c>
      <c r="V1232" s="3" t="n">
        <v>11.5</v>
      </c>
      <c r="W1232" s="3" t="n">
        <v>4</v>
      </c>
      <c r="X1232" s="3" t="n">
        <f aca="false">LOOKUP(V1232,$AB$3:$AC$123)</f>
        <v>1.0444</v>
      </c>
      <c r="Y1232" s="2" t="n">
        <f aca="false">(V1232*((W1232+T1232)/1000)*X1232)/((((W1232+T1232)/1000)*X1232)-((W1232/1000)*0.9982))</f>
        <v>47.4245593017286</v>
      </c>
      <c r="Z1232" s="3" t="n">
        <f aca="false">(X1232*(V1232/100)*((W1232+T1232)/1000))*1000</f>
        <v>0.60615996875</v>
      </c>
    </row>
    <row r="1233" customFormat="false" ht="15" hidden="false" customHeight="false" outlineLevel="0" collapsed="false">
      <c r="A1233" s="0" t="s">
        <v>94</v>
      </c>
      <c r="B1233" s="0" t="s">
        <v>95</v>
      </c>
      <c r="C1233" s="0" t="s">
        <v>81</v>
      </c>
      <c r="D1233" s="0" t="s">
        <v>153</v>
      </c>
      <c r="E1233" s="0" t="n">
        <v>26</v>
      </c>
      <c r="F1233" s="0" t="n">
        <v>6</v>
      </c>
      <c r="G1233" s="1"/>
      <c r="H1233" s="1"/>
      <c r="I1233" s="0" t="n">
        <f aca="false">32*8</f>
        <v>256</v>
      </c>
      <c r="J1233" s="0" t="n">
        <f aca="false">(I1233/32)*5</f>
        <v>40</v>
      </c>
      <c r="L1233" s="3" t="n">
        <v>23</v>
      </c>
      <c r="M1233" s="3" t="n">
        <v>0</v>
      </c>
      <c r="N1233" s="3" t="n">
        <f aca="false">L1233</f>
        <v>23</v>
      </c>
      <c r="O1233" s="3" t="n">
        <f aca="false">LOOKUP(L1233,$AB$3:$AC$123)</f>
        <v>1.09445</v>
      </c>
      <c r="P1233" s="3" t="n">
        <f aca="false">(O1233*(N1233/100)*(J1233/1000))*1000</f>
        <v>10.06894</v>
      </c>
      <c r="Q1233" s="3"/>
      <c r="R1233" s="3" t="n">
        <v>15</v>
      </c>
      <c r="S1233" s="0" t="n">
        <f aca="false">64+25.7-7.2</f>
        <v>82.5</v>
      </c>
      <c r="T1233" s="0" t="n">
        <f aca="false">(S1233/32)*5</f>
        <v>12.890625</v>
      </c>
      <c r="V1233" s="3" t="n">
        <v>43.5</v>
      </c>
      <c r="W1233" s="3" t="n">
        <v>8</v>
      </c>
      <c r="X1233" s="3" t="n">
        <f aca="false">LOOKUP(V1233,$AB$3:$AC$123)</f>
        <v>1.19465</v>
      </c>
      <c r="Y1233" s="2" t="n">
        <f aca="false">(V1233*((W1233+T1233)/1000)*X1233)/((((W1233+T1233)/1000)*X1233)-((W1233/1000)*0.9982))</f>
        <v>63.9681937745119</v>
      </c>
      <c r="Z1233" s="3" t="n">
        <f aca="false">(X1233*(V1233/100)*((W1233+T1233)/1000))*1000</f>
        <v>10.8562885429688</v>
      </c>
    </row>
    <row r="1234" customFormat="false" ht="15" hidden="false" customHeight="false" outlineLevel="0" collapsed="false">
      <c r="A1234" s="0" t="s">
        <v>96</v>
      </c>
      <c r="B1234" s="0" t="s">
        <v>97</v>
      </c>
      <c r="C1234" s="0" t="s">
        <v>81</v>
      </c>
      <c r="D1234" s="0" t="s">
        <v>153</v>
      </c>
      <c r="E1234" s="0" t="n">
        <v>26</v>
      </c>
      <c r="F1234" s="0" t="n">
        <v>0</v>
      </c>
      <c r="G1234" s="1"/>
      <c r="H1234" s="1"/>
      <c r="I1234" s="0" t="n">
        <v>0</v>
      </c>
      <c r="J1234" s="0" t="n">
        <f aca="false">(I1234/32)*5</f>
        <v>0</v>
      </c>
      <c r="L1234" s="3" t="n">
        <v>0</v>
      </c>
      <c r="M1234" s="3" t="n">
        <v>0</v>
      </c>
      <c r="N1234" s="3" t="n">
        <f aca="false">L1234</f>
        <v>0</v>
      </c>
      <c r="O1234" s="3" t="n">
        <v>0</v>
      </c>
      <c r="P1234" s="3" t="n">
        <f aca="false">(O1234*(N1234/100)*(J1234/1000))*1000</f>
        <v>0</v>
      </c>
      <c r="Q1234" s="3"/>
      <c r="R1234" s="3" t="n">
        <v>3</v>
      </c>
      <c r="S1234" s="3" t="n">
        <v>76.6</v>
      </c>
      <c r="T1234" s="0" t="n">
        <f aca="false">(S1234/32)*5</f>
        <v>11.96875</v>
      </c>
      <c r="V1234" s="3" t="n">
        <v>10</v>
      </c>
      <c r="W1234" s="3" t="n">
        <v>4</v>
      </c>
      <c r="X1234" s="3" t="n">
        <f aca="false">LOOKUP(V1234,$AB$3:$AC$123)</f>
        <v>1.0381</v>
      </c>
      <c r="Y1234" s="2" t="n">
        <f aca="false">(V1234*((W1234+T1234)/1000)*X1234)/((((W1234+T1234)/1000)*X1234)-((W1234/1000)*0.9982))</f>
        <v>13.1728273812111</v>
      </c>
      <c r="Z1234" s="3" t="n">
        <f aca="false">(X1234*(V1234/100)*((W1234+T1234)/1000))*1000</f>
        <v>1.6577159375</v>
      </c>
    </row>
    <row r="1235" customFormat="false" ht="15" hidden="false" customHeight="false" outlineLevel="0" collapsed="false">
      <c r="A1235" s="0" t="s">
        <v>98</v>
      </c>
      <c r="B1235" s="0" t="s">
        <v>99</v>
      </c>
      <c r="C1235" s="0" t="s">
        <v>81</v>
      </c>
      <c r="D1235" s="0" t="s">
        <v>153</v>
      </c>
      <c r="E1235" s="0" t="n">
        <v>26</v>
      </c>
      <c r="F1235" s="0" t="n">
        <v>3</v>
      </c>
      <c r="G1235" s="1"/>
      <c r="H1235" s="1"/>
      <c r="I1235" s="0" t="n">
        <f aca="false">26.2+32</f>
        <v>58.2</v>
      </c>
      <c r="J1235" s="0" t="n">
        <f aca="false">(I1235/32)*5</f>
        <v>9.09375</v>
      </c>
      <c r="L1235" s="3" t="n">
        <v>20</v>
      </c>
      <c r="M1235" s="3" t="n">
        <v>0</v>
      </c>
      <c r="N1235" s="3" t="n">
        <f aca="false">L1235</f>
        <v>20</v>
      </c>
      <c r="O1235" s="3" t="n">
        <f aca="false">LOOKUP(L1235,$AB$3:$AC$123)</f>
        <v>1.081</v>
      </c>
      <c r="P1235" s="3" t="n">
        <f aca="false">(O1235*(N1235/100)*(J1235/1000))*1000</f>
        <v>1.96606875</v>
      </c>
      <c r="Q1235" s="3"/>
      <c r="R1235" s="3" t="n">
        <v>4</v>
      </c>
      <c r="S1235" s="3" t="n">
        <v>9.3</v>
      </c>
      <c r="T1235" s="0" t="n">
        <f aca="false">(S1235/32)*5</f>
        <v>1.453125</v>
      </c>
      <c r="V1235" s="3" t="n">
        <v>12</v>
      </c>
      <c r="W1235" s="3" t="n">
        <v>4</v>
      </c>
      <c r="X1235" s="3" t="n">
        <f aca="false">LOOKUP(V1235,$AB$3:$AC$123)</f>
        <v>1.0465</v>
      </c>
      <c r="Y1235" s="2" t="n">
        <f aca="false">(V1235*((W1235+T1235)/1000)*X1235)/((((W1235+T1235)/1000)*X1235)-((W1235/1000)*0.9982))</f>
        <v>39.9559665345663</v>
      </c>
      <c r="Z1235" s="3" t="n">
        <f aca="false">(X1235*(V1235/100)*((W1235+T1235)/1000))*1000</f>
        <v>0.6848034375</v>
      </c>
    </row>
    <row r="1236" customFormat="false" ht="15" hidden="false" customHeight="false" outlineLevel="0" collapsed="false">
      <c r="A1236" s="0" t="s">
        <v>100</v>
      </c>
      <c r="B1236" s="0" t="s">
        <v>101</v>
      </c>
      <c r="C1236" s="0" t="s">
        <v>81</v>
      </c>
      <c r="D1236" s="0" t="s">
        <v>153</v>
      </c>
      <c r="E1236" s="0" t="n">
        <v>26</v>
      </c>
      <c r="F1236" s="0" t="n">
        <v>1</v>
      </c>
      <c r="G1236" s="1"/>
      <c r="H1236" s="1"/>
      <c r="I1236" s="0" t="n">
        <v>27.6</v>
      </c>
      <c r="J1236" s="0" t="n">
        <f aca="false">(I1236/32)*5</f>
        <v>4.3125</v>
      </c>
      <c r="L1236" s="3" t="n">
        <v>14</v>
      </c>
      <c r="M1236" s="3" t="n">
        <v>0</v>
      </c>
      <c r="N1236" s="3" t="n">
        <f aca="false">L1236</f>
        <v>14</v>
      </c>
      <c r="O1236" s="3" t="n">
        <f aca="false">LOOKUP(L1236,$AB$3:$AC$123)</f>
        <v>1.0549</v>
      </c>
      <c r="P1236" s="3" t="n">
        <f aca="false">(O1236*(N1236/100)*(J1236/1000))*1000</f>
        <v>0.636895875</v>
      </c>
      <c r="Q1236" s="3"/>
      <c r="R1236" s="3" t="n">
        <v>2</v>
      </c>
      <c r="S1236" s="3" t="n">
        <v>3.2</v>
      </c>
      <c r="T1236" s="0" t="n">
        <f aca="false">(S1236/32)*5</f>
        <v>0.5</v>
      </c>
      <c r="V1236" s="3" t="n">
        <v>6</v>
      </c>
      <c r="W1236" s="3" t="n">
        <v>4</v>
      </c>
      <c r="X1236" s="3" t="n">
        <f aca="false">LOOKUP(V1236,$AB$3:$AC$123)</f>
        <v>1.0218</v>
      </c>
      <c r="Y1236" s="2" t="n">
        <f aca="false">(V1236*((W1236+T1236)/1000)*X1236)/((((W1236+T1236)/1000)*X1236)-((W1236/1000)*0.9982))</f>
        <v>45.5783908805551</v>
      </c>
      <c r="Z1236" s="3" t="n">
        <f aca="false">(X1236*(V1236/100)*((W1236+T1236)/1000))*1000</f>
        <v>0.275886</v>
      </c>
    </row>
    <row r="1237" customFormat="false" ht="15" hidden="false" customHeight="false" outlineLevel="0" collapsed="false">
      <c r="A1237" s="0" t="s">
        <v>102</v>
      </c>
      <c r="B1237" s="0" t="s">
        <v>103</v>
      </c>
      <c r="C1237" s="0" t="s">
        <v>81</v>
      </c>
      <c r="D1237" s="0" t="s">
        <v>153</v>
      </c>
      <c r="E1237" s="0" t="n">
        <v>26</v>
      </c>
      <c r="F1237" s="0" t="n">
        <v>3</v>
      </c>
      <c r="G1237" s="1"/>
      <c r="H1237" s="1"/>
      <c r="I1237" s="0" t="n">
        <f aca="false">64+12.6</f>
        <v>76.6</v>
      </c>
      <c r="J1237" s="0" t="n">
        <f aca="false">(I1237/32)*5</f>
        <v>11.96875</v>
      </c>
      <c r="L1237" s="3" t="n">
        <v>17</v>
      </c>
      <c r="M1237" s="3" t="n">
        <v>0</v>
      </c>
      <c r="N1237" s="3" t="n">
        <f aca="false">L1237</f>
        <v>17</v>
      </c>
      <c r="O1237" s="3" t="n">
        <f aca="false">LOOKUP(L1237,$AB$3:$AC$123)</f>
        <v>1.0678</v>
      </c>
      <c r="P1237" s="3" t="n">
        <f aca="false">(O1237*(N1237/100)*(J1237/1000))*1000</f>
        <v>2.1726393125</v>
      </c>
      <c r="Q1237" s="3"/>
      <c r="R1237" s="3" t="n">
        <v>7</v>
      </c>
      <c r="S1237" s="3" t="n">
        <v>10.4</v>
      </c>
      <c r="T1237" s="0" t="n">
        <f aca="false">(S1237/32)*5</f>
        <v>1.625</v>
      </c>
      <c r="V1237" s="3" t="n">
        <v>13</v>
      </c>
      <c r="W1237" s="3" t="n">
        <v>4</v>
      </c>
      <c r="X1237" s="3" t="n">
        <f aca="false">LOOKUP(V1237,$AB$3:$AC$123)</f>
        <v>1.0507</v>
      </c>
      <c r="Y1237" s="2" t="n">
        <f aca="false">(V1237*((W1237+T1237)/1000)*X1237)/((((W1237+T1237)/1000)*X1237)-((W1237/1000)*0.9982))</f>
        <v>40.0714187924976</v>
      </c>
      <c r="Z1237" s="3" t="n">
        <f aca="false">(X1237*(V1237/100)*((W1237+T1237)/1000))*1000</f>
        <v>0.768324375</v>
      </c>
    </row>
    <row r="1238" customFormat="false" ht="15" hidden="false" customHeight="false" outlineLevel="0" collapsed="false">
      <c r="A1238" s="0" t="s">
        <v>104</v>
      </c>
      <c r="B1238" s="0" t="s">
        <v>105</v>
      </c>
      <c r="C1238" s="0" t="s">
        <v>106</v>
      </c>
      <c r="D1238" s="0" t="s">
        <v>153</v>
      </c>
      <c r="E1238" s="0" t="n">
        <v>26</v>
      </c>
      <c r="F1238" s="0" t="n">
        <v>1</v>
      </c>
      <c r="G1238" s="1"/>
      <c r="H1238" s="1"/>
      <c r="I1238" s="0" t="n">
        <f aca="false">64+5.1</f>
        <v>69.1</v>
      </c>
      <c r="J1238" s="0" t="n">
        <f aca="false">(I1238/32)*5</f>
        <v>10.796875</v>
      </c>
      <c r="L1238" s="3" t="n">
        <v>15</v>
      </c>
      <c r="M1238" s="3" t="n">
        <v>0</v>
      </c>
      <c r="N1238" s="3" t="n">
        <f aca="false">L1238</f>
        <v>15</v>
      </c>
      <c r="O1238" s="3" t="n">
        <f aca="false">LOOKUP(L1238,$AB$3:$AC$123)</f>
        <v>1.0592</v>
      </c>
      <c r="P1238" s="3" t="n">
        <f aca="false">(O1238*(N1238/100)*(J1238/1000))*1000</f>
        <v>1.7154075</v>
      </c>
      <c r="Q1238" s="3"/>
      <c r="R1238" s="3" t="n">
        <v>4</v>
      </c>
      <c r="S1238" s="3" t="n">
        <v>11.6</v>
      </c>
      <c r="T1238" s="0" t="n">
        <f aca="false">(S1238/32)*5</f>
        <v>1.8125</v>
      </c>
      <c r="V1238" s="3" t="n">
        <v>25</v>
      </c>
      <c r="W1238" s="3" t="n">
        <v>4</v>
      </c>
      <c r="X1238" s="3" t="n">
        <f aca="false">LOOKUP(V1238,$AB$3:$AC$123)</f>
        <v>1.10355</v>
      </c>
      <c r="Y1238" s="2" t="n">
        <f aca="false">(V1238*((W1238+T1238)/1000)*X1238)/((((W1238+T1238)/1000)*X1238)-((W1238/1000)*0.9982))</f>
        <v>66.2209465135817</v>
      </c>
      <c r="Z1238" s="3" t="n">
        <f aca="false">(X1238*(V1238/100)*((W1238+T1238)/1000))*1000</f>
        <v>1.60359609375</v>
      </c>
    </row>
    <row r="1239" customFormat="false" ht="15" hidden="false" customHeight="false" outlineLevel="0" collapsed="false">
      <c r="A1239" s="0" t="s">
        <v>107</v>
      </c>
      <c r="B1239" s="0" t="s">
        <v>37</v>
      </c>
      <c r="C1239" s="0" t="s">
        <v>106</v>
      </c>
      <c r="D1239" s="0" t="s">
        <v>153</v>
      </c>
      <c r="E1239" s="0" t="n">
        <v>26</v>
      </c>
      <c r="F1239" s="0" t="n">
        <v>1</v>
      </c>
      <c r="G1239" s="1"/>
      <c r="H1239" s="1"/>
      <c r="I1239" s="0" t="n">
        <f aca="false">32*3</f>
        <v>96</v>
      </c>
      <c r="J1239" s="0" t="n">
        <f aca="false">(I1239/32)*5</f>
        <v>15</v>
      </c>
      <c r="L1239" s="3" t="n">
        <v>25</v>
      </c>
      <c r="M1239" s="3" t="n">
        <v>0</v>
      </c>
      <c r="N1239" s="3" t="n">
        <f aca="false">L1239</f>
        <v>25</v>
      </c>
      <c r="O1239" s="3" t="n">
        <f aca="false">LOOKUP(L1239,$AB$3:$AC$123)</f>
        <v>1.10355</v>
      </c>
      <c r="P1239" s="3" t="n">
        <f aca="false">(O1239*(N1239/100)*(J1239/1000))*1000</f>
        <v>4.1383125</v>
      </c>
      <c r="Q1239" s="3"/>
      <c r="R1239" s="3" t="n">
        <v>3</v>
      </c>
      <c r="S1239" s="3" t="n">
        <v>20.1</v>
      </c>
      <c r="T1239" s="0" t="n">
        <f aca="false">(S1239/32)*5</f>
        <v>3.140625</v>
      </c>
      <c r="V1239" s="3" t="n">
        <v>30</v>
      </c>
      <c r="W1239" s="3" t="n">
        <v>4</v>
      </c>
      <c r="X1239" s="3" t="n">
        <f aca="false">LOOKUP(V1239,$AB$3:$AC$123)</f>
        <v>1.127</v>
      </c>
      <c r="Y1239" s="2" t="n">
        <f aca="false">(V1239*((W1239+T1239)/1000)*X1239)/((((W1239+T1239)/1000)*X1239)-((W1239/1000)*0.9982))</f>
        <v>59.5421268147413</v>
      </c>
      <c r="Z1239" s="3" t="n">
        <f aca="false">(X1239*(V1239/100)*((W1239+T1239)/1000))*1000</f>
        <v>2.4142453125</v>
      </c>
    </row>
    <row r="1240" customFormat="false" ht="15" hidden="false" customHeight="false" outlineLevel="0" collapsed="false">
      <c r="A1240" s="0" t="s">
        <v>108</v>
      </c>
      <c r="B1240" s="0" t="s">
        <v>109</v>
      </c>
      <c r="C1240" s="0" t="s">
        <v>106</v>
      </c>
      <c r="D1240" s="0" t="s">
        <v>153</v>
      </c>
      <c r="E1240" s="0" t="n">
        <v>26</v>
      </c>
      <c r="F1240" s="0" t="n">
        <v>3</v>
      </c>
      <c r="G1240" s="1"/>
      <c r="H1240" s="1"/>
      <c r="I1240" s="0" t="n">
        <f aca="false">32*5+19.5</f>
        <v>179.5</v>
      </c>
      <c r="J1240" s="0" t="n">
        <f aca="false">(I1240/32)*5</f>
        <v>28.046875</v>
      </c>
      <c r="L1240" s="3" t="n">
        <v>27</v>
      </c>
      <c r="M1240" s="3" t="n">
        <v>0</v>
      </c>
      <c r="N1240" s="3" t="n">
        <f aca="false">L1240</f>
        <v>27</v>
      </c>
      <c r="O1240" s="3" t="n">
        <f aca="false">LOOKUP(L1240,$AB$3:$AC$123)</f>
        <v>1.1128</v>
      </c>
      <c r="P1240" s="3" t="n">
        <f aca="false">(O1240*(N1240/100)*(J1240/1000))*1000</f>
        <v>8.426851875</v>
      </c>
      <c r="Q1240" s="3"/>
      <c r="R1240" s="3" t="n">
        <v>2</v>
      </c>
      <c r="S1240" s="0" t="n">
        <f aca="false">4.1+3</f>
        <v>7.1</v>
      </c>
      <c r="T1240" s="0" t="n">
        <f aca="false">(S1240/32)*5</f>
        <v>1.109375</v>
      </c>
      <c r="V1240" s="3" t="n">
        <v>16</v>
      </c>
      <c r="W1240" s="3" t="n">
        <v>4</v>
      </c>
      <c r="X1240" s="3" t="n">
        <f aca="false">LOOKUP(V1240,$AB$3:$AC$123)</f>
        <v>1.0635</v>
      </c>
      <c r="Y1240" s="2" t="n">
        <f aca="false">(V1240*((W1240+T1240)/1000)*X1240)/((((W1240+T1240)/1000)*X1240)-((W1240/1000)*0.9982))</f>
        <v>60.3330322590439</v>
      </c>
      <c r="Z1240" s="3" t="n">
        <f aca="false">(X1240*(V1240/100)*((W1240+T1240)/1000))*1000</f>
        <v>0.86941125</v>
      </c>
    </row>
    <row r="1241" customFormat="false" ht="15" hidden="false" customHeight="false" outlineLevel="0" collapsed="false">
      <c r="A1241" s="0" t="s">
        <v>110</v>
      </c>
      <c r="B1241" s="0" t="s">
        <v>111</v>
      </c>
      <c r="C1241" s="0" t="s">
        <v>106</v>
      </c>
      <c r="D1241" s="0" t="s">
        <v>153</v>
      </c>
      <c r="E1241" s="0" t="n">
        <v>26</v>
      </c>
      <c r="F1241" s="0" t="n">
        <v>1</v>
      </c>
      <c r="G1241" s="1"/>
      <c r="H1241" s="1"/>
      <c r="I1241" s="0" t="n">
        <f aca="false">32*2+12.1</f>
        <v>76.1</v>
      </c>
      <c r="J1241" s="0" t="n">
        <f aca="false">(I1241/32)*5</f>
        <v>11.890625</v>
      </c>
      <c r="L1241" s="3" t="n">
        <v>23</v>
      </c>
      <c r="M1241" s="3" t="n">
        <v>0</v>
      </c>
      <c r="N1241" s="3" t="n">
        <f aca="false">L1241</f>
        <v>23</v>
      </c>
      <c r="O1241" s="3" t="n">
        <f aca="false">LOOKUP(L1241,$AB$3:$AC$123)</f>
        <v>1.09445</v>
      </c>
      <c r="P1241" s="3" t="n">
        <f aca="false">(O1241*(N1241/100)*(J1241/1000))*1000</f>
        <v>2.9931497421875</v>
      </c>
      <c r="Q1241" s="3"/>
      <c r="R1241" s="3" t="n">
        <v>5</v>
      </c>
      <c r="S1241" s="0" t="n">
        <v>23.3</v>
      </c>
      <c r="T1241" s="0" t="n">
        <f aca="false">(S1241/32)*5</f>
        <v>3.640625</v>
      </c>
      <c r="V1241" s="3" t="n">
        <v>41.5</v>
      </c>
      <c r="W1241" s="3" t="n">
        <v>4</v>
      </c>
      <c r="X1241" s="3" t="n">
        <f aca="false">LOOKUP(V1241,$AB$3:$AC$123)</f>
        <v>1.18415</v>
      </c>
      <c r="Y1241" s="2" t="n">
        <f aca="false">(V1241*((W1241+T1241)/1000)*X1241)/((((W1241+T1241)/1000)*X1241)-((W1241/1000)*0.9982))</f>
        <v>74.2806617504891</v>
      </c>
      <c r="Z1241" s="3" t="n">
        <f aca="false">(X1241*(V1241/100)*((W1241+T1241)/1000))*1000</f>
        <v>3.75477312890625</v>
      </c>
    </row>
    <row r="1242" customFormat="false" ht="15" hidden="false" customHeight="false" outlineLevel="0" collapsed="false">
      <c r="A1242" s="0" t="s">
        <v>112</v>
      </c>
      <c r="B1242" s="0" t="s">
        <v>113</v>
      </c>
      <c r="C1242" s="0" t="s">
        <v>106</v>
      </c>
      <c r="D1242" s="0" t="s">
        <v>153</v>
      </c>
      <c r="E1242" s="0" t="n">
        <v>26</v>
      </c>
      <c r="F1242" s="0" t="n">
        <v>2</v>
      </c>
      <c r="G1242" s="1"/>
      <c r="H1242" s="1"/>
      <c r="I1242" s="0" t="n">
        <f aca="false">32*6</f>
        <v>192</v>
      </c>
      <c r="J1242" s="0" t="n">
        <f aca="false">(I1242/32)*5</f>
        <v>30</v>
      </c>
      <c r="L1242" s="3" t="n">
        <v>25</v>
      </c>
      <c r="M1242" s="3" t="n">
        <v>0</v>
      </c>
      <c r="N1242" s="3" t="n">
        <f aca="false">L1242</f>
        <v>25</v>
      </c>
      <c r="O1242" s="3" t="n">
        <f aca="false">LOOKUP(L1242,$AB$3:$AC$123)</f>
        <v>1.10355</v>
      </c>
      <c r="P1242" s="3" t="n">
        <f aca="false">(O1242*(N1242/100)*(J1242/1000))*1000</f>
        <v>8.276625</v>
      </c>
      <c r="Q1242" s="3"/>
      <c r="R1242" s="3" t="n">
        <v>7</v>
      </c>
      <c r="S1242" s="0" t="n">
        <v>21.4</v>
      </c>
      <c r="T1242" s="0" t="n">
        <f aca="false">(S1242/32)*5</f>
        <v>3.34375</v>
      </c>
      <c r="V1242" s="3" t="n">
        <v>30</v>
      </c>
      <c r="W1242" s="3" t="n">
        <v>4</v>
      </c>
      <c r="X1242" s="3" t="n">
        <f aca="false">LOOKUP(V1242,$AB$3:$AC$123)</f>
        <v>1.127</v>
      </c>
      <c r="Y1242" s="2" t="n">
        <f aca="false">(V1242*((W1242+T1242)/1000)*X1242)/((((W1242+T1242)/1000)*X1242)-((W1242/1000)*0.9982))</f>
        <v>57.9633544749824</v>
      </c>
      <c r="Z1242" s="3" t="n">
        <f aca="false">(X1242*(V1242/100)*((W1242+T1242)/1000))*1000</f>
        <v>2.482921875</v>
      </c>
    </row>
    <row r="1243" customFormat="false" ht="15" hidden="false" customHeight="false" outlineLevel="0" collapsed="false">
      <c r="A1243" s="0" t="s">
        <v>114</v>
      </c>
      <c r="B1243" s="0" t="s">
        <v>115</v>
      </c>
      <c r="C1243" s="0" t="s">
        <v>106</v>
      </c>
      <c r="D1243" s="0" t="s">
        <v>153</v>
      </c>
      <c r="E1243" s="0" t="n">
        <v>26</v>
      </c>
      <c r="F1243" s="0" t="n">
        <v>1</v>
      </c>
      <c r="G1243" s="1"/>
      <c r="H1243" s="1"/>
      <c r="I1243" s="0" t="n">
        <v>64</v>
      </c>
      <c r="J1243" s="0" t="n">
        <f aca="false">(I1243/32)*5</f>
        <v>10</v>
      </c>
      <c r="L1243" s="3" t="n">
        <v>26</v>
      </c>
      <c r="M1243" s="3" t="n">
        <v>0</v>
      </c>
      <c r="N1243" s="3" t="n">
        <f aca="false">L1243</f>
        <v>26</v>
      </c>
      <c r="O1243" s="3" t="n">
        <f aca="false">LOOKUP(L1243,$AB$3:$AC$123)</f>
        <v>1.1081</v>
      </c>
      <c r="P1243" s="3" t="n">
        <f aca="false">(O1243*(N1243/100)*(J1243/1000))*1000</f>
        <v>2.88106</v>
      </c>
      <c r="Q1243" s="3"/>
      <c r="R1243" s="3" t="n">
        <v>5</v>
      </c>
      <c r="S1243" s="0" t="n">
        <v>16.4</v>
      </c>
      <c r="T1243" s="0" t="n">
        <f aca="false">(S1243/32)*5</f>
        <v>2.5625</v>
      </c>
      <c r="V1243" s="3" t="n">
        <v>35</v>
      </c>
      <c r="W1243" s="3" t="n">
        <v>4</v>
      </c>
      <c r="X1243" s="3" t="n">
        <f aca="false">LOOKUP(V1243,$AB$3:$AC$123)</f>
        <v>1.1513</v>
      </c>
      <c r="Y1243" s="2" t="n">
        <f aca="false">(V1243*((W1243+T1243)/1000)*X1243)/((((W1243+T1243)/1000)*X1243)-((W1243/1000)*0.9982))</f>
        <v>74.2263388635778</v>
      </c>
      <c r="Z1243" s="3" t="n">
        <f aca="false">(X1243*(V1243/100)*((W1243+T1243)/1000))*1000</f>
        <v>2.6443921875</v>
      </c>
    </row>
    <row r="1244" customFormat="false" ht="15" hidden="false" customHeight="false" outlineLevel="0" collapsed="false">
      <c r="A1244" s="0" t="s">
        <v>116</v>
      </c>
      <c r="B1244" s="0" t="s">
        <v>117</v>
      </c>
      <c r="C1244" s="0" t="s">
        <v>106</v>
      </c>
      <c r="D1244" s="0" t="s">
        <v>153</v>
      </c>
      <c r="E1244" s="0" t="n">
        <v>26</v>
      </c>
      <c r="F1244" s="0" t="n">
        <v>1</v>
      </c>
      <c r="G1244" s="1"/>
      <c r="H1244" s="1"/>
      <c r="I1244" s="0" t="n">
        <v>42.1</v>
      </c>
      <c r="J1244" s="0" t="n">
        <f aca="false">(I1244/32)*5</f>
        <v>6.578125</v>
      </c>
      <c r="L1244" s="3" t="n">
        <v>13</v>
      </c>
      <c r="M1244" s="3" t="n">
        <v>0</v>
      </c>
      <c r="N1244" s="3" t="n">
        <f aca="false">L1244</f>
        <v>13</v>
      </c>
      <c r="O1244" s="3" t="n">
        <f aca="false">LOOKUP(L1244,$AB$3:$AC$123)</f>
        <v>1.0507</v>
      </c>
      <c r="P1244" s="3" t="n">
        <f aca="false">(O1244*(N1244/100)*(J1244/1000))*1000</f>
        <v>0.898512671875</v>
      </c>
      <c r="Q1244" s="3"/>
      <c r="R1244" s="3" t="n">
        <v>4</v>
      </c>
      <c r="S1244" s="0" t="n">
        <v>21</v>
      </c>
      <c r="T1244" s="0" t="n">
        <f aca="false">(S1244/32)*5</f>
        <v>3.28125</v>
      </c>
      <c r="V1244" s="3" t="n">
        <v>29</v>
      </c>
      <c r="W1244" s="3" t="n">
        <v>4</v>
      </c>
      <c r="X1244" s="3" t="n">
        <f aca="false">LOOKUP(V1244,$AB$3:$AC$123)</f>
        <v>1.12225</v>
      </c>
      <c r="Y1244" s="2" t="n">
        <f aca="false">(V1244*((W1244+T1244)/1000)*X1244)/((((W1244+T1244)/1000)*X1244)-((W1244/1000)*0.9982))</f>
        <v>56.7106390361864</v>
      </c>
      <c r="Z1244" s="3" t="n">
        <f aca="false">(X1244*(V1244/100)*((W1244+T1244)/1000))*1000</f>
        <v>2.369701015625</v>
      </c>
    </row>
    <row r="1245" customFormat="false" ht="15" hidden="false" customHeight="false" outlineLevel="0" collapsed="false">
      <c r="A1245" s="0" t="s">
        <v>118</v>
      </c>
      <c r="B1245" s="0" t="s">
        <v>119</v>
      </c>
      <c r="C1245" s="0" t="s">
        <v>106</v>
      </c>
      <c r="D1245" s="0" t="s">
        <v>153</v>
      </c>
      <c r="E1245" s="0" t="n">
        <v>26</v>
      </c>
      <c r="F1245" s="0" t="n">
        <v>6</v>
      </c>
      <c r="G1245" s="1"/>
      <c r="H1245" s="1"/>
      <c r="I1245" s="0" t="n">
        <f aca="false">32*9+16.5</f>
        <v>304.5</v>
      </c>
      <c r="J1245" s="0" t="n">
        <f aca="false">(I1245/32)*5</f>
        <v>47.578125</v>
      </c>
      <c r="L1245" s="3" t="n">
        <v>21</v>
      </c>
      <c r="M1245" s="3" t="n">
        <v>0</v>
      </c>
      <c r="N1245" s="3" t="n">
        <f aca="false">L1245</f>
        <v>21</v>
      </c>
      <c r="O1245" s="3" t="n">
        <f aca="false">LOOKUP(L1245,$AB$3:$AC$123)</f>
        <v>1.08545</v>
      </c>
      <c r="P1245" s="3" t="n">
        <f aca="false">(O1245*(N1245/100)*(J1245/1000))*1000</f>
        <v>10.8451719140625</v>
      </c>
      <c r="Q1245" s="3"/>
      <c r="R1245" s="3" t="n">
        <v>8</v>
      </c>
      <c r="S1245" s="0" t="n">
        <f aca="false">32+21.4</f>
        <v>53.4</v>
      </c>
      <c r="T1245" s="0" t="n">
        <f aca="false">(S1245/32)*5</f>
        <v>8.34375</v>
      </c>
      <c r="V1245" s="3" t="n">
        <v>38.5</v>
      </c>
      <c r="W1245" s="3" t="n">
        <v>8</v>
      </c>
      <c r="X1245" s="3" t="n">
        <f aca="false">LOOKUP(V1245,$AB$3:$AC$123)</f>
        <v>1.16885</v>
      </c>
      <c r="Y1245" s="2" t="n">
        <f aca="false">(V1245*((W1245+T1245)/1000)*X1245)/((((W1245+T1245)/1000)*X1245)-((W1245/1000)*0.9982))</f>
        <v>66.1534760512675</v>
      </c>
      <c r="Z1245" s="3" t="n">
        <f aca="false">(X1245*(V1245/100)*((W1245+T1245)/1000))*1000</f>
        <v>7.3548059921875</v>
      </c>
    </row>
    <row r="1246" customFormat="false" ht="15" hidden="false" customHeight="false" outlineLevel="0" collapsed="false">
      <c r="A1246" s="0" t="s">
        <v>120</v>
      </c>
      <c r="B1246" s="0" t="s">
        <v>121</v>
      </c>
      <c r="C1246" s="0" t="s">
        <v>106</v>
      </c>
      <c r="D1246" s="0" t="s">
        <v>153</v>
      </c>
      <c r="E1246" s="0" t="n">
        <v>26</v>
      </c>
      <c r="F1246" s="0" t="n">
        <v>3</v>
      </c>
      <c r="G1246" s="1"/>
      <c r="H1246" s="1"/>
      <c r="I1246" s="0" t="n">
        <f aca="false">22.9+13.1</f>
        <v>36</v>
      </c>
      <c r="J1246" s="0" t="n">
        <f aca="false">(I1246/32)*5</f>
        <v>5.625</v>
      </c>
      <c r="L1246" s="3" t="n">
        <v>15</v>
      </c>
      <c r="M1246" s="3" t="n">
        <v>0</v>
      </c>
      <c r="N1246" s="3" t="n">
        <f aca="false">L1246</f>
        <v>15</v>
      </c>
      <c r="O1246" s="3" t="n">
        <f aca="false">LOOKUP(L1246,$AB$3:$AC$123)</f>
        <v>1.0592</v>
      </c>
      <c r="P1246" s="3" t="n">
        <f aca="false">(O1246*(N1246/100)*(J1246/1000))*1000</f>
        <v>0.8937</v>
      </c>
      <c r="Q1246" s="3"/>
      <c r="R1246" s="3" t="n">
        <v>6</v>
      </c>
      <c r="S1246" s="0" t="n">
        <v>15.7</v>
      </c>
      <c r="T1246" s="0" t="n">
        <f aca="false">(S1246/32)*5</f>
        <v>2.453125</v>
      </c>
      <c r="V1246" s="3" t="n">
        <v>12</v>
      </c>
      <c r="W1246" s="3" t="n">
        <v>4</v>
      </c>
      <c r="X1246" s="3" t="n">
        <f aca="false">LOOKUP(V1246,$AB$3:$AC$123)</f>
        <v>1.0465</v>
      </c>
      <c r="Y1246" s="2" t="n">
        <f aca="false">(V1246*((W1246+T1246)/1000)*X1246)/((((W1246+T1246)/1000)*X1246)-((W1246/1000)*0.9982))</f>
        <v>29.357513897749</v>
      </c>
      <c r="Z1246" s="3" t="n">
        <f aca="false">(X1246*(V1246/100)*((W1246+T1246)/1000))*1000</f>
        <v>0.8103834375</v>
      </c>
    </row>
    <row r="1247" customFormat="false" ht="15" hidden="false" customHeight="false" outlineLevel="0" collapsed="false">
      <c r="A1247" s="0" t="s">
        <v>122</v>
      </c>
      <c r="B1247" s="0" t="s">
        <v>123</v>
      </c>
      <c r="C1247" s="0" t="s">
        <v>106</v>
      </c>
      <c r="D1247" s="0" t="s">
        <v>153</v>
      </c>
      <c r="E1247" s="0" t="n">
        <v>26</v>
      </c>
      <c r="F1247" s="0" t="n">
        <v>0</v>
      </c>
      <c r="G1247" s="1"/>
      <c r="H1247" s="1"/>
      <c r="I1247" s="0" t="n">
        <v>0</v>
      </c>
      <c r="J1247" s="0" t="n">
        <f aca="false">(I1247/32)*5</f>
        <v>0</v>
      </c>
      <c r="L1247" s="3" t="n">
        <v>0</v>
      </c>
      <c r="M1247" s="3" t="n">
        <v>0</v>
      </c>
      <c r="N1247" s="3" t="n">
        <f aca="false">L1247</f>
        <v>0</v>
      </c>
      <c r="O1247" s="3" t="n">
        <v>0</v>
      </c>
      <c r="P1247" s="3" t="n">
        <f aca="false">(O1247*(N1247/100)*(J1247/1000))*1000</f>
        <v>0</v>
      </c>
      <c r="Q1247" s="3"/>
      <c r="R1247" s="3" t="n">
        <v>3</v>
      </c>
      <c r="S1247" s="3" t="n">
        <v>8.7</v>
      </c>
      <c r="T1247" s="0" t="n">
        <f aca="false">(S1247/32)*5</f>
        <v>1.359375</v>
      </c>
      <c r="V1247" s="3" t="n">
        <v>11</v>
      </c>
      <c r="W1247" s="3" t="n">
        <v>4</v>
      </c>
      <c r="X1247" s="3" t="n">
        <f aca="false">LOOKUP(V1247,$AB$3:$AC$123)</f>
        <v>1.0423</v>
      </c>
      <c r="Y1247" s="2" t="n">
        <f aca="false">(V1247*((W1247+T1247)/1000)*X1247)/((((W1247+T1247)/1000)*X1247)-((W1247/1000)*0.9982))</f>
        <v>38.5663378434966</v>
      </c>
      <c r="Z1247" s="3" t="n">
        <f aca="false">(X1247*(V1247/100)*((W1247+T1247)/1000))*1000</f>
        <v>0.614468421875</v>
      </c>
    </row>
    <row r="1248" customFormat="false" ht="15" hidden="false" customHeight="false" outlineLevel="0" collapsed="false">
      <c r="A1248" s="0" t="s">
        <v>124</v>
      </c>
      <c r="B1248" s="0" t="s">
        <v>125</v>
      </c>
      <c r="C1248" s="0" t="s">
        <v>106</v>
      </c>
      <c r="D1248" s="0" t="s">
        <v>153</v>
      </c>
      <c r="E1248" s="0" t="n">
        <v>26</v>
      </c>
      <c r="F1248" s="0" t="n">
        <v>0</v>
      </c>
      <c r="G1248" s="1"/>
      <c r="H1248" s="1"/>
      <c r="I1248" s="0" t="n">
        <v>0</v>
      </c>
      <c r="J1248" s="0" t="n">
        <f aca="false">(I1248/32)*5</f>
        <v>0</v>
      </c>
      <c r="L1248" s="3" t="n">
        <v>0</v>
      </c>
      <c r="M1248" s="3" t="n">
        <v>0</v>
      </c>
      <c r="N1248" s="3" t="n">
        <f aca="false">L1248</f>
        <v>0</v>
      </c>
      <c r="O1248" s="3" t="n">
        <v>0</v>
      </c>
      <c r="P1248" s="3" t="n">
        <f aca="false">(O1248*(N1248/100)*(J1248/1000))*1000</f>
        <v>0</v>
      </c>
      <c r="Q1248" s="3"/>
      <c r="R1248" s="3" t="n">
        <v>4</v>
      </c>
      <c r="S1248" s="3" t="n">
        <v>9.1</v>
      </c>
      <c r="T1248" s="0" t="n">
        <f aca="false">(S1248/32)*5</f>
        <v>1.421875</v>
      </c>
      <c r="V1248" s="3" t="n">
        <v>12</v>
      </c>
      <c r="W1248" s="3" t="n">
        <v>4</v>
      </c>
      <c r="X1248" s="3" t="n">
        <f aca="false">LOOKUP(V1248,$AB$3:$AC$123)</f>
        <v>1.0465</v>
      </c>
      <c r="Y1248" s="2" t="n">
        <f aca="false">(V1248*((W1248+T1248)/1000)*X1248)/((((W1248+T1248)/1000)*X1248)-((W1248/1000)*0.9982))</f>
        <v>40.4997755499028</v>
      </c>
      <c r="Z1248" s="3" t="n">
        <f aca="false">(X1248*(V1248/100)*((W1248+T1248)/1000))*1000</f>
        <v>0.6808790625</v>
      </c>
    </row>
    <row r="1249" customFormat="false" ht="15" hidden="false" customHeight="false" outlineLevel="0" collapsed="false">
      <c r="A1249" s="0" t="s">
        <v>126</v>
      </c>
      <c r="B1249" s="0" t="s">
        <v>127</v>
      </c>
      <c r="C1249" s="0" t="s">
        <v>106</v>
      </c>
      <c r="D1249" s="0" t="s">
        <v>153</v>
      </c>
      <c r="E1249" s="0" t="n">
        <v>26</v>
      </c>
      <c r="F1249" s="0" t="n">
        <v>2</v>
      </c>
      <c r="G1249" s="1"/>
      <c r="H1249" s="1"/>
      <c r="I1249" s="0" t="n">
        <f aca="false">26.7+27.2</f>
        <v>53.9</v>
      </c>
      <c r="J1249" s="0" t="n">
        <f aca="false">(I1249/32)*5</f>
        <v>8.421875</v>
      </c>
      <c r="L1249" s="3" t="n">
        <v>17</v>
      </c>
      <c r="M1249" s="3" t="n">
        <v>0</v>
      </c>
      <c r="N1249" s="3" t="n">
        <f aca="false">L1249</f>
        <v>17</v>
      </c>
      <c r="O1249" s="3" t="n">
        <f aca="false">LOOKUP(L1249,$AB$3:$AC$123)</f>
        <v>1.0678</v>
      </c>
      <c r="P1249" s="3" t="n">
        <f aca="false">(O1249*(N1249/100)*(J1249/1000))*1000</f>
        <v>1.52878928125</v>
      </c>
      <c r="Q1249" s="3"/>
      <c r="R1249" s="3" t="n">
        <v>5</v>
      </c>
      <c r="S1249" s="3" t="n">
        <v>11.2</v>
      </c>
      <c r="T1249" s="0" t="n">
        <f aca="false">(S1249/32)*5</f>
        <v>1.75</v>
      </c>
      <c r="V1249" s="3" t="n">
        <v>13</v>
      </c>
      <c r="W1249" s="3" t="n">
        <v>4</v>
      </c>
      <c r="X1249" s="3" t="n">
        <f aca="false">LOOKUP(V1249,$AB$3:$AC$123)</f>
        <v>1.0507</v>
      </c>
      <c r="Y1249" s="2" t="n">
        <f aca="false">(V1249*((W1249+T1249)/1000)*X1249)/((((W1249+T1249)/1000)*X1249)-((W1249/1000)*0.9982))</f>
        <v>38.335952848723</v>
      </c>
      <c r="Z1249" s="3" t="n">
        <f aca="false">(X1249*(V1249/100)*((W1249+T1249)/1000))*1000</f>
        <v>0.78539825</v>
      </c>
    </row>
    <row r="1250" customFormat="false" ht="15" hidden="false" customHeight="false" outlineLevel="0" collapsed="false">
      <c r="A1250" s="0" t="s">
        <v>26</v>
      </c>
      <c r="B1250" s="0" t="s">
        <v>27</v>
      </c>
      <c r="C1250" s="0" t="s">
        <v>28</v>
      </c>
      <c r="D1250" s="0" t="s">
        <v>154</v>
      </c>
      <c r="E1250" s="0" t="n">
        <v>27</v>
      </c>
      <c r="F1250" s="0" t="n">
        <v>1</v>
      </c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3" t="n">
        <v>0</v>
      </c>
      <c r="S1250" s="3" t="n">
        <v>0</v>
      </c>
      <c r="T1250" s="0" t="n">
        <f aca="false">(S1250/32)*5</f>
        <v>0</v>
      </c>
      <c r="V1250" s="3" t="n">
        <v>0</v>
      </c>
      <c r="W1250" s="3" t="n">
        <v>0</v>
      </c>
      <c r="X1250" s="3" t="n">
        <v>0</v>
      </c>
      <c r="Y1250" s="2" t="n">
        <v>0</v>
      </c>
      <c r="Z1250" s="3" t="n">
        <f aca="false">(X1250*(V1250/100)*((W1250+T1250)/1000))*1000</f>
        <v>0</v>
      </c>
    </row>
    <row r="1251" customFormat="false" ht="15" hidden="false" customHeight="false" outlineLevel="0" collapsed="false">
      <c r="A1251" s="0" t="s">
        <v>32</v>
      </c>
      <c r="B1251" s="0" t="s">
        <v>33</v>
      </c>
      <c r="C1251" s="0" t="s">
        <v>28</v>
      </c>
      <c r="D1251" s="0" t="s">
        <v>154</v>
      </c>
      <c r="E1251" s="0" t="n">
        <v>27</v>
      </c>
      <c r="F1251" s="0" t="n">
        <v>3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3" t="n">
        <v>4</v>
      </c>
      <c r="S1251" s="3" t="n">
        <v>14.6</v>
      </c>
      <c r="T1251" s="0" t="n">
        <f aca="false">(S1251/32)*5</f>
        <v>2.28125</v>
      </c>
      <c r="V1251" s="3" t="n">
        <v>34.5</v>
      </c>
      <c r="W1251" s="3" t="n">
        <v>4</v>
      </c>
      <c r="X1251" s="3" t="n">
        <f aca="false">LOOKUP(V1251,$AB$3:$AC$123)</f>
        <v>1.14885</v>
      </c>
      <c r="Y1251" s="2" t="n">
        <f aca="false">(V1251*((W1251+T1251)/1000)*X1251)/((((W1251+T1251)/1000)*X1251)-((W1251/1000)*0.9982))</f>
        <v>77.2346897820391</v>
      </c>
      <c r="Z1251" s="3" t="n">
        <f aca="false">(X1251*(V1251/100)*((W1251+T1251)/1000))*1000</f>
        <v>2.4895938515625</v>
      </c>
    </row>
    <row r="1252" customFormat="false" ht="15" hidden="false" customHeight="false" outlineLevel="0" collapsed="false">
      <c r="A1252" s="0" t="s">
        <v>34</v>
      </c>
      <c r="B1252" s="0" t="s">
        <v>35</v>
      </c>
      <c r="C1252" s="0" t="s">
        <v>28</v>
      </c>
      <c r="D1252" s="0" t="s">
        <v>154</v>
      </c>
      <c r="E1252" s="0" t="n">
        <v>27</v>
      </c>
      <c r="F1252" s="0" t="n">
        <v>1</v>
      </c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3" t="n">
        <v>3</v>
      </c>
      <c r="S1252" s="3" t="n">
        <v>8.2</v>
      </c>
      <c r="T1252" s="0" t="n">
        <f aca="false">(S1252/32)*5</f>
        <v>1.28125</v>
      </c>
      <c r="V1252" s="3" t="n">
        <v>22</v>
      </c>
      <c r="W1252" s="3" t="n">
        <v>4</v>
      </c>
      <c r="X1252" s="3" t="n">
        <f aca="false">LOOKUP(V1252,$AB$3:$AC$123)</f>
        <v>1.0899</v>
      </c>
      <c r="Y1252" s="2" t="n">
        <f aca="false">(V1252*((W1252+T1252)/1000)*X1252)/((((W1252+T1252)/1000)*X1252)-((W1252/1000)*0.9982))</f>
        <v>71.8184479870976</v>
      </c>
      <c r="Z1252" s="3" t="n">
        <f aca="false">(X1252*(V1252/100)*((W1252+T1252)/1000))*1000</f>
        <v>1.2663275625</v>
      </c>
    </row>
    <row r="1253" customFormat="false" ht="15" hidden="false" customHeight="false" outlineLevel="0" collapsed="false">
      <c r="A1253" s="0" t="s">
        <v>36</v>
      </c>
      <c r="B1253" s="0" t="s">
        <v>37</v>
      </c>
      <c r="C1253" s="0" t="s">
        <v>28</v>
      </c>
      <c r="D1253" s="0" t="s">
        <v>154</v>
      </c>
      <c r="E1253" s="0" t="n">
        <v>27</v>
      </c>
      <c r="F1253" s="0" t="n">
        <v>1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3" t="n">
        <v>2</v>
      </c>
      <c r="S1253" s="3" t="n">
        <v>5.6</v>
      </c>
      <c r="T1253" s="0" t="n">
        <f aca="false">(S1253/32)*5</f>
        <v>0.875</v>
      </c>
      <c r="V1253" s="3" t="n">
        <v>16</v>
      </c>
      <c r="W1253" s="3" t="n">
        <v>4</v>
      </c>
      <c r="X1253" s="3" t="n">
        <f aca="false">LOOKUP(V1253,$AB$3:$AC$123)</f>
        <v>1.0635</v>
      </c>
      <c r="Y1253" s="2" t="n">
        <f aca="false">(V1253*((W1253+T1253)/1000)*X1253)/((((W1253+T1253)/1000)*X1253)-((W1253/1000)*0.9982))</f>
        <v>69.6053114609665</v>
      </c>
      <c r="Z1253" s="3" t="n">
        <f aca="false">(X1253*(V1253/100)*((W1253+T1253)/1000))*1000</f>
        <v>0.82953</v>
      </c>
    </row>
    <row r="1254" customFormat="false" ht="15" hidden="false" customHeight="false" outlineLevel="0" collapsed="false">
      <c r="A1254" s="0" t="s">
        <v>38</v>
      </c>
      <c r="B1254" s="0" t="s">
        <v>39</v>
      </c>
      <c r="C1254" s="0" t="s">
        <v>28</v>
      </c>
      <c r="D1254" s="0" t="s">
        <v>154</v>
      </c>
      <c r="E1254" s="0" t="n">
        <v>27</v>
      </c>
      <c r="F1254" s="0" t="n">
        <v>4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3" t="n">
        <v>4</v>
      </c>
      <c r="S1254" s="3" t="n">
        <v>5.6</v>
      </c>
      <c r="T1254" s="0" t="n">
        <f aca="false">(S1254/32)*5</f>
        <v>0.875</v>
      </c>
      <c r="V1254" s="3" t="n">
        <v>7</v>
      </c>
      <c r="W1254" s="3" t="n">
        <v>4</v>
      </c>
      <c r="X1254" s="3" t="n">
        <f aca="false">LOOKUP(V1254,$AB$3:$AC$123)</f>
        <v>1.0259</v>
      </c>
      <c r="Y1254" s="2" t="n">
        <f aca="false">(V1254*((W1254+T1254)/1000)*X1254)/((((W1254+T1254)/1000)*X1254)-((W1254/1000)*0.9982))</f>
        <v>34.7150612938012</v>
      </c>
      <c r="Z1254" s="3" t="n">
        <f aca="false">(X1254*(V1254/100)*((W1254+T1254)/1000))*1000</f>
        <v>0.350088375</v>
      </c>
    </row>
    <row r="1255" customFormat="false" ht="15" hidden="false" customHeight="false" outlineLevel="0" collapsed="false">
      <c r="A1255" s="0" t="s">
        <v>40</v>
      </c>
      <c r="B1255" s="0" t="s">
        <v>41</v>
      </c>
      <c r="C1255" s="0" t="s">
        <v>28</v>
      </c>
      <c r="D1255" s="0" t="s">
        <v>154</v>
      </c>
      <c r="E1255" s="0" t="n">
        <v>27</v>
      </c>
      <c r="F1255" s="0" t="n">
        <v>1</v>
      </c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3" t="n">
        <v>6</v>
      </c>
      <c r="S1255" s="3" t="n">
        <v>6.6</v>
      </c>
      <c r="T1255" s="0" t="n">
        <f aca="false">(S1255/32)*5</f>
        <v>1.03125</v>
      </c>
      <c r="V1255" s="3" t="n">
        <v>19</v>
      </c>
      <c r="W1255" s="3" t="n">
        <v>4</v>
      </c>
      <c r="X1255" s="3" t="n">
        <f aca="false">LOOKUP(V1255,$AB$3:$AC$123)</f>
        <v>1.0765</v>
      </c>
      <c r="Y1255" s="2" t="n">
        <f aca="false">(V1255*((W1255+T1255)/1000)*X1255)/((((W1255+T1255)/1000)*X1255)-((W1255/1000)*0.9982))</f>
        <v>72.2993990809473</v>
      </c>
      <c r="Z1255" s="3" t="n">
        <f aca="false">(X1255*(V1255/100)*((W1255+T1255)/1000))*1000</f>
        <v>1.02906671875</v>
      </c>
    </row>
    <row r="1256" customFormat="false" ht="15" hidden="false" customHeight="false" outlineLevel="0" collapsed="false">
      <c r="A1256" s="0" t="s">
        <v>42</v>
      </c>
      <c r="B1256" s="0" t="s">
        <v>43</v>
      </c>
      <c r="C1256" s="0" t="s">
        <v>28</v>
      </c>
      <c r="D1256" s="0" t="s">
        <v>154</v>
      </c>
      <c r="E1256" s="0" t="n">
        <v>27</v>
      </c>
      <c r="F1256" s="0" t="n">
        <v>0</v>
      </c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3" t="n">
        <v>5</v>
      </c>
      <c r="S1256" s="3" t="n">
        <v>12.2</v>
      </c>
      <c r="T1256" s="0" t="n">
        <f aca="false">(S1256/32)*5</f>
        <v>1.90625</v>
      </c>
      <c r="V1256" s="3" t="n">
        <v>21.5</v>
      </c>
      <c r="W1256" s="3" t="n">
        <v>4</v>
      </c>
      <c r="X1256" s="3" t="n">
        <f aca="false">LOOKUP(V1256,$AB$3:$AC$123)</f>
        <v>1.087675</v>
      </c>
      <c r="Y1256" s="2" t="n">
        <f aca="false">(V1256*((W1256+T1256)/1000)*X1256)/((((W1256+T1256)/1000)*X1256)-((W1256/1000)*0.9982))</f>
        <v>56.8086371989554</v>
      </c>
      <c r="Z1256" s="3" t="n">
        <f aca="false">(X1256*(V1256/100)*((W1256+T1256)/1000))*1000</f>
        <v>1.38117730078125</v>
      </c>
    </row>
    <row r="1257" customFormat="false" ht="15" hidden="false" customHeight="false" outlineLevel="0" collapsed="false">
      <c r="A1257" s="0" t="s">
        <v>44</v>
      </c>
      <c r="B1257" s="0" t="s">
        <v>45</v>
      </c>
      <c r="C1257" s="0" t="s">
        <v>28</v>
      </c>
      <c r="D1257" s="0" t="s">
        <v>154</v>
      </c>
      <c r="E1257" s="0" t="n">
        <v>27</v>
      </c>
      <c r="F1257" s="0" t="n">
        <v>1</v>
      </c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3" t="n">
        <v>5</v>
      </c>
      <c r="S1257" s="3" t="n">
        <v>10</v>
      </c>
      <c r="T1257" s="0" t="n">
        <f aca="false">(S1257/32)*5</f>
        <v>1.5625</v>
      </c>
      <c r="V1257" s="3" t="n">
        <v>13</v>
      </c>
      <c r="W1257" s="3" t="n">
        <v>4</v>
      </c>
      <c r="X1257" s="3" t="n">
        <f aca="false">LOOKUP(V1257,$AB$3:$AC$123)</f>
        <v>1.0507</v>
      </c>
      <c r="Y1257" s="2" t="n">
        <f aca="false">(V1257*((W1257+T1257)/1000)*X1257)/((((W1257+T1257)/1000)*X1257)-((W1257/1000)*0.9982))</f>
        <v>41.031470761961</v>
      </c>
      <c r="Z1257" s="3" t="n">
        <f aca="false">(X1257*(V1257/100)*((W1257+T1257)/1000))*1000</f>
        <v>0.7597874375</v>
      </c>
    </row>
    <row r="1258" customFormat="false" ht="15" hidden="false" customHeight="false" outlineLevel="0" collapsed="false">
      <c r="A1258" s="0" t="s">
        <v>46</v>
      </c>
      <c r="B1258" s="0" t="s">
        <v>47</v>
      </c>
      <c r="C1258" s="0" t="s">
        <v>28</v>
      </c>
      <c r="D1258" s="0" t="s">
        <v>154</v>
      </c>
      <c r="E1258" s="0" t="n">
        <v>27</v>
      </c>
      <c r="F1258" s="0" t="n">
        <v>1</v>
      </c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3" t="n">
        <v>2</v>
      </c>
      <c r="S1258" s="3" t="n">
        <v>5.1</v>
      </c>
      <c r="T1258" s="0" t="n">
        <f aca="false">(S1258/32)*5</f>
        <v>0.796875</v>
      </c>
      <c r="V1258" s="3" t="n">
        <v>7</v>
      </c>
      <c r="W1258" s="3" t="n">
        <v>4</v>
      </c>
      <c r="X1258" s="3" t="n">
        <f aca="false">LOOKUP(V1258,$AB$3:$AC$123)</f>
        <v>1.0259</v>
      </c>
      <c r="Y1258" s="2" t="n">
        <f aca="false">(V1258*((W1258+T1258)/1000)*X1258)/((((W1258+T1258)/1000)*X1258)-((W1258/1000)*0.9982))</f>
        <v>37.1079140444455</v>
      </c>
      <c r="Z1258" s="3" t="n">
        <f aca="false">(X1258*(V1258/100)*((W1258+T1258)/1000))*1000</f>
        <v>0.344477984375</v>
      </c>
    </row>
    <row r="1259" customFormat="false" ht="15" hidden="false" customHeight="false" outlineLevel="0" collapsed="false">
      <c r="A1259" s="0" t="s">
        <v>48</v>
      </c>
      <c r="B1259" s="0" t="s">
        <v>49</v>
      </c>
      <c r="C1259" s="0" t="s">
        <v>28</v>
      </c>
      <c r="D1259" s="0" t="s">
        <v>154</v>
      </c>
      <c r="E1259" s="0" t="n">
        <v>27</v>
      </c>
      <c r="F1259" s="0" t="n">
        <v>0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3" t="n">
        <v>3</v>
      </c>
      <c r="S1259" s="3" t="n">
        <v>9.6</v>
      </c>
      <c r="T1259" s="0" t="n">
        <f aca="false">(S1259/32)*5</f>
        <v>1.5</v>
      </c>
      <c r="V1259" s="3" t="n">
        <v>21</v>
      </c>
      <c r="W1259" s="3" t="n">
        <v>4</v>
      </c>
      <c r="X1259" s="3" t="n">
        <f aca="false">LOOKUP(V1259,$AB$3:$AC$123)</f>
        <v>1.08545</v>
      </c>
      <c r="Y1259" s="2" t="n">
        <f aca="false">(V1259*((W1259+T1259)/1000)*X1259)/((((W1259+T1259)/1000)*X1259)-((W1259/1000)*0.9982))</f>
        <v>63.4083857018221</v>
      </c>
      <c r="Z1259" s="3" t="n">
        <f aca="false">(X1259*(V1259/100)*((W1259+T1259)/1000))*1000</f>
        <v>1.25369475</v>
      </c>
    </row>
    <row r="1260" customFormat="false" ht="15" hidden="false" customHeight="false" outlineLevel="0" collapsed="false">
      <c r="A1260" s="0" t="s">
        <v>50</v>
      </c>
      <c r="B1260" s="0" t="s">
        <v>51</v>
      </c>
      <c r="C1260" s="0" t="s">
        <v>28</v>
      </c>
      <c r="D1260" s="0" t="s">
        <v>154</v>
      </c>
      <c r="E1260" s="0" t="n">
        <v>27</v>
      </c>
      <c r="F1260" s="0" t="n">
        <v>0</v>
      </c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3" t="n">
        <v>5</v>
      </c>
      <c r="S1260" s="3" t="n">
        <v>10.6</v>
      </c>
      <c r="T1260" s="0" t="n">
        <f aca="false">(S1260/32)*5</f>
        <v>1.65625</v>
      </c>
      <c r="V1260" s="3" t="n">
        <v>11.5</v>
      </c>
      <c r="W1260" s="3" t="n">
        <v>4</v>
      </c>
      <c r="X1260" s="3" t="n">
        <f aca="false">LOOKUP(V1260,$AB$3:$AC$123)</f>
        <v>1.0444</v>
      </c>
      <c r="Y1260" s="2" t="n">
        <f aca="false">(V1260*((W1260+T1260)/1000)*X1260)/((((W1260+T1260)/1000)*X1260)-((W1260/1000)*0.9982))</f>
        <v>35.4828161418582</v>
      </c>
      <c r="Z1260" s="3" t="n">
        <f aca="false">(X1260*(V1260/100)*((W1260+T1260)/1000))*1000</f>
        <v>0.6793495625</v>
      </c>
    </row>
    <row r="1261" customFormat="false" ht="15" hidden="false" customHeight="false" outlineLevel="0" collapsed="false">
      <c r="A1261" s="0" t="s">
        <v>52</v>
      </c>
      <c r="B1261" s="0" t="s">
        <v>53</v>
      </c>
      <c r="C1261" s="0" t="s">
        <v>28</v>
      </c>
      <c r="D1261" s="0" t="s">
        <v>154</v>
      </c>
      <c r="E1261" s="0" t="n">
        <v>27</v>
      </c>
      <c r="F1261" s="0" t="n">
        <v>2</v>
      </c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3" t="n">
        <v>1</v>
      </c>
      <c r="S1261" s="3" t="n">
        <v>4.6</v>
      </c>
      <c r="T1261" s="0" t="n">
        <f aca="false">(S1261/32)*5</f>
        <v>0.71875</v>
      </c>
      <c r="V1261" s="3" t="n">
        <v>7</v>
      </c>
      <c r="W1261" s="3" t="n">
        <v>4</v>
      </c>
      <c r="X1261" s="3" t="n">
        <f aca="false">LOOKUP(V1261,$AB$3:$AC$123)</f>
        <v>1.0259</v>
      </c>
      <c r="Y1261" s="2" t="n">
        <f aca="false">(V1261*((W1261+T1261)/1000)*X1261)/((((W1261+T1261)/1000)*X1261)-((W1261/1000)*0.9982))</f>
        <v>39.9529978298755</v>
      </c>
      <c r="Z1261" s="3" t="n">
        <f aca="false">(X1261*(V1261/100)*((W1261+T1261)/1000))*1000</f>
        <v>0.33886759375</v>
      </c>
    </row>
    <row r="1262" customFormat="false" ht="15" hidden="false" customHeight="false" outlineLevel="0" collapsed="false">
      <c r="A1262" s="0" t="s">
        <v>54</v>
      </c>
      <c r="B1262" s="0" t="s">
        <v>55</v>
      </c>
      <c r="C1262" s="0" t="s">
        <v>56</v>
      </c>
      <c r="D1262" s="0" t="s">
        <v>154</v>
      </c>
      <c r="E1262" s="0" t="n">
        <v>27</v>
      </c>
      <c r="F1262" s="0" t="n">
        <v>0</v>
      </c>
      <c r="G1262" s="1"/>
      <c r="H1262" s="1"/>
      <c r="I1262" s="0" t="n">
        <v>0</v>
      </c>
      <c r="J1262" s="0" t="n">
        <f aca="false">(I1262/32)*5</f>
        <v>0</v>
      </c>
      <c r="L1262" s="0" t="n">
        <v>0</v>
      </c>
      <c r="M1262" s="0" t="n">
        <v>0</v>
      </c>
      <c r="N1262" s="0" t="n">
        <f aca="false">L1262</f>
        <v>0</v>
      </c>
      <c r="O1262" s="3" t="n">
        <v>0</v>
      </c>
      <c r="P1262" s="3" t="n">
        <f aca="false">(O1262*(N1262/100)*(J1262/1000))*1000</f>
        <v>0</v>
      </c>
      <c r="Q1262" s="3"/>
      <c r="R1262" s="1"/>
      <c r="S1262" s="1"/>
      <c r="T1262" s="1"/>
      <c r="U1262" s="1"/>
      <c r="V1262" s="1"/>
      <c r="W1262" s="1"/>
      <c r="X1262" s="1"/>
      <c r="Y1262" s="5"/>
      <c r="Z1262" s="1"/>
    </row>
    <row r="1263" customFormat="false" ht="15" hidden="false" customHeight="false" outlineLevel="0" collapsed="false">
      <c r="A1263" s="0" t="s">
        <v>57</v>
      </c>
      <c r="B1263" s="0" t="s">
        <v>58</v>
      </c>
      <c r="C1263" s="0" t="s">
        <v>56</v>
      </c>
      <c r="D1263" s="0" t="s">
        <v>154</v>
      </c>
      <c r="E1263" s="0" t="n">
        <v>27</v>
      </c>
      <c r="F1263" s="0" t="n">
        <v>0</v>
      </c>
      <c r="G1263" s="1"/>
      <c r="H1263" s="1"/>
      <c r="I1263" s="0" t="n">
        <v>0</v>
      </c>
      <c r="J1263" s="0" t="n">
        <f aca="false">(I1263/32)*5</f>
        <v>0</v>
      </c>
      <c r="L1263" s="0" t="n">
        <v>0</v>
      </c>
      <c r="M1263" s="0" t="n">
        <v>0</v>
      </c>
      <c r="N1263" s="0" t="n">
        <f aca="false">L1263</f>
        <v>0</v>
      </c>
      <c r="O1263" s="3" t="n">
        <v>0</v>
      </c>
      <c r="P1263" s="3" t="n">
        <f aca="false">(O1263*(N1263/100)*(J1263/1000))*1000</f>
        <v>0</v>
      </c>
      <c r="Q1263" s="3"/>
      <c r="R1263" s="1"/>
      <c r="S1263" s="1"/>
      <c r="T1263" s="1"/>
      <c r="U1263" s="1"/>
      <c r="V1263" s="1"/>
      <c r="W1263" s="1"/>
      <c r="X1263" s="1"/>
      <c r="Y1263" s="5"/>
      <c r="Z1263" s="1"/>
    </row>
    <row r="1264" customFormat="false" ht="15" hidden="false" customHeight="false" outlineLevel="0" collapsed="false">
      <c r="A1264" s="0" t="s">
        <v>59</v>
      </c>
      <c r="B1264" s="0" t="s">
        <v>60</v>
      </c>
      <c r="C1264" s="0" t="s">
        <v>56</v>
      </c>
      <c r="D1264" s="0" t="s">
        <v>154</v>
      </c>
      <c r="E1264" s="0" t="n">
        <v>27</v>
      </c>
      <c r="F1264" s="0" t="n">
        <v>3</v>
      </c>
      <c r="G1264" s="1"/>
      <c r="H1264" s="1"/>
      <c r="I1264" s="0" t="n">
        <f aca="false">32*4</f>
        <v>128</v>
      </c>
      <c r="J1264" s="0" t="n">
        <f aca="false">(I1264/32)*5</f>
        <v>20</v>
      </c>
      <c r="L1264" s="0" t="n">
        <v>27</v>
      </c>
      <c r="M1264" s="0" t="n">
        <v>0</v>
      </c>
      <c r="N1264" s="0" t="n">
        <f aca="false">L1264</f>
        <v>27</v>
      </c>
      <c r="O1264" s="3" t="n">
        <f aca="false">LOOKUP(L1264,$AB$3:$AC$123)</f>
        <v>1.1128</v>
      </c>
      <c r="P1264" s="3" t="n">
        <f aca="false">(O1264*(N1264/100)*(J1264/1000))*1000</f>
        <v>6.00912</v>
      </c>
      <c r="Q1264" s="3"/>
      <c r="R1264" s="1"/>
      <c r="S1264" s="1"/>
      <c r="T1264" s="1"/>
      <c r="U1264" s="1"/>
      <c r="V1264" s="1"/>
      <c r="W1264" s="1"/>
      <c r="X1264" s="1"/>
      <c r="Y1264" s="5"/>
      <c r="Z1264" s="1"/>
    </row>
    <row r="1265" customFormat="false" ht="15" hidden="false" customHeight="false" outlineLevel="0" collapsed="false">
      <c r="A1265" s="0" t="s">
        <v>61</v>
      </c>
      <c r="B1265" s="0" t="s">
        <v>62</v>
      </c>
      <c r="C1265" s="0" t="s">
        <v>56</v>
      </c>
      <c r="D1265" s="0" t="s">
        <v>154</v>
      </c>
      <c r="E1265" s="0" t="n">
        <v>27</v>
      </c>
      <c r="F1265" s="0" t="n">
        <v>4</v>
      </c>
      <c r="G1265" s="1"/>
      <c r="H1265" s="1"/>
      <c r="I1265" s="0" t="n">
        <f aca="false">32*6+16.7</f>
        <v>208.7</v>
      </c>
      <c r="J1265" s="0" t="n">
        <f aca="false">(I1265/32)*5</f>
        <v>32.609375</v>
      </c>
      <c r="L1265" s="0" t="n">
        <v>22</v>
      </c>
      <c r="M1265" s="0" t="n">
        <v>0</v>
      </c>
      <c r="N1265" s="0" t="n">
        <f aca="false">L1265</f>
        <v>22</v>
      </c>
      <c r="O1265" s="3" t="n">
        <f aca="false">LOOKUP(L1265,$AB$3:$AC$123)</f>
        <v>1.0899</v>
      </c>
      <c r="P1265" s="3" t="n">
        <f aca="false">(O1265*(N1265/100)*(J1265/1000))*1000</f>
        <v>7.81901071875</v>
      </c>
      <c r="Q1265" s="3"/>
      <c r="R1265" s="1"/>
      <c r="S1265" s="1"/>
      <c r="T1265" s="1"/>
      <c r="U1265" s="1"/>
      <c r="V1265" s="1"/>
      <c r="W1265" s="1"/>
      <c r="X1265" s="1"/>
      <c r="Y1265" s="5"/>
      <c r="Z1265" s="1"/>
    </row>
    <row r="1266" customFormat="false" ht="15" hidden="false" customHeight="false" outlineLevel="0" collapsed="false">
      <c r="A1266" s="0" t="s">
        <v>63</v>
      </c>
      <c r="B1266" s="0" t="s">
        <v>64</v>
      </c>
      <c r="C1266" s="0" t="s">
        <v>56</v>
      </c>
      <c r="D1266" s="0" t="s">
        <v>154</v>
      </c>
      <c r="E1266" s="0" t="n">
        <v>27</v>
      </c>
      <c r="F1266" s="0" t="n">
        <v>0</v>
      </c>
      <c r="G1266" s="1"/>
      <c r="H1266" s="1"/>
      <c r="I1266" s="0" t="n">
        <v>0</v>
      </c>
      <c r="J1266" s="0" t="n">
        <f aca="false">(I1266/32)*5</f>
        <v>0</v>
      </c>
      <c r="L1266" s="0" t="n">
        <v>0</v>
      </c>
      <c r="M1266" s="0" t="n">
        <v>0</v>
      </c>
      <c r="N1266" s="0" t="n">
        <f aca="false">L1266</f>
        <v>0</v>
      </c>
      <c r="O1266" s="3" t="n">
        <v>0</v>
      </c>
      <c r="P1266" s="3" t="n">
        <f aca="false">(O1266*(N1266/100)*(J1266/1000))*1000</f>
        <v>0</v>
      </c>
      <c r="Q1266" s="3"/>
      <c r="R1266" s="1"/>
      <c r="S1266" s="1"/>
      <c r="T1266" s="1"/>
      <c r="U1266" s="1"/>
      <c r="V1266" s="1"/>
      <c r="W1266" s="1"/>
      <c r="X1266" s="1"/>
      <c r="Y1266" s="5"/>
      <c r="Z1266" s="1"/>
    </row>
    <row r="1267" customFormat="false" ht="15" hidden="false" customHeight="false" outlineLevel="0" collapsed="false">
      <c r="A1267" s="0" t="s">
        <v>65</v>
      </c>
      <c r="B1267" s="0" t="s">
        <v>66</v>
      </c>
      <c r="C1267" s="0" t="s">
        <v>56</v>
      </c>
      <c r="D1267" s="0" t="s">
        <v>154</v>
      </c>
      <c r="E1267" s="0" t="n">
        <v>27</v>
      </c>
      <c r="F1267" s="0" t="n">
        <v>4</v>
      </c>
      <c r="G1267" s="1"/>
      <c r="H1267" s="1"/>
      <c r="I1267" s="0" t="n">
        <f aca="false">32*6+14.3</f>
        <v>206.3</v>
      </c>
      <c r="J1267" s="0" t="n">
        <f aca="false">(I1267/32)*5</f>
        <v>32.234375</v>
      </c>
      <c r="L1267" s="0" t="n">
        <v>26</v>
      </c>
      <c r="M1267" s="0" t="n">
        <v>0</v>
      </c>
      <c r="N1267" s="0" t="n">
        <f aca="false">L1267</f>
        <v>26</v>
      </c>
      <c r="O1267" s="3" t="n">
        <f aca="false">LOOKUP(L1267,$AB$3:$AC$123)</f>
        <v>1.1081</v>
      </c>
      <c r="P1267" s="3" t="n">
        <f aca="false">(O1267*(N1267/100)*(J1267/1000))*1000</f>
        <v>9.28691684375</v>
      </c>
      <c r="Q1267" s="3"/>
      <c r="R1267" s="1"/>
      <c r="S1267" s="1"/>
      <c r="T1267" s="1"/>
      <c r="U1267" s="1"/>
      <c r="V1267" s="1"/>
      <c r="W1267" s="1"/>
      <c r="X1267" s="1"/>
      <c r="Y1267" s="5"/>
      <c r="Z1267" s="1"/>
    </row>
    <row r="1268" customFormat="false" ht="15" hidden="false" customHeight="false" outlineLevel="0" collapsed="false">
      <c r="A1268" s="0" t="s">
        <v>67</v>
      </c>
      <c r="B1268" s="0" t="s">
        <v>68</v>
      </c>
      <c r="C1268" s="0" t="s">
        <v>56</v>
      </c>
      <c r="D1268" s="0" t="s">
        <v>154</v>
      </c>
      <c r="E1268" s="0" t="n">
        <v>27</v>
      </c>
      <c r="F1268" s="0" t="n">
        <v>0</v>
      </c>
      <c r="G1268" s="1"/>
      <c r="H1268" s="1"/>
      <c r="I1268" s="0" t="n">
        <v>0</v>
      </c>
      <c r="J1268" s="0" t="n">
        <f aca="false">(I1268/32)*5</f>
        <v>0</v>
      </c>
      <c r="L1268" s="0" t="n">
        <v>0</v>
      </c>
      <c r="M1268" s="0" t="n">
        <v>0</v>
      </c>
      <c r="N1268" s="0" t="n">
        <f aca="false">L1268</f>
        <v>0</v>
      </c>
      <c r="O1268" s="3" t="n">
        <v>0</v>
      </c>
      <c r="P1268" s="3" t="n">
        <f aca="false">(O1268*(N1268/100)*(J1268/1000))*1000</f>
        <v>0</v>
      </c>
      <c r="Q1268" s="3"/>
      <c r="R1268" s="1"/>
      <c r="S1268" s="1"/>
      <c r="T1268" s="1"/>
      <c r="U1268" s="1"/>
      <c r="V1268" s="1"/>
      <c r="W1268" s="1"/>
      <c r="X1268" s="1"/>
      <c r="Y1268" s="5"/>
      <c r="Z1268" s="1"/>
    </row>
    <row r="1269" customFormat="false" ht="15" hidden="false" customHeight="false" outlineLevel="0" collapsed="false">
      <c r="A1269" s="0" t="s">
        <v>69</v>
      </c>
      <c r="B1269" s="0" t="s">
        <v>70</v>
      </c>
      <c r="C1269" s="0" t="s">
        <v>56</v>
      </c>
      <c r="D1269" s="0" t="s">
        <v>154</v>
      </c>
      <c r="E1269" s="0" t="n">
        <v>27</v>
      </c>
      <c r="F1269" s="0" t="n">
        <v>4</v>
      </c>
      <c r="G1269" s="1"/>
      <c r="H1269" s="1"/>
      <c r="I1269" s="0" t="n">
        <f aca="false">32*4+21.9</f>
        <v>149.9</v>
      </c>
      <c r="J1269" s="0" t="n">
        <f aca="false">(I1269/32)*5</f>
        <v>23.421875</v>
      </c>
      <c r="L1269" s="0" t="n">
        <v>13</v>
      </c>
      <c r="M1269" s="0" t="n">
        <v>0</v>
      </c>
      <c r="N1269" s="0" t="n">
        <f aca="false">L1269</f>
        <v>13</v>
      </c>
      <c r="O1269" s="3" t="n">
        <f aca="false">LOOKUP(L1269,$AB$3:$AC$123)</f>
        <v>1.0507</v>
      </c>
      <c r="P1269" s="3" t="n">
        <f aca="false">(O1269*(N1269/100)*(J1269/1000))*1000</f>
        <v>3.199217328125</v>
      </c>
      <c r="Q1269" s="3"/>
      <c r="R1269" s="1"/>
      <c r="S1269" s="1"/>
      <c r="T1269" s="1"/>
      <c r="U1269" s="1"/>
      <c r="V1269" s="1"/>
      <c r="W1269" s="1"/>
      <c r="X1269" s="1"/>
      <c r="Y1269" s="5"/>
      <c r="Z1269" s="1"/>
    </row>
    <row r="1270" customFormat="false" ht="15" hidden="false" customHeight="false" outlineLevel="0" collapsed="false">
      <c r="A1270" s="0" t="s">
        <v>71</v>
      </c>
      <c r="B1270" s="0" t="s">
        <v>72</v>
      </c>
      <c r="C1270" s="0" t="s">
        <v>56</v>
      </c>
      <c r="D1270" s="0" t="s">
        <v>154</v>
      </c>
      <c r="E1270" s="0" t="n">
        <v>27</v>
      </c>
      <c r="F1270" s="0" t="n">
        <v>1</v>
      </c>
      <c r="G1270" s="1"/>
      <c r="H1270" s="1"/>
      <c r="I1270" s="0" t="n">
        <v>64</v>
      </c>
      <c r="J1270" s="0" t="n">
        <f aca="false">(I1270/32)*5</f>
        <v>10</v>
      </c>
      <c r="L1270" s="0" t="n">
        <v>16</v>
      </c>
      <c r="M1270" s="0" t="n">
        <v>0</v>
      </c>
      <c r="N1270" s="0" t="n">
        <f aca="false">L1270</f>
        <v>16</v>
      </c>
      <c r="O1270" s="3" t="n">
        <f aca="false">LOOKUP(L1270,$AB$3:$AC$123)</f>
        <v>1.0635</v>
      </c>
      <c r="P1270" s="3" t="n">
        <f aca="false">(O1270*(N1270/100)*(J1270/1000))*1000</f>
        <v>1.7016</v>
      </c>
      <c r="Q1270" s="3"/>
      <c r="R1270" s="1"/>
      <c r="S1270" s="1"/>
      <c r="T1270" s="1"/>
      <c r="U1270" s="1"/>
      <c r="V1270" s="1"/>
      <c r="W1270" s="1"/>
      <c r="X1270" s="1"/>
      <c r="Y1270" s="5"/>
      <c r="Z1270" s="1"/>
    </row>
    <row r="1271" customFormat="false" ht="15" hidden="false" customHeight="false" outlineLevel="0" collapsed="false">
      <c r="A1271" s="0" t="s">
        <v>73</v>
      </c>
      <c r="B1271" s="0" t="s">
        <v>74</v>
      </c>
      <c r="C1271" s="0" t="s">
        <v>56</v>
      </c>
      <c r="D1271" s="0" t="s">
        <v>154</v>
      </c>
      <c r="E1271" s="0" t="n">
        <v>27</v>
      </c>
      <c r="F1271" s="0" t="n">
        <v>1</v>
      </c>
      <c r="G1271" s="1"/>
      <c r="H1271" s="1"/>
      <c r="I1271" s="0" t="n">
        <f aca="false">64+19.6</f>
        <v>83.6</v>
      </c>
      <c r="J1271" s="0" t="n">
        <f aca="false">(I1271/32)*5</f>
        <v>13.0625</v>
      </c>
      <c r="L1271" s="0" t="n">
        <v>25</v>
      </c>
      <c r="M1271" s="0" t="n">
        <v>0</v>
      </c>
      <c r="N1271" s="0" t="n">
        <f aca="false">L1271</f>
        <v>25</v>
      </c>
      <c r="O1271" s="3" t="n">
        <f aca="false">LOOKUP(L1271,$AB$3:$AC$123)</f>
        <v>1.10355</v>
      </c>
      <c r="P1271" s="3" t="n">
        <f aca="false">(O1271*(N1271/100)*(J1271/1000))*1000</f>
        <v>3.60378046875</v>
      </c>
      <c r="Q1271" s="3"/>
      <c r="R1271" s="1"/>
      <c r="S1271" s="1"/>
      <c r="T1271" s="1"/>
      <c r="U1271" s="1"/>
      <c r="V1271" s="1"/>
      <c r="W1271" s="1"/>
      <c r="X1271" s="1"/>
      <c r="Y1271" s="5"/>
      <c r="Z1271" s="1"/>
    </row>
    <row r="1272" customFormat="false" ht="15" hidden="false" customHeight="false" outlineLevel="0" collapsed="false">
      <c r="A1272" s="0" t="s">
        <v>75</v>
      </c>
      <c r="B1272" s="0" t="s">
        <v>76</v>
      </c>
      <c r="C1272" s="0" t="s">
        <v>56</v>
      </c>
      <c r="D1272" s="0" t="s">
        <v>154</v>
      </c>
      <c r="E1272" s="0" t="n">
        <v>27</v>
      </c>
      <c r="F1272" s="0" t="n">
        <v>0</v>
      </c>
      <c r="G1272" s="1"/>
      <c r="H1272" s="1"/>
      <c r="I1272" s="0" t="n">
        <v>0</v>
      </c>
      <c r="J1272" s="0" t="n">
        <f aca="false">(I1272/32)*5</f>
        <v>0</v>
      </c>
      <c r="L1272" s="0" t="n">
        <v>0</v>
      </c>
      <c r="M1272" s="0" t="n">
        <v>0</v>
      </c>
      <c r="N1272" s="0" t="n">
        <f aca="false">L1272</f>
        <v>0</v>
      </c>
      <c r="O1272" s="3" t="n">
        <v>0</v>
      </c>
      <c r="P1272" s="3" t="n">
        <f aca="false">(O1272*(N1272/100)*(J1272/1000))*1000</f>
        <v>0</v>
      </c>
      <c r="Q1272" s="3"/>
      <c r="R1272" s="1"/>
      <c r="S1272" s="1"/>
      <c r="T1272" s="1"/>
      <c r="U1272" s="1"/>
      <c r="V1272" s="1"/>
      <c r="W1272" s="1"/>
      <c r="X1272" s="1"/>
      <c r="Y1272" s="5"/>
      <c r="Z1272" s="1"/>
    </row>
    <row r="1273" customFormat="false" ht="15" hidden="false" customHeight="false" outlineLevel="0" collapsed="false">
      <c r="A1273" s="0" t="s">
        <v>77</v>
      </c>
      <c r="B1273" s="0" t="s">
        <v>78</v>
      </c>
      <c r="C1273" s="0" t="s">
        <v>56</v>
      </c>
      <c r="D1273" s="0" t="s">
        <v>154</v>
      </c>
      <c r="E1273" s="0" t="n">
        <v>27</v>
      </c>
      <c r="F1273" s="0" t="n">
        <v>1</v>
      </c>
      <c r="G1273" s="1"/>
      <c r="H1273" s="1"/>
      <c r="I1273" s="0" t="n">
        <f aca="false">32+11.7</f>
        <v>43.7</v>
      </c>
      <c r="J1273" s="0" t="n">
        <f aca="false">(I1273/32)*5</f>
        <v>6.828125</v>
      </c>
      <c r="L1273" s="0" t="n">
        <v>23</v>
      </c>
      <c r="M1273" s="0" t="n">
        <v>0</v>
      </c>
      <c r="N1273" s="0" t="n">
        <f aca="false">L1273</f>
        <v>23</v>
      </c>
      <c r="O1273" s="3" t="n">
        <f aca="false">LOOKUP(L1273,$AB$3:$AC$123)</f>
        <v>1.09445</v>
      </c>
      <c r="P1273" s="3" t="n">
        <f aca="false">(O1273*(N1273/100)*(J1273/1000))*1000</f>
        <v>1.7187995234375</v>
      </c>
      <c r="Q1273" s="3"/>
      <c r="R1273" s="1"/>
      <c r="S1273" s="1"/>
      <c r="T1273" s="1"/>
      <c r="U1273" s="1"/>
      <c r="V1273" s="1"/>
      <c r="W1273" s="1"/>
      <c r="X1273" s="1"/>
      <c r="Y1273" s="5"/>
      <c r="Z1273" s="1"/>
    </row>
    <row r="1274" customFormat="false" ht="15" hidden="false" customHeight="false" outlineLevel="0" collapsed="false">
      <c r="A1274" s="0" t="s">
        <v>79</v>
      </c>
      <c r="B1274" s="0" t="s">
        <v>80</v>
      </c>
      <c r="C1274" s="0" t="s">
        <v>81</v>
      </c>
      <c r="D1274" s="0" t="s">
        <v>154</v>
      </c>
      <c r="E1274" s="0" t="n">
        <v>27</v>
      </c>
      <c r="F1274" s="0" t="n">
        <v>1</v>
      </c>
      <c r="G1274" s="1"/>
      <c r="H1274" s="1"/>
      <c r="I1274" s="0" t="n">
        <v>23.1</v>
      </c>
      <c r="J1274" s="0" t="n">
        <f aca="false">(I1274/32)*5</f>
        <v>3.609375</v>
      </c>
      <c r="L1274" s="0" t="n">
        <v>29</v>
      </c>
      <c r="M1274" s="0" t="n">
        <v>0</v>
      </c>
      <c r="N1274" s="0" t="n">
        <f aca="false">L1274</f>
        <v>29</v>
      </c>
      <c r="O1274" s="3" t="n">
        <f aca="false">LOOKUP(L1274,$AB$3:$AC$123)</f>
        <v>1.12225</v>
      </c>
      <c r="P1274" s="3" t="n">
        <f aca="false">(O1274*(N1274/100)*(J1274/1000))*1000</f>
        <v>1.1746801171875</v>
      </c>
      <c r="Q1274" s="3"/>
      <c r="R1274" s="0" t="n">
        <v>4</v>
      </c>
      <c r="S1274" s="0" t="n">
        <v>11.9</v>
      </c>
      <c r="T1274" s="0" t="n">
        <f aca="false">(S1274/32)*5</f>
        <v>1.859375</v>
      </c>
      <c r="V1274" s="0" t="n">
        <v>20</v>
      </c>
      <c r="W1274" s="0" t="n">
        <v>4</v>
      </c>
      <c r="X1274" s="3" t="n">
        <f aca="false">LOOKUP(V1274,$AB$3:$AC$123)</f>
        <v>1.081</v>
      </c>
      <c r="Y1274" s="2" t="n">
        <f aca="false">(V1274*((W1274+T1274)/1000)*X1274)/((((W1274+T1274)/1000)*X1274)-((W1274/1000)*0.9982))</f>
        <v>54.109231572161</v>
      </c>
      <c r="Z1274" s="3" t="n">
        <f aca="false">(X1274*(V1274/100)*((W1274+T1274)/1000))*1000</f>
        <v>1.266796875</v>
      </c>
    </row>
    <row r="1275" customFormat="false" ht="15" hidden="false" customHeight="false" outlineLevel="0" collapsed="false">
      <c r="A1275" s="0" t="s">
        <v>82</v>
      </c>
      <c r="B1275" s="0" t="s">
        <v>83</v>
      </c>
      <c r="C1275" s="0" t="s">
        <v>81</v>
      </c>
      <c r="D1275" s="0" t="s">
        <v>154</v>
      </c>
      <c r="E1275" s="0" t="n">
        <v>27</v>
      </c>
      <c r="F1275" s="0" t="n">
        <v>1</v>
      </c>
      <c r="G1275" s="1"/>
      <c r="H1275" s="1"/>
      <c r="I1275" s="0" t="n">
        <f aca="false">32+22.4</f>
        <v>54.4</v>
      </c>
      <c r="J1275" s="0" t="n">
        <f aca="false">(I1275/32)*5</f>
        <v>8.5</v>
      </c>
      <c r="L1275" s="0" t="n">
        <v>33</v>
      </c>
      <c r="M1275" s="0" t="n">
        <v>0</v>
      </c>
      <c r="N1275" s="0" t="n">
        <f aca="false">L1275</f>
        <v>33</v>
      </c>
      <c r="O1275" s="3" t="n">
        <f aca="false">LOOKUP(L1275,$AB$3:$AC$123)</f>
        <v>1.1415</v>
      </c>
      <c r="P1275" s="3" t="n">
        <f aca="false">(O1275*(N1275/100)*(J1275/1000))*1000</f>
        <v>3.2019075</v>
      </c>
      <c r="Q1275" s="3"/>
      <c r="R1275" s="0" t="n">
        <v>3</v>
      </c>
      <c r="S1275" s="0" t="n">
        <v>20.3</v>
      </c>
      <c r="T1275" s="0" t="n">
        <f aca="false">(S1275/32)*5</f>
        <v>3.171875</v>
      </c>
      <c r="V1275" s="0" t="n">
        <v>26</v>
      </c>
      <c r="W1275" s="0" t="n">
        <v>4</v>
      </c>
      <c r="X1275" s="3" t="n">
        <f aca="false">LOOKUP(V1275,$AB$3:$AC$123)</f>
        <v>1.1081</v>
      </c>
      <c r="Y1275" s="2" t="n">
        <f aca="false">(V1275*((W1275+T1275)/1000)*X1275)/((((W1275+T1275)/1000)*X1275)-((W1275/1000)*0.9982))</f>
        <v>52.252779076232</v>
      </c>
      <c r="Z1275" s="3" t="n">
        <f aca="false">(X1275*(V1275/100)*((W1275+T1275)/1000))*1000</f>
        <v>2.06626021875</v>
      </c>
    </row>
    <row r="1276" customFormat="false" ht="15" hidden="false" customHeight="false" outlineLevel="0" collapsed="false">
      <c r="A1276" s="0" t="s">
        <v>84</v>
      </c>
      <c r="B1276" s="0" t="s">
        <v>85</v>
      </c>
      <c r="C1276" s="0" t="s">
        <v>81</v>
      </c>
      <c r="D1276" s="0" t="s">
        <v>154</v>
      </c>
      <c r="E1276" s="0" t="n">
        <v>27</v>
      </c>
      <c r="F1276" s="0" t="n">
        <v>1</v>
      </c>
      <c r="G1276" s="1"/>
      <c r="H1276" s="1"/>
      <c r="I1276" s="0" t="n">
        <f aca="false">64</f>
        <v>64</v>
      </c>
      <c r="J1276" s="0" t="n">
        <f aca="false">(I1276/32)*5</f>
        <v>10</v>
      </c>
      <c r="L1276" s="0" t="n">
        <v>18</v>
      </c>
      <c r="M1276" s="0" t="n">
        <v>0</v>
      </c>
      <c r="N1276" s="0" t="n">
        <f aca="false">L1276</f>
        <v>18</v>
      </c>
      <c r="O1276" s="3" t="n">
        <f aca="false">LOOKUP(L1276,$AB$3:$AC$123)</f>
        <v>1.0722</v>
      </c>
      <c r="P1276" s="3" t="n">
        <f aca="false">(O1276*(N1276/100)*(J1276/1000))*1000</f>
        <v>1.92996</v>
      </c>
      <c r="Q1276" s="3"/>
      <c r="R1276" s="0" t="n">
        <v>4</v>
      </c>
      <c r="S1276" s="0" t="n">
        <v>19.1</v>
      </c>
      <c r="T1276" s="0" t="n">
        <f aca="false">(S1276/32)*5</f>
        <v>2.984375</v>
      </c>
      <c r="V1276" s="0" t="n">
        <v>24.5</v>
      </c>
      <c r="W1276" s="0" t="n">
        <v>4</v>
      </c>
      <c r="X1276" s="3" t="n">
        <f aca="false">LOOKUP(V1276,$AB$3:$AC$123)</f>
        <v>1.101275</v>
      </c>
      <c r="Y1276" s="2" t="n">
        <f aca="false">(V1276*((W1276+T1276)/1000)*X1276)/((((W1276+T1276)/1000)*X1276)-((W1276/1000)*0.9982))</f>
        <v>50.9465476545134</v>
      </c>
      <c r="Z1276" s="3" t="n">
        <f aca="false">(X1276*(V1276/100)*((W1276+T1276)/1000))*1000</f>
        <v>1.88447080664062</v>
      </c>
    </row>
    <row r="1277" customFormat="false" ht="15" hidden="false" customHeight="false" outlineLevel="0" collapsed="false">
      <c r="A1277" s="0" t="s">
        <v>86</v>
      </c>
      <c r="B1277" s="0" t="s">
        <v>87</v>
      </c>
      <c r="C1277" s="0" t="s">
        <v>81</v>
      </c>
      <c r="D1277" s="0" t="s">
        <v>154</v>
      </c>
      <c r="E1277" s="0" t="n">
        <v>27</v>
      </c>
      <c r="F1277" s="0" t="n">
        <v>2</v>
      </c>
      <c r="G1277" s="1"/>
      <c r="H1277" s="1"/>
      <c r="I1277" s="0" t="n">
        <f aca="false">32*3+11.1</f>
        <v>107.1</v>
      </c>
      <c r="J1277" s="0" t="n">
        <f aca="false">(I1277/32)*5</f>
        <v>16.734375</v>
      </c>
      <c r="L1277" s="0" t="n">
        <v>20</v>
      </c>
      <c r="M1277" s="0" t="n">
        <v>0</v>
      </c>
      <c r="N1277" s="0" t="n">
        <f aca="false">L1277</f>
        <v>20</v>
      </c>
      <c r="O1277" s="3" t="n">
        <f aca="false">LOOKUP(L1277,$AB$3:$AC$123)</f>
        <v>1.081</v>
      </c>
      <c r="P1277" s="3" t="n">
        <f aca="false">(O1277*(N1277/100)*(J1277/1000))*1000</f>
        <v>3.617971875</v>
      </c>
      <c r="Q1277" s="3"/>
      <c r="R1277" s="0" t="n">
        <v>3</v>
      </c>
      <c r="S1277" s="0" t="n">
        <v>6.7</v>
      </c>
      <c r="T1277" s="0" t="n">
        <f aca="false">(S1277/32)*5</f>
        <v>1.046875</v>
      </c>
      <c r="V1277" s="0" t="n">
        <v>11</v>
      </c>
      <c r="W1277" s="0" t="n">
        <v>4</v>
      </c>
      <c r="X1277" s="3" t="n">
        <f aca="false">LOOKUP(V1277,$AB$3:$AC$123)</f>
        <v>1.0423</v>
      </c>
      <c r="Y1277" s="2" t="n">
        <f aca="false">(V1277*((W1277+T1277)/1000)*X1277)/((((W1277+T1277)/1000)*X1277)-((W1277/1000)*0.9982))</f>
        <v>45.6499383040961</v>
      </c>
      <c r="Z1277" s="3" t="n">
        <f aca="false">(X1277*(V1277/100)*((W1277+T1277)/1000))*1000</f>
        <v>0.578639359375</v>
      </c>
    </row>
    <row r="1278" customFormat="false" ht="15" hidden="false" customHeight="false" outlineLevel="0" collapsed="false">
      <c r="A1278" s="0" t="s">
        <v>88</v>
      </c>
      <c r="B1278" s="0" t="s">
        <v>89</v>
      </c>
      <c r="C1278" s="0" t="s">
        <v>81</v>
      </c>
      <c r="D1278" s="0" t="s">
        <v>154</v>
      </c>
      <c r="E1278" s="0" t="n">
        <v>27</v>
      </c>
      <c r="F1278" s="0" t="n">
        <v>2</v>
      </c>
      <c r="G1278" s="1"/>
      <c r="H1278" s="1"/>
      <c r="I1278" s="0" t="n">
        <f aca="false">32*3+7.5</f>
        <v>103.5</v>
      </c>
      <c r="J1278" s="0" t="n">
        <f aca="false">(I1278/32)*5</f>
        <v>16.171875</v>
      </c>
      <c r="L1278" s="0" t="n">
        <v>22</v>
      </c>
      <c r="M1278" s="0" t="n">
        <v>0</v>
      </c>
      <c r="N1278" s="0" t="n">
        <f aca="false">L1278</f>
        <v>22</v>
      </c>
      <c r="O1278" s="3" t="n">
        <f aca="false">LOOKUP(L1278,$AB$3:$AC$123)</f>
        <v>1.0899</v>
      </c>
      <c r="P1278" s="3" t="n">
        <f aca="false">(O1278*(N1278/100)*(J1278/1000))*1000</f>
        <v>3.87765984375</v>
      </c>
      <c r="Q1278" s="3"/>
      <c r="R1278" s="0" t="n">
        <v>5</v>
      </c>
      <c r="S1278" s="0" t="n">
        <v>14.7</v>
      </c>
      <c r="T1278" s="0" t="n">
        <f aca="false">(S1278/32)*5</f>
        <v>2.296875</v>
      </c>
      <c r="V1278" s="0" t="n">
        <v>25</v>
      </c>
      <c r="W1278" s="0" t="n">
        <v>4</v>
      </c>
      <c r="X1278" s="3" t="n">
        <f aca="false">LOOKUP(V1278,$AB$3:$AC$123)</f>
        <v>1.10355</v>
      </c>
      <c r="Y1278" s="2" t="n">
        <f aca="false">(V1278*((W1278+T1278)/1000)*X1278)/((((W1278+T1278)/1000)*X1278)-((W1278/1000)*0.9982))</f>
        <v>58.7672764810461</v>
      </c>
      <c r="Z1278" s="3" t="n">
        <f aca="false">(X1278*(V1278/100)*((W1278+T1278)/1000))*1000</f>
        <v>1.7372291015625</v>
      </c>
    </row>
    <row r="1279" customFormat="false" ht="15" hidden="false" customHeight="false" outlineLevel="0" collapsed="false">
      <c r="A1279" s="0" t="s">
        <v>90</v>
      </c>
      <c r="B1279" s="0" t="s">
        <v>91</v>
      </c>
      <c r="C1279" s="0" t="s">
        <v>81</v>
      </c>
      <c r="D1279" s="0" t="s">
        <v>154</v>
      </c>
      <c r="E1279" s="0" t="n">
        <v>27</v>
      </c>
      <c r="F1279" s="0" t="n">
        <v>1</v>
      </c>
      <c r="G1279" s="1"/>
      <c r="H1279" s="1"/>
      <c r="I1279" s="0" t="n">
        <f aca="false">32*3</f>
        <v>96</v>
      </c>
      <c r="J1279" s="0" t="n">
        <f aca="false">(I1279/32)*5</f>
        <v>15</v>
      </c>
      <c r="L1279" s="0" t="n">
        <v>22.5</v>
      </c>
      <c r="M1279" s="0" t="n">
        <v>0</v>
      </c>
      <c r="N1279" s="0" t="n">
        <f aca="false">L1279</f>
        <v>22.5</v>
      </c>
      <c r="O1279" s="3" t="n">
        <f aca="false">LOOKUP(L1279,$AB$3:$AC$123)</f>
        <v>1.092175</v>
      </c>
      <c r="P1279" s="3" t="n">
        <f aca="false">(O1279*(N1279/100)*(J1279/1000))*1000</f>
        <v>3.686090625</v>
      </c>
      <c r="Q1279" s="3"/>
      <c r="R1279" s="0" t="n">
        <v>3</v>
      </c>
      <c r="S1279" s="0" t="n">
        <v>15.1</v>
      </c>
      <c r="T1279" s="0" t="n">
        <f aca="false">(S1279/32)*5</f>
        <v>2.359375</v>
      </c>
      <c r="V1279" s="0" t="n">
        <v>21</v>
      </c>
      <c r="W1279" s="0" t="n">
        <v>4</v>
      </c>
      <c r="X1279" s="3" t="n">
        <f aca="false">LOOKUP(V1279,$AB$3:$AC$123)</f>
        <v>1.08545</v>
      </c>
      <c r="Y1279" s="2" t="n">
        <f aca="false">(V1279*((W1279+T1279)/1000)*X1279)/((((W1279+T1279)/1000)*X1279)-((W1279/1000)*0.9982))</f>
        <v>49.8141830696533</v>
      </c>
      <c r="Z1279" s="3" t="n">
        <f aca="false">(X1279*(V1279/100)*((W1279+T1279)/1000))*1000</f>
        <v>1.4495845546875</v>
      </c>
    </row>
    <row r="1280" customFormat="false" ht="15" hidden="false" customHeight="false" outlineLevel="0" collapsed="false">
      <c r="A1280" s="0" t="s">
        <v>92</v>
      </c>
      <c r="B1280" s="0" t="s">
        <v>93</v>
      </c>
      <c r="C1280" s="0" t="s">
        <v>81</v>
      </c>
      <c r="D1280" s="0" t="s">
        <v>154</v>
      </c>
      <c r="E1280" s="0" t="n">
        <v>27</v>
      </c>
      <c r="F1280" s="0" t="n">
        <v>0</v>
      </c>
      <c r="G1280" s="1"/>
      <c r="H1280" s="1"/>
      <c r="I1280" s="0" t="n">
        <v>0</v>
      </c>
      <c r="J1280" s="0" t="n">
        <f aca="false">(I1280/32)*5</f>
        <v>0</v>
      </c>
      <c r="L1280" s="0" t="n">
        <v>0</v>
      </c>
      <c r="M1280" s="0" t="n">
        <v>0</v>
      </c>
      <c r="N1280" s="0" t="n">
        <f aca="false">L1280</f>
        <v>0</v>
      </c>
      <c r="O1280" s="3" t="n">
        <v>0</v>
      </c>
      <c r="P1280" s="3" t="n">
        <f aca="false">(O1280*(N1280/100)*(J1280/1000))*1000</f>
        <v>0</v>
      </c>
      <c r="Q1280" s="3"/>
      <c r="R1280" s="0" t="n">
        <v>3</v>
      </c>
      <c r="S1280" s="0" t="n">
        <v>10</v>
      </c>
      <c r="T1280" s="0" t="n">
        <f aca="false">(S1280/32)*5</f>
        <v>1.5625</v>
      </c>
      <c r="V1280" s="0" t="n">
        <v>31.5</v>
      </c>
      <c r="W1280" s="0" t="n">
        <v>4</v>
      </c>
      <c r="X1280" s="3" t="n">
        <f aca="false">LOOKUP(V1280,$AB$3:$AC$123)</f>
        <v>1.1342</v>
      </c>
      <c r="Y1280" s="2" t="n">
        <f aca="false">(V1280*((W1280+T1280)/1000)*X1280)/((((W1280+T1280)/1000)*X1280)-((W1280/1000)*0.9982))</f>
        <v>85.801821419898</v>
      </c>
      <c r="Z1280" s="3" t="n">
        <f aca="false">(X1280*(V1280/100)*((W1280+T1280)/1000))*1000</f>
        <v>1.9873310625</v>
      </c>
    </row>
    <row r="1281" customFormat="false" ht="15" hidden="false" customHeight="false" outlineLevel="0" collapsed="false">
      <c r="A1281" s="0" t="s">
        <v>94</v>
      </c>
      <c r="B1281" s="0" t="s">
        <v>95</v>
      </c>
      <c r="C1281" s="0" t="s">
        <v>81</v>
      </c>
      <c r="D1281" s="0" t="s">
        <v>154</v>
      </c>
      <c r="E1281" s="0" t="n">
        <v>27</v>
      </c>
      <c r="F1281" s="0" t="n">
        <v>1</v>
      </c>
      <c r="G1281" s="1"/>
      <c r="H1281" s="1"/>
      <c r="I1281" s="0" t="n">
        <f aca="false">32*2+25.6</f>
        <v>89.6</v>
      </c>
      <c r="J1281" s="0" t="n">
        <f aca="false">(I1281/32)*5</f>
        <v>14</v>
      </c>
      <c r="L1281" s="0" t="n">
        <v>28</v>
      </c>
      <c r="M1281" s="0" t="n">
        <v>0</v>
      </c>
      <c r="N1281" s="0" t="n">
        <f aca="false">L1281</f>
        <v>28</v>
      </c>
      <c r="O1281" s="3" t="n">
        <f aca="false">LOOKUP(L1281,$AB$3:$AC$123)</f>
        <v>1.1175</v>
      </c>
      <c r="P1281" s="3" t="n">
        <f aca="false">(O1281*(N1281/100)*(J1281/1000))*1000</f>
        <v>4.3806</v>
      </c>
      <c r="Q1281" s="3"/>
      <c r="R1281" s="0" t="n">
        <v>12</v>
      </c>
      <c r="S1281" s="0" t="n">
        <v>16.1</v>
      </c>
      <c r="T1281" s="0" t="n">
        <f aca="false">(S1281/32)*5</f>
        <v>2.515625</v>
      </c>
      <c r="V1281" s="0" t="n">
        <v>15.5</v>
      </c>
      <c r="W1281" s="0" t="n">
        <v>4</v>
      </c>
      <c r="X1281" s="3" t="n">
        <f aca="false">LOOKUP(V1281,$AB$3:$AC$123)</f>
        <v>1.06135</v>
      </c>
      <c r="Y1281" s="2" t="n">
        <f aca="false">(V1281*((W1281+T1281)/1000)*X1281)/((((W1281+T1281)/1000)*X1281)-((W1281/1000)*0.9982))</f>
        <v>36.676102382464</v>
      </c>
      <c r="Z1281" s="3" t="n">
        <f aca="false">(X1281*(V1281/100)*((W1281+T1281)/1000))*1000</f>
        <v>1.07188058203125</v>
      </c>
    </row>
    <row r="1282" customFormat="false" ht="15" hidden="false" customHeight="false" outlineLevel="0" collapsed="false">
      <c r="A1282" s="0" t="s">
        <v>96</v>
      </c>
      <c r="B1282" s="0" t="s">
        <v>97</v>
      </c>
      <c r="C1282" s="0" t="s">
        <v>81</v>
      </c>
      <c r="D1282" s="0" t="s">
        <v>154</v>
      </c>
      <c r="E1282" s="0" t="n">
        <v>27</v>
      </c>
      <c r="F1282" s="0" t="n">
        <v>1</v>
      </c>
      <c r="G1282" s="1"/>
      <c r="H1282" s="1"/>
      <c r="I1282" s="0" t="n">
        <f aca="false">32*2+9.8</f>
        <v>73.8</v>
      </c>
      <c r="J1282" s="0" t="n">
        <f aca="false">(I1282/32)*5</f>
        <v>11.53125</v>
      </c>
      <c r="L1282" s="0" t="n">
        <v>20</v>
      </c>
      <c r="M1282" s="0" t="n">
        <v>0</v>
      </c>
      <c r="N1282" s="0" t="n">
        <f aca="false">L1282</f>
        <v>20</v>
      </c>
      <c r="O1282" s="3" t="n">
        <f aca="false">LOOKUP(L1282,$AB$3:$AC$123)</f>
        <v>1.081</v>
      </c>
      <c r="P1282" s="3" t="n">
        <f aca="false">(O1282*(N1282/100)*(J1282/1000))*1000</f>
        <v>2.49305625</v>
      </c>
      <c r="Q1282" s="3"/>
      <c r="R1282" s="0" t="n">
        <v>3</v>
      </c>
      <c r="S1282" s="0" t="n">
        <v>8.4</v>
      </c>
      <c r="T1282" s="0" t="n">
        <f aca="false">(S1282/32)*5</f>
        <v>1.3125</v>
      </c>
      <c r="V1282" s="0" t="n">
        <v>19</v>
      </c>
      <c r="W1282" s="0" t="n">
        <v>4</v>
      </c>
      <c r="X1282" s="3" t="n">
        <f aca="false">LOOKUP(V1282,$AB$3:$AC$123)</f>
        <v>1.0765</v>
      </c>
      <c r="Y1282" s="2" t="n">
        <f aca="false">(V1282*((W1282+T1282)/1000)*X1282)/((((W1282+T1282)/1000)*X1282)-((W1282/1000)*0.9982))</f>
        <v>62.9504810320917</v>
      </c>
      <c r="Z1282" s="3" t="n">
        <f aca="false">(X1282*(V1282/100)*((W1282+T1282)/1000))*1000</f>
        <v>1.0865921875</v>
      </c>
    </row>
    <row r="1283" customFormat="false" ht="15" hidden="false" customHeight="false" outlineLevel="0" collapsed="false">
      <c r="A1283" s="0" t="s">
        <v>98</v>
      </c>
      <c r="B1283" s="0" t="s">
        <v>99</v>
      </c>
      <c r="C1283" s="0" t="s">
        <v>81</v>
      </c>
      <c r="D1283" s="0" t="s">
        <v>154</v>
      </c>
      <c r="E1283" s="0" t="n">
        <v>27</v>
      </c>
      <c r="F1283" s="0" t="n">
        <v>1</v>
      </c>
      <c r="G1283" s="1"/>
      <c r="H1283" s="1"/>
      <c r="I1283" s="0" t="n">
        <f aca="false">32+18.7</f>
        <v>50.7</v>
      </c>
      <c r="J1283" s="0" t="n">
        <f aca="false">(I1283/32)*5</f>
        <v>7.921875</v>
      </c>
      <c r="L1283" s="0" t="n">
        <v>17</v>
      </c>
      <c r="M1283" s="0" t="n">
        <v>0</v>
      </c>
      <c r="N1283" s="0" t="n">
        <f aca="false">L1283</f>
        <v>17</v>
      </c>
      <c r="O1283" s="3" t="n">
        <f aca="false">LOOKUP(L1283,$AB$3:$AC$123)</f>
        <v>1.0678</v>
      </c>
      <c r="P1283" s="3" t="n">
        <f aca="false">(O1283*(N1283/100)*(J1283/1000))*1000</f>
        <v>1.43802628125</v>
      </c>
      <c r="Q1283" s="3"/>
      <c r="R1283" s="0" t="n">
        <v>8</v>
      </c>
      <c r="S1283" s="0" t="n">
        <v>16.6</v>
      </c>
      <c r="T1283" s="0" t="n">
        <f aca="false">(S1283/32)*5</f>
        <v>2.59375</v>
      </c>
      <c r="V1283" s="0" t="n">
        <v>31</v>
      </c>
      <c r="W1283" s="0" t="n">
        <v>4</v>
      </c>
      <c r="X1283" s="3" t="n">
        <f aca="false">LOOKUP(V1283,$AB$3:$AC$123)</f>
        <v>1.1318</v>
      </c>
      <c r="Y1283" s="2" t="n">
        <f aca="false">(V1283*((W1283+T1283)/1000)*X1283)/((((W1283+T1283)/1000)*X1283)-((W1283/1000)*0.9982))</f>
        <v>66.6704833024436</v>
      </c>
      <c r="Z1283" s="3" t="n">
        <f aca="false">(X1283*(V1283/100)*((W1283+T1283)/1000))*1000</f>
        <v>2.3134699375</v>
      </c>
    </row>
    <row r="1284" customFormat="false" ht="15" hidden="false" customHeight="false" outlineLevel="0" collapsed="false">
      <c r="A1284" s="0" t="s">
        <v>100</v>
      </c>
      <c r="B1284" s="0" t="s">
        <v>101</v>
      </c>
      <c r="C1284" s="0" t="s">
        <v>81</v>
      </c>
      <c r="D1284" s="0" t="s">
        <v>154</v>
      </c>
      <c r="E1284" s="0" t="n">
        <v>27</v>
      </c>
      <c r="F1284" s="0" t="n">
        <v>0</v>
      </c>
      <c r="G1284" s="1"/>
      <c r="H1284" s="1"/>
      <c r="I1284" s="0" t="n">
        <v>0</v>
      </c>
      <c r="J1284" s="0" t="n">
        <f aca="false">(I1284/32)*5</f>
        <v>0</v>
      </c>
      <c r="L1284" s="0" t="n">
        <v>0</v>
      </c>
      <c r="M1284" s="0" t="n">
        <v>0</v>
      </c>
      <c r="N1284" s="0" t="n">
        <f aca="false">L1284</f>
        <v>0</v>
      </c>
      <c r="O1284" s="3" t="n">
        <v>0</v>
      </c>
      <c r="P1284" s="3" t="n">
        <f aca="false">(O1284*(N1284/100)*(J1284/1000))*1000</f>
        <v>0</v>
      </c>
      <c r="Q1284" s="3"/>
      <c r="R1284" s="0" t="n">
        <v>2</v>
      </c>
      <c r="S1284" s="0" t="n">
        <v>7.2</v>
      </c>
      <c r="T1284" s="0" t="n">
        <f aca="false">(S1284/32)*5</f>
        <v>1.125</v>
      </c>
      <c r="V1284" s="0" t="n">
        <v>17</v>
      </c>
      <c r="W1284" s="0" t="n">
        <v>4</v>
      </c>
      <c r="X1284" s="3" t="n">
        <f aca="false">LOOKUP(V1284,$AB$3:$AC$123)</f>
        <v>1.0678</v>
      </c>
      <c r="Y1284" s="2" t="n">
        <f aca="false">(V1284*((W1284+T1284)/1000)*X1284)/((((W1284+T1284)/1000)*X1284)-((W1284/1000)*0.9982))</f>
        <v>62.8733167756433</v>
      </c>
      <c r="Z1284" s="3" t="n">
        <f aca="false">(X1284*(V1284/100)*((W1284+T1284)/1000))*1000</f>
        <v>0.93032075</v>
      </c>
    </row>
    <row r="1285" customFormat="false" ht="15" hidden="false" customHeight="false" outlineLevel="0" collapsed="false">
      <c r="A1285" s="0" t="s">
        <v>102</v>
      </c>
      <c r="B1285" s="0" t="s">
        <v>103</v>
      </c>
      <c r="C1285" s="0" t="s">
        <v>81</v>
      </c>
      <c r="D1285" s="0" t="s">
        <v>154</v>
      </c>
      <c r="E1285" s="0" t="n">
        <v>27</v>
      </c>
      <c r="F1285" s="0" t="n">
        <v>0</v>
      </c>
      <c r="G1285" s="1"/>
      <c r="H1285" s="1"/>
      <c r="I1285" s="0" t="n">
        <v>0</v>
      </c>
      <c r="J1285" s="0" t="n">
        <f aca="false">(I1285/32)*5</f>
        <v>0</v>
      </c>
      <c r="L1285" s="0" t="n">
        <v>0</v>
      </c>
      <c r="M1285" s="0" t="n">
        <v>0</v>
      </c>
      <c r="N1285" s="0" t="n">
        <f aca="false">L1285</f>
        <v>0</v>
      </c>
      <c r="O1285" s="3" t="n">
        <v>0</v>
      </c>
      <c r="P1285" s="3" t="n">
        <f aca="false">(O1285*(N1285/100)*(J1285/1000))*1000</f>
        <v>0</v>
      </c>
      <c r="Q1285" s="3"/>
      <c r="R1285" s="0" t="n">
        <v>3</v>
      </c>
      <c r="S1285" s="0" t="n">
        <v>5.1</v>
      </c>
      <c r="T1285" s="0" t="n">
        <f aca="false">(S1285/32)*5</f>
        <v>0.796875</v>
      </c>
      <c r="V1285" s="0" t="n">
        <v>16.5</v>
      </c>
      <c r="W1285" s="0" t="n">
        <v>4</v>
      </c>
      <c r="X1285" s="3" t="n">
        <f aca="false">LOOKUP(V1285,$AB$3:$AC$123)</f>
        <v>1.06565</v>
      </c>
      <c r="Y1285" s="2" t="n">
        <f aca="false">(V1285*((W1285+T1285)/1000)*X1285)/((((W1285+T1285)/1000)*X1285)-((W1285/1000)*0.9982))</f>
        <v>75.3756013899256</v>
      </c>
      <c r="Z1285" s="3" t="n">
        <f aca="false">(X1285*(V1285/100)*((W1285+T1285)/1000))*1000</f>
        <v>0.84344532421875</v>
      </c>
    </row>
    <row r="1286" customFormat="false" ht="15" hidden="false" customHeight="false" outlineLevel="0" collapsed="false">
      <c r="A1286" s="0" t="s">
        <v>104</v>
      </c>
      <c r="B1286" s="0" t="s">
        <v>105</v>
      </c>
      <c r="C1286" s="0" t="s">
        <v>106</v>
      </c>
      <c r="D1286" s="0" t="s">
        <v>154</v>
      </c>
      <c r="E1286" s="0" t="n">
        <v>27</v>
      </c>
      <c r="F1286" s="0" t="n">
        <v>2</v>
      </c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3" t="n">
        <v>7</v>
      </c>
      <c r="S1286" s="1"/>
      <c r="T1286" s="1"/>
      <c r="U1286" s="1"/>
      <c r="V1286" s="1"/>
      <c r="W1286" s="1"/>
      <c r="X1286" s="1"/>
      <c r="Y1286" s="5"/>
      <c r="Z1286" s="1"/>
      <c r="AA1286" s="3"/>
    </row>
    <row r="1287" customFormat="false" ht="15" hidden="false" customHeight="false" outlineLevel="0" collapsed="false">
      <c r="A1287" s="0" t="s">
        <v>107</v>
      </c>
      <c r="B1287" s="0" t="s">
        <v>37</v>
      </c>
      <c r="C1287" s="0" t="s">
        <v>106</v>
      </c>
      <c r="D1287" s="0" t="s">
        <v>154</v>
      </c>
      <c r="E1287" s="0" t="n">
        <v>27</v>
      </c>
      <c r="F1287" s="0" t="n">
        <v>0</v>
      </c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3" t="n">
        <v>6</v>
      </c>
      <c r="S1287" s="1"/>
      <c r="T1287" s="1"/>
      <c r="U1287" s="1"/>
      <c r="V1287" s="1"/>
      <c r="W1287" s="1"/>
      <c r="X1287" s="1"/>
      <c r="Y1287" s="5"/>
      <c r="Z1287" s="1"/>
      <c r="AA1287" s="3"/>
    </row>
    <row r="1288" customFormat="false" ht="15" hidden="false" customHeight="false" outlineLevel="0" collapsed="false">
      <c r="A1288" s="0" t="s">
        <v>108</v>
      </c>
      <c r="B1288" s="0" t="s">
        <v>109</v>
      </c>
      <c r="C1288" s="0" t="s">
        <v>106</v>
      </c>
      <c r="D1288" s="0" t="s">
        <v>154</v>
      </c>
      <c r="E1288" s="0" t="n">
        <v>27</v>
      </c>
      <c r="F1288" s="0" t="n">
        <v>1</v>
      </c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3" t="n">
        <v>9</v>
      </c>
      <c r="S1288" s="1"/>
      <c r="T1288" s="1"/>
      <c r="U1288" s="1"/>
      <c r="V1288" s="1"/>
      <c r="W1288" s="1"/>
      <c r="X1288" s="1"/>
      <c r="Y1288" s="5"/>
      <c r="Z1288" s="1"/>
      <c r="AA1288" s="3"/>
    </row>
    <row r="1289" customFormat="false" ht="15" hidden="false" customHeight="false" outlineLevel="0" collapsed="false">
      <c r="A1289" s="0" t="s">
        <v>110</v>
      </c>
      <c r="B1289" s="0" t="s">
        <v>111</v>
      </c>
      <c r="C1289" s="0" t="s">
        <v>106</v>
      </c>
      <c r="D1289" s="0" t="s">
        <v>154</v>
      </c>
      <c r="E1289" s="0" t="n">
        <v>27</v>
      </c>
      <c r="F1289" s="0" t="n">
        <v>1</v>
      </c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3" t="n">
        <v>8</v>
      </c>
      <c r="S1289" s="1"/>
      <c r="T1289" s="1"/>
      <c r="U1289" s="1"/>
      <c r="V1289" s="1"/>
      <c r="W1289" s="1"/>
      <c r="X1289" s="1"/>
      <c r="Y1289" s="5"/>
      <c r="Z1289" s="1"/>
      <c r="AA1289" s="3"/>
    </row>
    <row r="1290" customFormat="false" ht="15" hidden="false" customHeight="false" outlineLevel="0" collapsed="false">
      <c r="A1290" s="0" t="s">
        <v>112</v>
      </c>
      <c r="B1290" s="0" t="s">
        <v>113</v>
      </c>
      <c r="C1290" s="0" t="s">
        <v>106</v>
      </c>
      <c r="D1290" s="0" t="s">
        <v>154</v>
      </c>
      <c r="E1290" s="0" t="n">
        <v>27</v>
      </c>
      <c r="F1290" s="0" t="n">
        <v>0</v>
      </c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3" t="n">
        <v>6</v>
      </c>
      <c r="S1290" s="1"/>
      <c r="T1290" s="1"/>
      <c r="U1290" s="1"/>
      <c r="V1290" s="1"/>
      <c r="W1290" s="1"/>
      <c r="X1290" s="1"/>
      <c r="Y1290" s="5"/>
      <c r="Z1290" s="1"/>
      <c r="AA1290" s="3"/>
    </row>
    <row r="1291" customFormat="false" ht="15" hidden="false" customHeight="false" outlineLevel="0" collapsed="false">
      <c r="A1291" s="0" t="s">
        <v>114</v>
      </c>
      <c r="B1291" s="0" t="s">
        <v>115</v>
      </c>
      <c r="C1291" s="0" t="s">
        <v>106</v>
      </c>
      <c r="D1291" s="0" t="s">
        <v>154</v>
      </c>
      <c r="E1291" s="0" t="n">
        <v>27</v>
      </c>
      <c r="F1291" s="0" t="n">
        <v>1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3" t="n">
        <v>7</v>
      </c>
      <c r="S1291" s="1"/>
      <c r="T1291" s="1"/>
      <c r="U1291" s="1"/>
      <c r="V1291" s="1"/>
      <c r="W1291" s="1"/>
      <c r="X1291" s="1"/>
      <c r="Y1291" s="5"/>
      <c r="Z1291" s="1"/>
      <c r="AA1291" s="3"/>
    </row>
    <row r="1292" customFormat="false" ht="15" hidden="false" customHeight="false" outlineLevel="0" collapsed="false">
      <c r="A1292" s="0" t="s">
        <v>116</v>
      </c>
      <c r="B1292" s="0" t="s">
        <v>117</v>
      </c>
      <c r="C1292" s="0" t="s">
        <v>106</v>
      </c>
      <c r="D1292" s="0" t="s">
        <v>154</v>
      </c>
      <c r="E1292" s="0" t="n">
        <v>27</v>
      </c>
      <c r="F1292" s="0" t="n">
        <v>1</v>
      </c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3" t="n">
        <v>5</v>
      </c>
      <c r="S1292" s="1"/>
      <c r="T1292" s="1"/>
      <c r="U1292" s="1"/>
      <c r="V1292" s="1"/>
      <c r="W1292" s="1"/>
      <c r="X1292" s="1"/>
      <c r="Y1292" s="5"/>
      <c r="Z1292" s="1"/>
      <c r="AA1292" s="3"/>
    </row>
    <row r="1293" customFormat="false" ht="15" hidden="false" customHeight="false" outlineLevel="0" collapsed="false">
      <c r="A1293" s="0" t="s">
        <v>118</v>
      </c>
      <c r="B1293" s="0" t="s">
        <v>119</v>
      </c>
      <c r="C1293" s="0" t="s">
        <v>106</v>
      </c>
      <c r="D1293" s="0" t="s">
        <v>154</v>
      </c>
      <c r="E1293" s="0" t="n">
        <v>27</v>
      </c>
      <c r="F1293" s="0" t="n">
        <v>2</v>
      </c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3" t="n">
        <v>12</v>
      </c>
      <c r="S1293" s="1"/>
      <c r="T1293" s="1"/>
      <c r="U1293" s="1"/>
      <c r="V1293" s="1"/>
      <c r="W1293" s="1"/>
      <c r="X1293" s="1"/>
      <c r="Y1293" s="5"/>
      <c r="Z1293" s="1"/>
      <c r="AA1293" s="3"/>
    </row>
    <row r="1294" customFormat="false" ht="15" hidden="false" customHeight="false" outlineLevel="0" collapsed="false">
      <c r="A1294" s="0" t="s">
        <v>120</v>
      </c>
      <c r="B1294" s="0" t="s">
        <v>121</v>
      </c>
      <c r="C1294" s="0" t="s">
        <v>106</v>
      </c>
      <c r="D1294" s="0" t="s">
        <v>154</v>
      </c>
      <c r="E1294" s="0" t="n">
        <v>27</v>
      </c>
      <c r="F1294" s="0" t="n">
        <v>2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3" t="n">
        <v>14</v>
      </c>
      <c r="S1294" s="1"/>
      <c r="T1294" s="1"/>
      <c r="U1294" s="1"/>
      <c r="V1294" s="1"/>
      <c r="W1294" s="1"/>
      <c r="X1294" s="1"/>
      <c r="Y1294" s="5"/>
      <c r="Z1294" s="1"/>
      <c r="AA1294" s="3"/>
    </row>
    <row r="1295" customFormat="false" ht="15" hidden="false" customHeight="false" outlineLevel="0" collapsed="false">
      <c r="A1295" s="0" t="s">
        <v>122</v>
      </c>
      <c r="B1295" s="0" t="s">
        <v>123</v>
      </c>
      <c r="C1295" s="0" t="s">
        <v>106</v>
      </c>
      <c r="D1295" s="0" t="s">
        <v>154</v>
      </c>
      <c r="E1295" s="0" t="n">
        <v>27</v>
      </c>
      <c r="F1295" s="0" t="n">
        <v>1</v>
      </c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3" t="n">
        <v>5</v>
      </c>
      <c r="S1295" s="1"/>
      <c r="T1295" s="1"/>
      <c r="U1295" s="1"/>
      <c r="V1295" s="1"/>
      <c r="W1295" s="1"/>
      <c r="X1295" s="1"/>
      <c r="Y1295" s="5"/>
      <c r="Z1295" s="1"/>
      <c r="AA1295" s="3"/>
    </row>
    <row r="1296" customFormat="false" ht="15" hidden="false" customHeight="false" outlineLevel="0" collapsed="false">
      <c r="A1296" s="0" t="s">
        <v>124</v>
      </c>
      <c r="B1296" s="0" t="s">
        <v>125</v>
      </c>
      <c r="C1296" s="0" t="s">
        <v>106</v>
      </c>
      <c r="D1296" s="0" t="s">
        <v>154</v>
      </c>
      <c r="E1296" s="0" t="n">
        <v>27</v>
      </c>
      <c r="F1296" s="0" t="n">
        <v>1</v>
      </c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3" t="n">
        <v>11</v>
      </c>
      <c r="S1296" s="1"/>
      <c r="T1296" s="1"/>
      <c r="U1296" s="1"/>
      <c r="V1296" s="1"/>
      <c r="W1296" s="1"/>
      <c r="X1296" s="1"/>
      <c r="Y1296" s="5"/>
      <c r="Z1296" s="1"/>
      <c r="AA1296" s="3"/>
    </row>
    <row r="1297" customFormat="false" ht="15" hidden="false" customHeight="false" outlineLevel="0" collapsed="false">
      <c r="A1297" s="0" t="s">
        <v>126</v>
      </c>
      <c r="B1297" s="0" t="s">
        <v>127</v>
      </c>
      <c r="C1297" s="0" t="s">
        <v>106</v>
      </c>
      <c r="D1297" s="0" t="s">
        <v>154</v>
      </c>
      <c r="E1297" s="0" t="n">
        <v>27</v>
      </c>
      <c r="F1297" s="0" t="n">
        <v>4</v>
      </c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3" t="n">
        <v>13</v>
      </c>
      <c r="S1297" s="1"/>
      <c r="T1297" s="1"/>
      <c r="U1297" s="1"/>
      <c r="V1297" s="1"/>
      <c r="W1297" s="1"/>
      <c r="X1297" s="1"/>
      <c r="Y1297" s="5"/>
      <c r="Z1297" s="1"/>
      <c r="AA1297" s="3"/>
    </row>
    <row r="1298" customFormat="false" ht="15" hidden="false" customHeight="false" outlineLevel="0" collapsed="false">
      <c r="A1298" s="0" t="s">
        <v>26</v>
      </c>
      <c r="B1298" s="0" t="s">
        <v>27</v>
      </c>
      <c r="C1298" s="0" t="s">
        <v>28</v>
      </c>
      <c r="D1298" s="0" t="s">
        <v>155</v>
      </c>
      <c r="E1298" s="0" t="n">
        <v>28</v>
      </c>
      <c r="F1298" s="0" t="n">
        <v>0</v>
      </c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3" t="n">
        <v>2</v>
      </c>
      <c r="S1298" s="0" t="n">
        <v>2.7</v>
      </c>
      <c r="T1298" s="0" t="n">
        <f aca="false">(S1298/32)*5</f>
        <v>0.421875</v>
      </c>
      <c r="V1298" s="0" t="n">
        <v>9.5</v>
      </c>
      <c r="W1298" s="0" t="n">
        <v>4</v>
      </c>
      <c r="X1298" s="3" t="n">
        <f aca="false">LOOKUP(V1298,$AB$3:$AC$123)</f>
        <v>1.0361</v>
      </c>
      <c r="Y1298" s="2" t="n">
        <f aca="false">(V1298*((W1298+T1298)/1000)*X1298)/((((W1298+T1298)/1000)*X1298)-((W1298/1000)*0.9982))</f>
        <v>73.9323050340925</v>
      </c>
      <c r="Z1298" s="3" t="n">
        <f aca="false">(X1298*(V1298/100)*((W1298+T1298)/1000))*1000</f>
        <v>0.4352429453125</v>
      </c>
    </row>
    <row r="1299" customFormat="false" ht="15" hidden="false" customHeight="false" outlineLevel="0" collapsed="false">
      <c r="A1299" s="0" t="s">
        <v>32</v>
      </c>
      <c r="B1299" s="0" t="s">
        <v>33</v>
      </c>
      <c r="C1299" s="0" t="s">
        <v>28</v>
      </c>
      <c r="D1299" s="0" t="s">
        <v>155</v>
      </c>
      <c r="E1299" s="0" t="n">
        <v>28</v>
      </c>
      <c r="F1299" s="0" t="n">
        <v>1</v>
      </c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3" t="n">
        <v>4</v>
      </c>
      <c r="S1299" s="0" t="n">
        <v>13.4</v>
      </c>
      <c r="T1299" s="0" t="n">
        <f aca="false">(S1299/32)*5</f>
        <v>2.09375</v>
      </c>
      <c r="V1299" s="0" t="n">
        <v>30.5</v>
      </c>
      <c r="W1299" s="0" t="n">
        <v>4</v>
      </c>
      <c r="X1299" s="3" t="n">
        <f aca="false">LOOKUP(V1299,$AB$3:$AC$123)</f>
        <v>1.1294</v>
      </c>
      <c r="Y1299" s="2" t="n">
        <f aca="false">(V1299*((W1299+T1299)/1000)*X1299)/((((W1299+T1299)/1000)*X1299)-((W1299/1000)*0.9982))</f>
        <v>72.6461118669657</v>
      </c>
      <c r="Z1299" s="3" t="n">
        <f aca="false">(X1299*(V1299/100)*((W1299+T1299)/1000))*1000</f>
        <v>2.09909578125</v>
      </c>
    </row>
    <row r="1300" customFormat="false" ht="15" hidden="false" customHeight="false" outlineLevel="0" collapsed="false">
      <c r="A1300" s="0" t="s">
        <v>34</v>
      </c>
      <c r="B1300" s="0" t="s">
        <v>35</v>
      </c>
      <c r="C1300" s="0" t="s">
        <v>28</v>
      </c>
      <c r="D1300" s="0" t="s">
        <v>155</v>
      </c>
      <c r="E1300" s="0" t="n">
        <v>28</v>
      </c>
      <c r="F1300" s="0" t="n">
        <v>3</v>
      </c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3" t="n">
        <v>2</v>
      </c>
      <c r="S1300" s="0" t="n">
        <v>7</v>
      </c>
      <c r="T1300" s="0" t="n">
        <f aca="false">(S1300/32)*5</f>
        <v>1.09375</v>
      </c>
      <c r="V1300" s="0" t="n">
        <v>12.5</v>
      </c>
      <c r="W1300" s="0" t="n">
        <v>4</v>
      </c>
      <c r="X1300" s="3" t="n">
        <f aca="false">LOOKUP(V1300,$AB$3:$AC$123)</f>
        <v>1.0486</v>
      </c>
      <c r="Y1300" s="2" t="n">
        <f aca="false">(V1300*((W1300+T1300)/1000)*X1300)/((((W1300+T1300)/1000)*X1300)-((W1300/1000)*0.9982))</f>
        <v>49.5113227135581</v>
      </c>
      <c r="Z1300" s="3" t="n">
        <f aca="false">(X1300*(V1300/100)*((W1300+T1300)/1000))*1000</f>
        <v>0.66766328125</v>
      </c>
    </row>
    <row r="1301" customFormat="false" ht="15" hidden="false" customHeight="false" outlineLevel="0" collapsed="false">
      <c r="A1301" s="0" t="s">
        <v>36</v>
      </c>
      <c r="B1301" s="0" t="s">
        <v>37</v>
      </c>
      <c r="C1301" s="0" t="s">
        <v>28</v>
      </c>
      <c r="D1301" s="0" t="s">
        <v>155</v>
      </c>
      <c r="E1301" s="0" t="n">
        <v>28</v>
      </c>
      <c r="F1301" s="0" t="n">
        <v>0</v>
      </c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3" t="n">
        <v>3</v>
      </c>
      <c r="S1301" s="0" t="n">
        <v>8.7</v>
      </c>
      <c r="T1301" s="0" t="n">
        <f aca="false">(S1301/32)*5</f>
        <v>1.359375</v>
      </c>
      <c r="V1301" s="0" t="n">
        <v>22.5</v>
      </c>
      <c r="W1301" s="0" t="n">
        <v>4</v>
      </c>
      <c r="X1301" s="3" t="n">
        <f aca="false">LOOKUP(V1301,$AB$3:$AC$123)</f>
        <v>1.092175</v>
      </c>
      <c r="Y1301" s="2" t="n">
        <f aca="false">(V1301*((W1301+T1301)/1000)*X1301)/((((W1301+T1301)/1000)*X1301)-((W1301/1000)*0.9982))</f>
        <v>70.7850630254879</v>
      </c>
      <c r="Z1301" s="3" t="n">
        <f aca="false">(X1301*(V1301/100)*((W1301+T1301)/1000))*1000</f>
        <v>1.31700946289063</v>
      </c>
    </row>
    <row r="1302" customFormat="false" ht="15" hidden="false" customHeight="false" outlineLevel="0" collapsed="false">
      <c r="A1302" s="0" t="s">
        <v>38</v>
      </c>
      <c r="B1302" s="0" t="s">
        <v>39</v>
      </c>
      <c r="C1302" s="0" t="s">
        <v>28</v>
      </c>
      <c r="D1302" s="0" t="s">
        <v>155</v>
      </c>
      <c r="E1302" s="0" t="n">
        <v>28</v>
      </c>
      <c r="F1302" s="0" t="n">
        <v>1</v>
      </c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3" t="n">
        <v>3</v>
      </c>
      <c r="S1302" s="0" t="n">
        <v>8.9</v>
      </c>
      <c r="T1302" s="0" t="n">
        <f aca="false">(S1302/32)*5</f>
        <v>1.390625</v>
      </c>
      <c r="V1302" s="0" t="n">
        <v>12</v>
      </c>
      <c r="W1302" s="0" t="n">
        <v>4</v>
      </c>
      <c r="X1302" s="3" t="n">
        <f aca="false">LOOKUP(V1302,$AB$3:$AC$123)</f>
        <v>1.0465</v>
      </c>
      <c r="Y1302" s="2" t="n">
        <f aca="false">(V1302*((W1302+T1302)/1000)*X1302)/((((W1302+T1302)/1000)*X1302)-((W1302/1000)*0.9982))</f>
        <v>41.0651609949642</v>
      </c>
      <c r="Z1302" s="3" t="n">
        <f aca="false">(X1302*(V1302/100)*((W1302+T1302)/1000))*1000</f>
        <v>0.6769546875</v>
      </c>
    </row>
    <row r="1303" customFormat="false" ht="15" hidden="false" customHeight="false" outlineLevel="0" collapsed="false">
      <c r="A1303" s="0" t="s">
        <v>40</v>
      </c>
      <c r="B1303" s="0" t="s">
        <v>41</v>
      </c>
      <c r="C1303" s="0" t="s">
        <v>28</v>
      </c>
      <c r="D1303" s="0" t="s">
        <v>155</v>
      </c>
      <c r="E1303" s="0" t="n">
        <v>28</v>
      </c>
      <c r="F1303" s="0" t="n">
        <v>2</v>
      </c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3" t="n">
        <v>6</v>
      </c>
      <c r="S1303" s="0" t="n">
        <v>13.5</v>
      </c>
      <c r="T1303" s="0" t="n">
        <f aca="false">(S1303/32)*5</f>
        <v>2.109375</v>
      </c>
      <c r="V1303" s="0" t="n">
        <v>22.5</v>
      </c>
      <c r="W1303" s="0" t="n">
        <v>4</v>
      </c>
      <c r="X1303" s="3" t="n">
        <f aca="false">LOOKUP(V1303,$AB$3:$AC$123)</f>
        <v>1.092175</v>
      </c>
      <c r="Y1303" s="2" t="n">
        <f aca="false">(V1303*((W1303+T1303)/1000)*X1303)/((((W1303+T1303)/1000)*X1303)-((W1303/1000)*0.9982))</f>
        <v>56.0253115538971</v>
      </c>
      <c r="Z1303" s="3" t="n">
        <f aca="false">(X1303*(V1303/100)*((W1303+T1303)/1000))*1000</f>
        <v>1.50131399414063</v>
      </c>
    </row>
    <row r="1304" customFormat="false" ht="15" hidden="false" customHeight="false" outlineLevel="0" collapsed="false">
      <c r="A1304" s="0" t="s">
        <v>42</v>
      </c>
      <c r="B1304" s="0" t="s">
        <v>43</v>
      </c>
      <c r="C1304" s="0" t="s">
        <v>28</v>
      </c>
      <c r="D1304" s="0" t="s">
        <v>155</v>
      </c>
      <c r="E1304" s="0" t="n">
        <v>28</v>
      </c>
      <c r="F1304" s="0" t="n">
        <v>2</v>
      </c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3" t="n">
        <v>3</v>
      </c>
      <c r="S1304" s="0" t="n">
        <v>9</v>
      </c>
      <c r="T1304" s="0" t="n">
        <f aca="false">(S1304/32)*5</f>
        <v>1.40625</v>
      </c>
      <c r="V1304" s="0" t="n">
        <v>22.5</v>
      </c>
      <c r="W1304" s="0" t="n">
        <v>4</v>
      </c>
      <c r="X1304" s="3" t="n">
        <f aca="false">LOOKUP(V1304,$AB$3:$AC$123)</f>
        <v>1.092175</v>
      </c>
      <c r="Y1304" s="2" t="n">
        <f aca="false">(V1304*((W1304+T1304)/1000)*X1304)/((((W1304+T1304)/1000)*X1304)-((W1304/1000)*0.9982))</f>
        <v>69.492027598754</v>
      </c>
      <c r="Z1304" s="3" t="n">
        <f aca="false">(X1304*(V1304/100)*((W1304+T1304)/1000))*1000</f>
        <v>1.32852849609375</v>
      </c>
    </row>
    <row r="1305" customFormat="false" ht="15" hidden="false" customHeight="false" outlineLevel="0" collapsed="false">
      <c r="A1305" s="0" t="s">
        <v>44</v>
      </c>
      <c r="B1305" s="0" t="s">
        <v>45</v>
      </c>
      <c r="C1305" s="0" t="s">
        <v>28</v>
      </c>
      <c r="D1305" s="0" t="s">
        <v>155</v>
      </c>
      <c r="E1305" s="0" t="n">
        <v>28</v>
      </c>
      <c r="F1305" s="0" t="n">
        <v>1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3" t="n">
        <v>0</v>
      </c>
      <c r="S1305" s="0" t="n">
        <v>1.3</v>
      </c>
      <c r="T1305" s="0" t="n">
        <f aca="false">(S1305/32)*5</f>
        <v>0.203125</v>
      </c>
      <c r="V1305" s="0" t="n">
        <v>2.5</v>
      </c>
      <c r="W1305" s="0" t="n">
        <v>4</v>
      </c>
      <c r="X1305" s="3" t="n">
        <f aca="false">LOOKUP(V1305,$AB$3:$AC$123)</f>
        <v>1.00795</v>
      </c>
      <c r="Y1305" s="2" t="n">
        <f aca="false">(V1305*((W1305+T1305)/1000)*X1305)/((((W1305+T1305)/1000)*X1305)-((W1305/1000)*0.9982))</f>
        <v>43.453501267681</v>
      </c>
      <c r="Z1305" s="3" t="n">
        <f aca="false">(X1305*(V1305/100)*((W1305+T1305)/1000))*1000</f>
        <v>0.10591349609375</v>
      </c>
    </row>
    <row r="1306" customFormat="false" ht="15" hidden="false" customHeight="false" outlineLevel="0" collapsed="false">
      <c r="A1306" s="0" t="s">
        <v>46</v>
      </c>
      <c r="B1306" s="0" t="s">
        <v>47</v>
      </c>
      <c r="C1306" s="0" t="s">
        <v>28</v>
      </c>
      <c r="D1306" s="0" t="s">
        <v>155</v>
      </c>
      <c r="E1306" s="0" t="n">
        <v>28</v>
      </c>
      <c r="F1306" s="0" t="n">
        <v>2</v>
      </c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3" t="n">
        <v>2</v>
      </c>
      <c r="S1306" s="0" t="n">
        <v>2.7</v>
      </c>
      <c r="T1306" s="0" t="n">
        <f aca="false">(S1306/32)*5</f>
        <v>0.421875</v>
      </c>
      <c r="V1306" s="0" t="n">
        <v>5.5</v>
      </c>
      <c r="W1306" s="0" t="n">
        <v>4</v>
      </c>
      <c r="X1306" s="3" t="n">
        <f aca="false">LOOKUP(V1306,$AB$3:$AC$123)</f>
        <v>1.01985</v>
      </c>
      <c r="Y1306" s="2" t="n">
        <f aca="false">(V1306*((W1306+T1306)/1000)*X1306)/((((W1306+T1306)/1000)*X1306)-((W1306/1000)*0.9982))</f>
        <v>47.9889875099575</v>
      </c>
      <c r="Z1306" s="3" t="n">
        <f aca="false">(X1306*(V1306/100)*((W1306+T1306)/1000))*1000</f>
        <v>0.24803070703125</v>
      </c>
    </row>
    <row r="1307" customFormat="false" ht="15" hidden="false" customHeight="false" outlineLevel="0" collapsed="false">
      <c r="A1307" s="0" t="s">
        <v>48</v>
      </c>
      <c r="B1307" s="0" t="s">
        <v>49</v>
      </c>
      <c r="C1307" s="0" t="s">
        <v>28</v>
      </c>
      <c r="D1307" s="0" t="s">
        <v>155</v>
      </c>
      <c r="E1307" s="0" t="n">
        <v>28</v>
      </c>
      <c r="F1307" s="0" t="n">
        <v>2</v>
      </c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3" t="n">
        <v>1</v>
      </c>
      <c r="S1307" s="0" t="n">
        <v>1.1</v>
      </c>
      <c r="T1307" s="0" t="n">
        <f aca="false">(S1307/32)*5</f>
        <v>0.171875</v>
      </c>
      <c r="V1307" s="0" t="n">
        <v>2</v>
      </c>
      <c r="W1307" s="0" t="n">
        <v>4</v>
      </c>
      <c r="X1307" s="3" t="n">
        <f aca="false">LOOKUP(V1307,$AB$3:$AC$123)</f>
        <v>1.006</v>
      </c>
      <c r="Y1307" s="2" t="n">
        <f aca="false">(V1307*((W1307+T1307)/1000)*X1307)/((((W1307+T1307)/1000)*X1307)-((W1307/1000)*0.9982))</f>
        <v>41.12472058058</v>
      </c>
      <c r="Z1307" s="3" t="n">
        <f aca="false">(X1307*(V1307/100)*((W1307+T1307)/1000))*1000</f>
        <v>0.083938125</v>
      </c>
    </row>
    <row r="1308" customFormat="false" ht="15" hidden="false" customHeight="false" outlineLevel="0" collapsed="false">
      <c r="A1308" s="0" t="s">
        <v>50</v>
      </c>
      <c r="B1308" s="0" t="s">
        <v>51</v>
      </c>
      <c r="C1308" s="0" t="s">
        <v>28</v>
      </c>
      <c r="D1308" s="0" t="s">
        <v>155</v>
      </c>
      <c r="E1308" s="0" t="n">
        <v>28</v>
      </c>
      <c r="F1308" s="0" t="n">
        <v>0</v>
      </c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3" t="n">
        <v>2</v>
      </c>
      <c r="S1308" s="0" t="n">
        <v>3.7</v>
      </c>
      <c r="T1308" s="0" t="n">
        <f aca="false">(S1308/32)*5</f>
        <v>0.578125</v>
      </c>
      <c r="V1308" s="0" t="n">
        <v>6</v>
      </c>
      <c r="W1308" s="0" t="n">
        <v>4</v>
      </c>
      <c r="X1308" s="3" t="n">
        <f aca="false">LOOKUP(V1308,$AB$3:$AC$123)</f>
        <v>1.0218</v>
      </c>
      <c r="Y1308" s="2" t="n">
        <f aca="false">(V1308*((W1308+T1308)/1000)*X1308)/((((W1308+T1308)/1000)*X1308)-((W1308/1000)*0.9982))</f>
        <v>40.9668903170484</v>
      </c>
      <c r="Z1308" s="3" t="n">
        <f aca="false">(X1308*(V1308/100)*((W1308+T1308)/1000))*1000</f>
        <v>0.2806756875</v>
      </c>
    </row>
    <row r="1309" customFormat="false" ht="15" hidden="false" customHeight="false" outlineLevel="0" collapsed="false">
      <c r="A1309" s="0" t="s">
        <v>52</v>
      </c>
      <c r="B1309" s="0" t="s">
        <v>53</v>
      </c>
      <c r="C1309" s="0" t="s">
        <v>28</v>
      </c>
      <c r="D1309" s="0" t="s">
        <v>155</v>
      </c>
      <c r="E1309" s="0" t="n">
        <v>28</v>
      </c>
      <c r="F1309" s="0" t="n">
        <v>0</v>
      </c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3" t="n">
        <v>5</v>
      </c>
      <c r="S1309" s="0" t="n">
        <v>5.3</v>
      </c>
      <c r="T1309" s="0" t="n">
        <f aca="false">(S1309/32)*5</f>
        <v>0.828125</v>
      </c>
      <c r="V1309" s="0" t="n">
        <v>12.5</v>
      </c>
      <c r="W1309" s="0" t="n">
        <v>4</v>
      </c>
      <c r="X1309" s="3" t="n">
        <f aca="false">LOOKUP(V1309,$AB$3:$AC$123)</f>
        <v>1.0486</v>
      </c>
      <c r="Y1309" s="2" t="n">
        <f aca="false">(V1309*((W1309+T1309)/1000)*X1309)/((((W1309+T1309)/1000)*X1309)-((W1309/1000)*0.9982))</f>
        <v>59.1460859076319</v>
      </c>
      <c r="Z1309" s="3" t="n">
        <f aca="false">(X1309*(V1309/100)*((W1309+T1309)/1000))*1000</f>
        <v>0.632846484375</v>
      </c>
    </row>
    <row r="1310" customFormat="false" ht="15" hidden="false" customHeight="false" outlineLevel="0" collapsed="false">
      <c r="A1310" s="0" t="s">
        <v>54</v>
      </c>
      <c r="B1310" s="0" t="s">
        <v>55</v>
      </c>
      <c r="C1310" s="0" t="s">
        <v>56</v>
      </c>
      <c r="D1310" s="0" t="s">
        <v>155</v>
      </c>
      <c r="E1310" s="0" t="n">
        <v>28</v>
      </c>
      <c r="F1310" s="0" t="n">
        <v>1</v>
      </c>
      <c r="G1310" s="1"/>
      <c r="H1310" s="1"/>
      <c r="I1310" s="0" t="n">
        <f aca="false">31.1+20.6</f>
        <v>51.7</v>
      </c>
      <c r="J1310" s="0" t="n">
        <f aca="false">(I1310/32)*5</f>
        <v>8.078125</v>
      </c>
      <c r="L1310" s="0" t="n">
        <v>20</v>
      </c>
      <c r="M1310" s="0" t="n">
        <v>0</v>
      </c>
      <c r="N1310" s="0" t="n">
        <f aca="false">L1310</f>
        <v>20</v>
      </c>
      <c r="O1310" s="3" t="n">
        <f aca="false">LOOKUP(L1310,$AB$3:$AC$123)</f>
        <v>1.081</v>
      </c>
      <c r="P1310" s="3" t="n">
        <f aca="false">(O1310*(N1310/100)*(J1310/1000))*1000</f>
        <v>1.746490625</v>
      </c>
      <c r="Q1310" s="3"/>
      <c r="R1310" s="1"/>
      <c r="S1310" s="1"/>
      <c r="T1310" s="1"/>
      <c r="U1310" s="1"/>
      <c r="V1310" s="1"/>
      <c r="W1310" s="1"/>
      <c r="X1310" s="1"/>
      <c r="Y1310" s="5"/>
      <c r="Z1310" s="1"/>
    </row>
    <row r="1311" customFormat="false" ht="15" hidden="false" customHeight="false" outlineLevel="0" collapsed="false">
      <c r="A1311" s="0" t="s">
        <v>57</v>
      </c>
      <c r="B1311" s="0" t="s">
        <v>58</v>
      </c>
      <c r="C1311" s="0" t="s">
        <v>56</v>
      </c>
      <c r="D1311" s="0" t="s">
        <v>155</v>
      </c>
      <c r="E1311" s="0" t="n">
        <v>28</v>
      </c>
      <c r="F1311" s="0" t="n">
        <v>1</v>
      </c>
      <c r="G1311" s="1"/>
      <c r="H1311" s="1"/>
      <c r="I1311" s="0" t="n">
        <v>14.1</v>
      </c>
      <c r="J1311" s="0" t="n">
        <f aca="false">(I1311/32)*5</f>
        <v>2.203125</v>
      </c>
      <c r="L1311" s="0" t="n">
        <v>24.5</v>
      </c>
      <c r="M1311" s="0" t="n">
        <v>0</v>
      </c>
      <c r="N1311" s="0" t="n">
        <f aca="false">L1311</f>
        <v>24.5</v>
      </c>
      <c r="O1311" s="3" t="n">
        <f aca="false">LOOKUP(L1311,$AB$3:$AC$123)</f>
        <v>1.101275</v>
      </c>
      <c r="P1311" s="3" t="n">
        <f aca="false">(O1311*(N1311/100)*(J1311/1000))*1000</f>
        <v>0.594430388671875</v>
      </c>
      <c r="Q1311" s="3"/>
      <c r="R1311" s="1"/>
      <c r="S1311" s="1"/>
      <c r="T1311" s="1"/>
      <c r="U1311" s="1"/>
      <c r="V1311" s="1"/>
      <c r="W1311" s="1"/>
      <c r="X1311" s="1"/>
      <c r="Y1311" s="5"/>
      <c r="Z1311" s="1"/>
    </row>
    <row r="1312" customFormat="false" ht="15" hidden="false" customHeight="false" outlineLevel="0" collapsed="false">
      <c r="A1312" s="0" t="s">
        <v>59</v>
      </c>
      <c r="B1312" s="0" t="s">
        <v>60</v>
      </c>
      <c r="C1312" s="0" t="s">
        <v>56</v>
      </c>
      <c r="D1312" s="0" t="s">
        <v>155</v>
      </c>
      <c r="E1312" s="0" t="n">
        <v>28</v>
      </c>
      <c r="F1312" s="0" t="n">
        <v>1</v>
      </c>
      <c r="G1312" s="1"/>
      <c r="H1312" s="1"/>
      <c r="I1312" s="0" t="n">
        <v>28.2</v>
      </c>
      <c r="J1312" s="0" t="n">
        <f aca="false">(I1312/32)*5</f>
        <v>4.40625</v>
      </c>
      <c r="L1312" s="0" t="n">
        <v>25</v>
      </c>
      <c r="M1312" s="0" t="n">
        <v>0</v>
      </c>
      <c r="N1312" s="0" t="n">
        <f aca="false">L1312</f>
        <v>25</v>
      </c>
      <c r="O1312" s="3" t="n">
        <f aca="false">LOOKUP(L1312,$AB$3:$AC$123)</f>
        <v>1.10355</v>
      </c>
      <c r="P1312" s="3" t="n">
        <f aca="false">(O1312*(N1312/100)*(J1312/1000))*1000</f>
        <v>1.215629296875</v>
      </c>
      <c r="Q1312" s="3"/>
      <c r="R1312" s="1"/>
      <c r="S1312" s="1"/>
      <c r="T1312" s="1"/>
      <c r="U1312" s="1"/>
      <c r="V1312" s="1"/>
      <c r="W1312" s="1"/>
      <c r="X1312" s="1"/>
      <c r="Y1312" s="5"/>
      <c r="Z1312" s="1"/>
    </row>
    <row r="1313" customFormat="false" ht="15" hidden="false" customHeight="false" outlineLevel="0" collapsed="false">
      <c r="A1313" s="0" t="s">
        <v>61</v>
      </c>
      <c r="B1313" s="0" t="s">
        <v>62</v>
      </c>
      <c r="C1313" s="0" t="s">
        <v>56</v>
      </c>
      <c r="D1313" s="0" t="s">
        <v>155</v>
      </c>
      <c r="E1313" s="0" t="n">
        <v>28</v>
      </c>
      <c r="F1313" s="0" t="n">
        <v>2</v>
      </c>
      <c r="G1313" s="1"/>
      <c r="H1313" s="1"/>
      <c r="I1313" s="0" t="n">
        <v>22.3</v>
      </c>
      <c r="J1313" s="0" t="n">
        <f aca="false">(I1313/32)*5</f>
        <v>3.484375</v>
      </c>
      <c r="L1313" s="0" t="n">
        <v>18</v>
      </c>
      <c r="M1313" s="0" t="n">
        <v>0</v>
      </c>
      <c r="N1313" s="0" t="n">
        <f aca="false">L1313</f>
        <v>18</v>
      </c>
      <c r="O1313" s="3" t="n">
        <f aca="false">LOOKUP(L1313,$AB$3:$AC$123)</f>
        <v>1.0722</v>
      </c>
      <c r="P1313" s="3" t="n">
        <f aca="false">(O1313*(N1313/100)*(J1313/1000))*1000</f>
        <v>0.6724704375</v>
      </c>
      <c r="Q1313" s="3"/>
      <c r="R1313" s="1"/>
      <c r="S1313" s="1"/>
      <c r="T1313" s="1"/>
      <c r="U1313" s="1"/>
      <c r="V1313" s="1"/>
      <c r="W1313" s="1"/>
      <c r="X1313" s="1"/>
      <c r="Y1313" s="5"/>
      <c r="Z1313" s="1"/>
    </row>
    <row r="1314" customFormat="false" ht="15" hidden="false" customHeight="false" outlineLevel="0" collapsed="false">
      <c r="A1314" s="0" t="s">
        <v>63</v>
      </c>
      <c r="B1314" s="0" t="s">
        <v>64</v>
      </c>
      <c r="C1314" s="0" t="s">
        <v>56</v>
      </c>
      <c r="D1314" s="0" t="s">
        <v>155</v>
      </c>
      <c r="E1314" s="0" t="n">
        <v>28</v>
      </c>
      <c r="F1314" s="0" t="n">
        <v>2</v>
      </c>
      <c r="G1314" s="1"/>
      <c r="H1314" s="1"/>
      <c r="I1314" s="0" t="n">
        <v>25.2</v>
      </c>
      <c r="J1314" s="0" t="n">
        <f aca="false">(I1314/32)*5</f>
        <v>3.9375</v>
      </c>
      <c r="L1314" s="0" t="n">
        <v>23.5</v>
      </c>
      <c r="M1314" s="0" t="n">
        <v>0</v>
      </c>
      <c r="N1314" s="0" t="n">
        <f aca="false">L1314</f>
        <v>23.5</v>
      </c>
      <c r="O1314" s="3" t="n">
        <f aca="false">LOOKUP(L1314,$AB$3:$AC$123)</f>
        <v>1.096725</v>
      </c>
      <c r="P1314" s="3" t="n">
        <f aca="false">(O1314*(N1314/100)*(J1314/1000))*1000</f>
        <v>1.0148133515625</v>
      </c>
      <c r="Q1314" s="3"/>
      <c r="R1314" s="1"/>
      <c r="S1314" s="1"/>
      <c r="T1314" s="1"/>
      <c r="U1314" s="1"/>
      <c r="V1314" s="1"/>
      <c r="W1314" s="1"/>
      <c r="X1314" s="1"/>
      <c r="Y1314" s="5"/>
      <c r="Z1314" s="1"/>
    </row>
    <row r="1315" customFormat="false" ht="15" hidden="false" customHeight="false" outlineLevel="0" collapsed="false">
      <c r="A1315" s="0" t="s">
        <v>65</v>
      </c>
      <c r="B1315" s="0" t="s">
        <v>66</v>
      </c>
      <c r="C1315" s="0" t="s">
        <v>56</v>
      </c>
      <c r="D1315" s="0" t="s">
        <v>155</v>
      </c>
      <c r="E1315" s="0" t="n">
        <v>28</v>
      </c>
      <c r="F1315" s="0" t="n">
        <v>2</v>
      </c>
      <c r="G1315" s="1"/>
      <c r="H1315" s="1"/>
      <c r="I1315" s="0" t="n">
        <v>30.6</v>
      </c>
      <c r="J1315" s="0" t="n">
        <f aca="false">(I1315/32)*5</f>
        <v>4.78125</v>
      </c>
      <c r="L1315" s="0" t="n">
        <v>22</v>
      </c>
      <c r="M1315" s="0" t="n">
        <v>0</v>
      </c>
      <c r="N1315" s="0" t="n">
        <f aca="false">L1315</f>
        <v>22</v>
      </c>
      <c r="O1315" s="3" t="n">
        <f aca="false">LOOKUP(L1315,$AB$3:$AC$123)</f>
        <v>1.0899</v>
      </c>
      <c r="P1315" s="3" t="n">
        <f aca="false">(O1315*(N1315/100)*(J1315/1000))*1000</f>
        <v>1.1464385625</v>
      </c>
      <c r="Q1315" s="3"/>
      <c r="R1315" s="1"/>
      <c r="S1315" s="1"/>
      <c r="T1315" s="1"/>
      <c r="U1315" s="1"/>
      <c r="V1315" s="1"/>
      <c r="W1315" s="1"/>
      <c r="X1315" s="1"/>
      <c r="Y1315" s="5"/>
      <c r="Z1315" s="1"/>
    </row>
    <row r="1316" customFormat="false" ht="15" hidden="false" customHeight="false" outlineLevel="0" collapsed="false">
      <c r="A1316" s="0" t="s">
        <v>67</v>
      </c>
      <c r="B1316" s="0" t="s">
        <v>68</v>
      </c>
      <c r="C1316" s="0" t="s">
        <v>56</v>
      </c>
      <c r="D1316" s="0" t="s">
        <v>155</v>
      </c>
      <c r="E1316" s="0" t="n">
        <v>28</v>
      </c>
      <c r="F1316" s="0" t="n">
        <v>1</v>
      </c>
      <c r="G1316" s="1"/>
      <c r="H1316" s="1"/>
      <c r="I1316" s="0" t="n">
        <v>23.2</v>
      </c>
      <c r="J1316" s="0" t="n">
        <f aca="false">(I1316/32)*5</f>
        <v>3.625</v>
      </c>
      <c r="L1316" s="0" t="n">
        <v>23.5</v>
      </c>
      <c r="M1316" s="0" t="n">
        <v>0</v>
      </c>
      <c r="N1316" s="0" t="n">
        <f aca="false">L1316</f>
        <v>23.5</v>
      </c>
      <c r="O1316" s="3" t="n">
        <f aca="false">LOOKUP(L1316,$AB$3:$AC$123)</f>
        <v>1.096725</v>
      </c>
      <c r="P1316" s="3" t="n">
        <f aca="false">(O1316*(N1316/100)*(J1316/1000))*1000</f>
        <v>0.934272609375</v>
      </c>
      <c r="Q1316" s="3"/>
      <c r="R1316" s="1"/>
      <c r="S1316" s="1"/>
      <c r="T1316" s="1"/>
      <c r="U1316" s="1"/>
      <c r="V1316" s="1"/>
      <c r="W1316" s="1"/>
      <c r="X1316" s="1"/>
      <c r="Y1316" s="5"/>
      <c r="Z1316" s="1"/>
    </row>
    <row r="1317" customFormat="false" ht="15" hidden="false" customHeight="false" outlineLevel="0" collapsed="false">
      <c r="A1317" s="0" t="s">
        <v>69</v>
      </c>
      <c r="B1317" s="0" t="s">
        <v>70</v>
      </c>
      <c r="C1317" s="0" t="s">
        <v>56</v>
      </c>
      <c r="D1317" s="0" t="s">
        <v>155</v>
      </c>
      <c r="E1317" s="0" t="n">
        <v>28</v>
      </c>
      <c r="F1317" s="0" t="n">
        <v>3</v>
      </c>
      <c r="G1317" s="1"/>
      <c r="H1317" s="1"/>
      <c r="I1317" s="0" t="n">
        <f aca="false">12.9+23.7</f>
        <v>36.6</v>
      </c>
      <c r="J1317" s="0" t="n">
        <f aca="false">(I1317/32)*5</f>
        <v>5.71875</v>
      </c>
      <c r="L1317" s="0" t="n">
        <v>23</v>
      </c>
      <c r="M1317" s="0" t="n">
        <v>0</v>
      </c>
      <c r="N1317" s="0" t="n">
        <f aca="false">L1317</f>
        <v>23</v>
      </c>
      <c r="O1317" s="3" t="n">
        <f aca="false">LOOKUP(L1317,$AB$3:$AC$123)</f>
        <v>1.09445</v>
      </c>
      <c r="P1317" s="3" t="n">
        <f aca="false">(O1317*(N1317/100)*(J1317/1000))*1000</f>
        <v>1.439543765625</v>
      </c>
      <c r="Q1317" s="3"/>
      <c r="R1317" s="1"/>
      <c r="S1317" s="1"/>
      <c r="T1317" s="1"/>
      <c r="U1317" s="1"/>
      <c r="V1317" s="1"/>
      <c r="W1317" s="1"/>
      <c r="X1317" s="1"/>
      <c r="Y1317" s="5"/>
      <c r="Z1317" s="1"/>
    </row>
    <row r="1318" customFormat="false" ht="15" hidden="false" customHeight="false" outlineLevel="0" collapsed="false">
      <c r="A1318" s="0" t="s">
        <v>71</v>
      </c>
      <c r="B1318" s="0" t="s">
        <v>72</v>
      </c>
      <c r="C1318" s="0" t="s">
        <v>56</v>
      </c>
      <c r="D1318" s="0" t="s">
        <v>155</v>
      </c>
      <c r="E1318" s="0" t="n">
        <v>28</v>
      </c>
      <c r="F1318" s="0" t="n">
        <v>0</v>
      </c>
      <c r="G1318" s="1"/>
      <c r="H1318" s="1"/>
      <c r="I1318" s="0" t="n">
        <v>0</v>
      </c>
      <c r="J1318" s="0" t="n">
        <f aca="false">(I1318/32)*5</f>
        <v>0</v>
      </c>
      <c r="L1318" s="0" t="n">
        <v>0</v>
      </c>
      <c r="M1318" s="0" t="n">
        <v>0</v>
      </c>
      <c r="N1318" s="0" t="n">
        <f aca="false">L1318</f>
        <v>0</v>
      </c>
      <c r="O1318" s="3" t="n">
        <v>0</v>
      </c>
      <c r="P1318" s="3" t="n">
        <f aca="false">(O1318*(N1318/100)*(J1318/1000))*1000</f>
        <v>0</v>
      </c>
      <c r="Q1318" s="3"/>
      <c r="R1318" s="1"/>
      <c r="S1318" s="1"/>
      <c r="T1318" s="1"/>
      <c r="U1318" s="1"/>
      <c r="V1318" s="1"/>
      <c r="W1318" s="1"/>
      <c r="X1318" s="1"/>
      <c r="Y1318" s="5"/>
      <c r="Z1318" s="1"/>
    </row>
    <row r="1319" customFormat="false" ht="15" hidden="false" customHeight="false" outlineLevel="0" collapsed="false">
      <c r="A1319" s="0" t="s">
        <v>73</v>
      </c>
      <c r="B1319" s="0" t="s">
        <v>74</v>
      </c>
      <c r="C1319" s="0" t="s">
        <v>56</v>
      </c>
      <c r="D1319" s="0" t="s">
        <v>155</v>
      </c>
      <c r="E1319" s="0" t="n">
        <v>28</v>
      </c>
      <c r="F1319" s="0" t="n">
        <v>2</v>
      </c>
      <c r="G1319" s="1"/>
      <c r="H1319" s="1"/>
      <c r="I1319" s="0" t="n">
        <f aca="false">30.9+31+27.6+13.7</f>
        <v>103.2</v>
      </c>
      <c r="J1319" s="0" t="n">
        <f aca="false">(I1319/32)*5</f>
        <v>16.125</v>
      </c>
      <c r="L1319" s="0" t="n">
        <v>20.5</v>
      </c>
      <c r="M1319" s="0" t="n">
        <v>0</v>
      </c>
      <c r="N1319" s="0" t="n">
        <f aca="false">L1319</f>
        <v>20.5</v>
      </c>
      <c r="O1319" s="3" t="n">
        <f aca="false">LOOKUP(L1319,$AB$3:$AC$123)</f>
        <v>1.083225</v>
      </c>
      <c r="P1319" s="3" t="n">
        <f aca="false">(O1319*(N1319/100)*(J1319/1000))*1000</f>
        <v>3.580735640625</v>
      </c>
      <c r="Q1319" s="3"/>
      <c r="R1319" s="1"/>
      <c r="S1319" s="1"/>
      <c r="T1319" s="1"/>
      <c r="U1319" s="1"/>
      <c r="V1319" s="1"/>
      <c r="W1319" s="1"/>
      <c r="X1319" s="1"/>
      <c r="Y1319" s="5"/>
      <c r="Z1319" s="1"/>
    </row>
    <row r="1320" customFormat="false" ht="15" hidden="false" customHeight="false" outlineLevel="0" collapsed="false">
      <c r="A1320" s="0" t="s">
        <v>75</v>
      </c>
      <c r="B1320" s="0" t="s">
        <v>76</v>
      </c>
      <c r="C1320" s="0" t="s">
        <v>56</v>
      </c>
      <c r="D1320" s="0" t="s">
        <v>155</v>
      </c>
      <c r="E1320" s="0" t="n">
        <v>28</v>
      </c>
      <c r="F1320" s="0" t="n">
        <v>3</v>
      </c>
      <c r="G1320" s="1"/>
      <c r="H1320" s="1"/>
      <c r="I1320" s="0" t="n">
        <f aca="false">30.7+31.2+30.9+30.5+21.7</f>
        <v>145</v>
      </c>
      <c r="J1320" s="0" t="n">
        <f aca="false">(I1320/32)*5</f>
        <v>22.65625</v>
      </c>
      <c r="L1320" s="0" t="n">
        <v>23.5</v>
      </c>
      <c r="M1320" s="0" t="n">
        <v>0</v>
      </c>
      <c r="N1320" s="0" t="n">
        <f aca="false">L1320</f>
        <v>23.5</v>
      </c>
      <c r="O1320" s="3" t="n">
        <f aca="false">LOOKUP(L1320,$AB$3:$AC$123)</f>
        <v>1.096725</v>
      </c>
      <c r="P1320" s="3" t="n">
        <f aca="false">(O1320*(N1320/100)*(J1320/1000))*1000</f>
        <v>5.83920380859375</v>
      </c>
      <c r="Q1320" s="3"/>
      <c r="R1320" s="1"/>
      <c r="S1320" s="1"/>
      <c r="T1320" s="1"/>
      <c r="U1320" s="1"/>
      <c r="V1320" s="1"/>
      <c r="W1320" s="1"/>
      <c r="X1320" s="1"/>
      <c r="Y1320" s="5"/>
      <c r="Z1320" s="1"/>
    </row>
    <row r="1321" customFormat="false" ht="15" hidden="false" customHeight="false" outlineLevel="0" collapsed="false">
      <c r="A1321" s="0" t="s">
        <v>77</v>
      </c>
      <c r="B1321" s="0" t="s">
        <v>78</v>
      </c>
      <c r="C1321" s="0" t="s">
        <v>56</v>
      </c>
      <c r="D1321" s="0" t="s">
        <v>155</v>
      </c>
      <c r="E1321" s="0" t="n">
        <v>28</v>
      </c>
      <c r="F1321" s="0" t="n">
        <v>1</v>
      </c>
      <c r="G1321" s="1"/>
      <c r="H1321" s="1"/>
      <c r="I1321" s="0" t="n">
        <v>19.7</v>
      </c>
      <c r="J1321" s="0" t="n">
        <f aca="false">(I1321/32)*5</f>
        <v>3.078125</v>
      </c>
      <c r="L1321" s="0" t="n">
        <v>15</v>
      </c>
      <c r="M1321" s="0" t="n">
        <v>0</v>
      </c>
      <c r="N1321" s="0" t="n">
        <f aca="false">L1321</f>
        <v>15</v>
      </c>
      <c r="O1321" s="3" t="n">
        <f aca="false">LOOKUP(L1321,$AB$3:$AC$123)</f>
        <v>1.0592</v>
      </c>
      <c r="P1321" s="3" t="n">
        <f aca="false">(O1321*(N1321/100)*(J1321/1000))*1000</f>
        <v>0.4890525</v>
      </c>
      <c r="Q1321" s="3"/>
      <c r="R1321" s="1"/>
      <c r="S1321" s="1"/>
      <c r="T1321" s="1"/>
      <c r="U1321" s="1"/>
      <c r="V1321" s="1"/>
      <c r="W1321" s="1"/>
      <c r="X1321" s="1"/>
      <c r="Y1321" s="5"/>
      <c r="Z1321" s="1"/>
    </row>
    <row r="1322" customFormat="false" ht="15" hidden="false" customHeight="false" outlineLevel="0" collapsed="false">
      <c r="A1322" s="0" t="s">
        <v>79</v>
      </c>
      <c r="B1322" s="0" t="s">
        <v>80</v>
      </c>
      <c r="C1322" s="0" t="s">
        <v>81</v>
      </c>
      <c r="D1322" s="0" t="s">
        <v>155</v>
      </c>
      <c r="E1322" s="0" t="n">
        <v>28</v>
      </c>
      <c r="F1322" s="0" t="n">
        <v>1</v>
      </c>
      <c r="G1322" s="1"/>
      <c r="H1322" s="1"/>
      <c r="I1322" s="0" t="n">
        <v>22.5</v>
      </c>
      <c r="J1322" s="0" t="n">
        <f aca="false">(I1322/32)*5</f>
        <v>3.515625</v>
      </c>
      <c r="L1322" s="0" t="n">
        <v>16</v>
      </c>
      <c r="M1322" s="0" t="n">
        <v>0</v>
      </c>
      <c r="N1322" s="0" t="n">
        <f aca="false">L1322</f>
        <v>16</v>
      </c>
      <c r="O1322" s="3" t="n">
        <f aca="false">LOOKUP(L1322,$AB$3:$AC$123)</f>
        <v>1.0635</v>
      </c>
      <c r="P1322" s="3" t="n">
        <f aca="false">(O1322*(N1322/100)*(J1322/1000))*1000</f>
        <v>0.59821875</v>
      </c>
      <c r="Q1322" s="3"/>
      <c r="R1322" s="0" t="n">
        <v>3</v>
      </c>
      <c r="S1322" s="0" t="n">
        <v>11.5</v>
      </c>
      <c r="T1322" s="0" t="n">
        <f aca="false">(S1322/32)*5</f>
        <v>1.796875</v>
      </c>
      <c r="V1322" s="0" t="n">
        <v>24</v>
      </c>
      <c r="W1322" s="0" t="n">
        <v>4</v>
      </c>
      <c r="X1322" s="3" t="n">
        <f aca="false">LOOKUP(V1322,$AB$3:$AC$123)</f>
        <v>1.099</v>
      </c>
      <c r="Y1322" s="2" t="n">
        <f aca="false">(V1322*((W1322+T1322)/1000)*X1322)/((((W1322+T1322)/1000)*X1322)-((W1322/1000)*0.9982))</f>
        <v>64.2979752913796</v>
      </c>
      <c r="Z1322" s="3" t="n">
        <f aca="false">(X1322*(V1322/100)*((W1322+T1322)/1000))*1000</f>
        <v>1.52898375</v>
      </c>
    </row>
    <row r="1323" customFormat="false" ht="15" hidden="false" customHeight="false" outlineLevel="0" collapsed="false">
      <c r="A1323" s="0" t="s">
        <v>82</v>
      </c>
      <c r="B1323" s="0" t="s">
        <v>83</v>
      </c>
      <c r="C1323" s="0" t="s">
        <v>81</v>
      </c>
      <c r="D1323" s="0" t="s">
        <v>155</v>
      </c>
      <c r="E1323" s="0" t="n">
        <v>28</v>
      </c>
      <c r="F1323" s="0" t="n">
        <v>1</v>
      </c>
      <c r="G1323" s="1"/>
      <c r="H1323" s="1"/>
      <c r="I1323" s="0" t="n">
        <v>20.3</v>
      </c>
      <c r="J1323" s="0" t="n">
        <f aca="false">(I1323/32)*5</f>
        <v>3.171875</v>
      </c>
      <c r="L1323" s="0" t="n">
        <v>25</v>
      </c>
      <c r="M1323" s="0" t="n">
        <v>0</v>
      </c>
      <c r="N1323" s="0" t="n">
        <f aca="false">L1323</f>
        <v>25</v>
      </c>
      <c r="O1323" s="3" t="n">
        <f aca="false">LOOKUP(L1323,$AB$3:$AC$123)</f>
        <v>1.10355</v>
      </c>
      <c r="P1323" s="3" t="n">
        <f aca="false">(O1323*(N1323/100)*(J1323/1000))*1000</f>
        <v>0.8750806640625</v>
      </c>
      <c r="Q1323" s="3"/>
      <c r="R1323" s="0" t="n">
        <v>2</v>
      </c>
      <c r="S1323" s="0" t="n">
        <v>7</v>
      </c>
      <c r="T1323" s="0" t="n">
        <f aca="false">(S1323/32)*5</f>
        <v>1.09375</v>
      </c>
      <c r="V1323" s="0" t="n">
        <v>40</v>
      </c>
      <c r="W1323" s="0" t="n">
        <v>1</v>
      </c>
      <c r="X1323" s="3" t="n">
        <f aca="false">LOOKUP(V1323,$AB$3:$AC$123)</f>
        <v>1.1765</v>
      </c>
      <c r="Y1323" s="2" t="n">
        <f aca="false">(V1323*((W1323+T1323)/1000)*X1323)/((((W1323+T1323)/1000)*X1323)-((W1323/1000)*0.9982))</f>
        <v>67.2528053818967</v>
      </c>
      <c r="Z1323" s="3" t="n">
        <f aca="false">(X1323*(V1323/100)*((W1323+T1323)/1000))*1000</f>
        <v>0.98531875</v>
      </c>
    </row>
    <row r="1324" customFormat="false" ht="15" hidden="false" customHeight="false" outlineLevel="0" collapsed="false">
      <c r="A1324" s="0" t="s">
        <v>84</v>
      </c>
      <c r="B1324" s="0" t="s">
        <v>85</v>
      </c>
      <c r="C1324" s="0" t="s">
        <v>81</v>
      </c>
      <c r="D1324" s="0" t="s">
        <v>155</v>
      </c>
      <c r="E1324" s="0" t="n">
        <v>28</v>
      </c>
      <c r="F1324" s="0" t="n">
        <v>1</v>
      </c>
      <c r="G1324" s="1"/>
      <c r="H1324" s="1"/>
      <c r="I1324" s="0" t="n">
        <v>17.8</v>
      </c>
      <c r="J1324" s="0" t="n">
        <f aca="false">(I1324/32)*5</f>
        <v>2.78125</v>
      </c>
      <c r="L1324" s="0" t="n">
        <v>22</v>
      </c>
      <c r="M1324" s="0" t="n">
        <v>0</v>
      </c>
      <c r="N1324" s="0" t="n">
        <f aca="false">L1324</f>
        <v>22</v>
      </c>
      <c r="O1324" s="3" t="n">
        <f aca="false">LOOKUP(L1324,$AB$3:$AC$123)</f>
        <v>1.0899</v>
      </c>
      <c r="P1324" s="3" t="n">
        <f aca="false">(O1324*(N1324/100)*(J1324/1000))*1000</f>
        <v>0.6668825625</v>
      </c>
      <c r="Q1324" s="3"/>
      <c r="R1324" s="0" t="n">
        <v>6</v>
      </c>
      <c r="S1324" s="0" t="n">
        <v>21.2</v>
      </c>
      <c r="T1324" s="0" t="n">
        <f aca="false">(S1324/32)*5</f>
        <v>3.3125</v>
      </c>
      <c r="V1324" s="0" t="n">
        <v>27</v>
      </c>
      <c r="W1324" s="0" t="n">
        <v>8</v>
      </c>
      <c r="X1324" s="3" t="n">
        <f aca="false">LOOKUP(V1324,$AB$3:$AC$123)</f>
        <v>1.1128</v>
      </c>
      <c r="Y1324" s="2" t="n">
        <f aca="false">(V1324*((W1324+T1324)/1000)*X1324)/((((W1324+T1324)/1000)*X1324)-((W1324/1000)*0.9982))</f>
        <v>73.8419600473609</v>
      </c>
      <c r="Z1324" s="3" t="n">
        <f aca="false">(X1324*(V1324/100)*((W1324+T1324)/1000))*1000</f>
        <v>3.3989085</v>
      </c>
    </row>
    <row r="1325" customFormat="false" ht="15" hidden="false" customHeight="false" outlineLevel="0" collapsed="false">
      <c r="A1325" s="0" t="s">
        <v>86</v>
      </c>
      <c r="B1325" s="0" t="s">
        <v>87</v>
      </c>
      <c r="C1325" s="0" t="s">
        <v>81</v>
      </c>
      <c r="D1325" s="0" t="s">
        <v>155</v>
      </c>
      <c r="E1325" s="0" t="n">
        <v>28</v>
      </c>
      <c r="F1325" s="0" t="n">
        <v>0</v>
      </c>
      <c r="G1325" s="1"/>
      <c r="H1325" s="1"/>
      <c r="I1325" s="0" t="n">
        <v>0</v>
      </c>
      <c r="J1325" s="0" t="n">
        <f aca="false">(I1325/32)*5</f>
        <v>0</v>
      </c>
      <c r="L1325" s="0" t="n">
        <v>0</v>
      </c>
      <c r="M1325" s="0" t="n">
        <v>0</v>
      </c>
      <c r="N1325" s="0" t="n">
        <f aca="false">L1325</f>
        <v>0</v>
      </c>
      <c r="O1325" s="3" t="n">
        <v>0</v>
      </c>
      <c r="P1325" s="3" t="n">
        <f aca="false">(O1325*(N1325/100)*(J1325/1000))*1000</f>
        <v>0</v>
      </c>
      <c r="Q1325" s="3"/>
      <c r="R1325" s="3" t="n">
        <v>4</v>
      </c>
      <c r="S1325" s="3" t="n">
        <v>6.1</v>
      </c>
      <c r="T1325" s="0" t="n">
        <f aca="false">(S1325/32)*5</f>
        <v>0.953125</v>
      </c>
      <c r="V1325" s="0" t="n">
        <v>12.5</v>
      </c>
      <c r="W1325" s="0" t="n">
        <v>4</v>
      </c>
      <c r="X1325" s="3" t="n">
        <f aca="false">LOOKUP(V1325,$AB$3:$AC$123)</f>
        <v>1.0486</v>
      </c>
      <c r="Y1325" s="2" t="n">
        <f aca="false">(V1325*((W1325+T1325)/1000)*X1325)/((((W1325+T1325)/1000)*X1325)-((W1325/1000)*0.9982))</f>
        <v>54.0554138967307</v>
      </c>
      <c r="Z1325" s="3" t="n">
        <f aca="false">(X1325*(V1325/100)*((W1325+T1325)/1000))*1000</f>
        <v>0.649230859375</v>
      </c>
    </row>
    <row r="1326" customFormat="false" ht="15" hidden="false" customHeight="false" outlineLevel="0" collapsed="false">
      <c r="A1326" s="0" t="s">
        <v>88</v>
      </c>
      <c r="B1326" s="0" t="s">
        <v>89</v>
      </c>
      <c r="C1326" s="0" t="s">
        <v>81</v>
      </c>
      <c r="D1326" s="0" t="s">
        <v>155</v>
      </c>
      <c r="E1326" s="0" t="n">
        <v>28</v>
      </c>
      <c r="F1326" s="0" t="n">
        <v>1</v>
      </c>
      <c r="G1326" s="1"/>
      <c r="H1326" s="1"/>
      <c r="I1326" s="0" t="n">
        <v>26.5</v>
      </c>
      <c r="J1326" s="0" t="n">
        <f aca="false">(I1326/32)*5</f>
        <v>4.140625</v>
      </c>
      <c r="L1326" s="0" t="n">
        <v>28</v>
      </c>
      <c r="M1326" s="0" t="n">
        <v>0</v>
      </c>
      <c r="N1326" s="0" t="n">
        <f aca="false">L1326</f>
        <v>28</v>
      </c>
      <c r="O1326" s="3" t="n">
        <f aca="false">LOOKUP(L1326,$AB$3:$AC$123)</f>
        <v>1.1175</v>
      </c>
      <c r="P1326" s="3" t="n">
        <f aca="false">(O1326*(N1326/100)*(J1326/1000))*1000</f>
        <v>1.2956015625</v>
      </c>
      <c r="Q1326" s="3"/>
      <c r="R1326" s="3" t="n">
        <v>5</v>
      </c>
      <c r="S1326" s="3" t="n">
        <v>15.4</v>
      </c>
      <c r="T1326" s="0" t="n">
        <f aca="false">(S1326/32)*5</f>
        <v>2.40625</v>
      </c>
      <c r="V1326" s="0" t="n">
        <v>21</v>
      </c>
      <c r="W1326" s="0" t="n">
        <v>4</v>
      </c>
      <c r="X1326" s="3" t="n">
        <f aca="false">LOOKUP(V1326,$AB$3:$AC$123)</f>
        <v>1.08545</v>
      </c>
      <c r="Y1326" s="2" t="n">
        <f aca="false">(V1326*((W1326+T1326)/1000)*X1326)/((((W1326+T1326)/1000)*X1326)-((W1326/1000)*0.9982))</f>
        <v>49.3190306039253</v>
      </c>
      <c r="Z1326" s="3" t="n">
        <f aca="false">(X1326*(V1326/100)*((W1326+T1326)/1000))*1000</f>
        <v>1.460269453125</v>
      </c>
    </row>
    <row r="1327" customFormat="false" ht="15" hidden="false" customHeight="false" outlineLevel="0" collapsed="false">
      <c r="A1327" s="0" t="s">
        <v>90</v>
      </c>
      <c r="B1327" s="0" t="s">
        <v>91</v>
      </c>
      <c r="C1327" s="0" t="s">
        <v>81</v>
      </c>
      <c r="D1327" s="0" t="s">
        <v>155</v>
      </c>
      <c r="E1327" s="0" t="n">
        <v>28</v>
      </c>
      <c r="F1327" s="0" t="n">
        <v>0</v>
      </c>
      <c r="G1327" s="1"/>
      <c r="H1327" s="1"/>
      <c r="I1327" s="0" t="n">
        <v>0</v>
      </c>
      <c r="J1327" s="0" t="n">
        <f aca="false">(I1327/32)*5</f>
        <v>0</v>
      </c>
      <c r="L1327" s="0" t="n">
        <v>0</v>
      </c>
      <c r="M1327" s="0" t="n">
        <v>0</v>
      </c>
      <c r="N1327" s="0" t="n">
        <f aca="false">L1327</f>
        <v>0</v>
      </c>
      <c r="O1327" s="3" t="n">
        <v>0</v>
      </c>
      <c r="P1327" s="3" t="n">
        <f aca="false">(O1327*(N1327/100)*(J1327/1000))*1000</f>
        <v>0</v>
      </c>
      <c r="Q1327" s="3"/>
      <c r="R1327" s="3" t="n">
        <v>3</v>
      </c>
      <c r="S1327" s="3" t="n">
        <v>10</v>
      </c>
      <c r="T1327" s="0" t="n">
        <f aca="false">(S1327/32)*5</f>
        <v>1.5625</v>
      </c>
      <c r="V1327" s="0" t="n">
        <v>16</v>
      </c>
      <c r="W1327" s="0" t="n">
        <v>4</v>
      </c>
      <c r="X1327" s="3" t="n">
        <f aca="false">LOOKUP(V1327,$AB$3:$AC$123)</f>
        <v>1.0635</v>
      </c>
      <c r="Y1327" s="2" t="n">
        <f aca="false">(V1327*((W1327+T1327)/1000)*X1327)/((((W1327+T1327)/1000)*X1327)-((W1327/1000)*0.9982))</f>
        <v>49.2228285776505</v>
      </c>
      <c r="Z1327" s="3" t="n">
        <f aca="false">(X1327*(V1327/100)*((W1327+T1327)/1000))*1000</f>
        <v>0.946515</v>
      </c>
    </row>
    <row r="1328" customFormat="false" ht="15" hidden="false" customHeight="false" outlineLevel="0" collapsed="false">
      <c r="A1328" s="0" t="s">
        <v>92</v>
      </c>
      <c r="B1328" s="0" t="s">
        <v>93</v>
      </c>
      <c r="C1328" s="0" t="s">
        <v>81</v>
      </c>
      <c r="D1328" s="0" t="s">
        <v>155</v>
      </c>
      <c r="E1328" s="0" t="n">
        <v>28</v>
      </c>
      <c r="F1328" s="0" t="n">
        <v>0</v>
      </c>
      <c r="G1328" s="1"/>
      <c r="H1328" s="1"/>
      <c r="I1328" s="0" t="n">
        <v>0</v>
      </c>
      <c r="J1328" s="0" t="n">
        <f aca="false">(I1328/32)*5</f>
        <v>0</v>
      </c>
      <c r="L1328" s="0" t="n">
        <v>0</v>
      </c>
      <c r="M1328" s="0" t="n">
        <v>0</v>
      </c>
      <c r="N1328" s="0" t="n">
        <f aca="false">L1328</f>
        <v>0</v>
      </c>
      <c r="O1328" s="3" t="n">
        <v>0</v>
      </c>
      <c r="P1328" s="3" t="n">
        <f aca="false">(O1328*(N1328/100)*(J1328/1000))*1000</f>
        <v>0</v>
      </c>
      <c r="Q1328" s="3"/>
      <c r="R1328" s="3" t="n">
        <v>6</v>
      </c>
      <c r="S1328" s="3" t="n">
        <v>27.1</v>
      </c>
      <c r="T1328" s="0" t="n">
        <f aca="false">(S1328/32)*5</f>
        <v>4.234375</v>
      </c>
      <c r="V1328" s="0" t="n">
        <v>30</v>
      </c>
      <c r="W1328" s="0" t="n">
        <v>4</v>
      </c>
      <c r="X1328" s="3" t="n">
        <f aca="false">LOOKUP(V1328,$AB$3:$AC$123)</f>
        <v>1.127</v>
      </c>
      <c r="Y1328" s="2" t="n">
        <f aca="false">(V1328*((W1328+T1328)/1000)*X1328)/((((W1328+T1328)/1000)*X1328)-((W1328/1000)*0.9982))</f>
        <v>52.6548672566372</v>
      </c>
      <c r="Z1328" s="3" t="n">
        <f aca="false">(X1328*(V1328/100)*((W1328+T1328)/1000))*1000</f>
        <v>2.7840421875</v>
      </c>
    </row>
    <row r="1329" customFormat="false" ht="15" hidden="false" customHeight="false" outlineLevel="0" collapsed="false">
      <c r="A1329" s="0" t="s">
        <v>94</v>
      </c>
      <c r="B1329" s="0" t="s">
        <v>95</v>
      </c>
      <c r="C1329" s="0" t="s">
        <v>81</v>
      </c>
      <c r="D1329" s="0" t="s">
        <v>155</v>
      </c>
      <c r="E1329" s="0" t="n">
        <v>28</v>
      </c>
      <c r="F1329" s="0" t="n">
        <v>1</v>
      </c>
      <c r="G1329" s="1"/>
      <c r="H1329" s="1"/>
      <c r="I1329" s="0" t="n">
        <v>24.5</v>
      </c>
      <c r="J1329" s="0" t="n">
        <f aca="false">(I1329/32)*5</f>
        <v>3.828125</v>
      </c>
      <c r="L1329" s="0" t="n">
        <v>23.5</v>
      </c>
      <c r="M1329" s="0" t="n">
        <v>0</v>
      </c>
      <c r="N1329" s="0" t="n">
        <f aca="false">L1329</f>
        <v>23.5</v>
      </c>
      <c r="O1329" s="3" t="n">
        <f aca="false">LOOKUP(L1329,$AB$3:$AC$123)</f>
        <v>1.096725</v>
      </c>
      <c r="P1329" s="3" t="n">
        <f aca="false">(O1329*(N1329/100)*(J1329/1000))*1000</f>
        <v>0.986624091796875</v>
      </c>
      <c r="Q1329" s="3"/>
      <c r="R1329" s="3" t="n">
        <v>6</v>
      </c>
      <c r="S1329" s="3" t="n">
        <v>27.1</v>
      </c>
      <c r="T1329" s="0" t="n">
        <f aca="false">(S1329/32)*5</f>
        <v>4.234375</v>
      </c>
      <c r="V1329" s="0" t="n">
        <v>28.5</v>
      </c>
      <c r="W1329" s="0" t="n">
        <v>4</v>
      </c>
      <c r="X1329" s="3" t="n">
        <f aca="false">LOOKUP(V1329,$AB$3:$AC$123)</f>
        <v>1.119875</v>
      </c>
      <c r="Y1329" s="2" t="n">
        <f aca="false">(V1329*((W1329+T1329)/1000)*X1329)/((((W1329+T1329)/1000)*X1329)-((W1329/1000)*0.9982))</f>
        <v>50.2636195624231</v>
      </c>
      <c r="Z1329" s="3" t="n">
        <f aca="false">(X1329*(V1329/100)*((W1329+T1329)/1000))*1000</f>
        <v>2.62811915039062</v>
      </c>
    </row>
    <row r="1330" customFormat="false" ht="15" hidden="false" customHeight="false" outlineLevel="0" collapsed="false">
      <c r="A1330" s="0" t="s">
        <v>96</v>
      </c>
      <c r="B1330" s="0" t="s">
        <v>97</v>
      </c>
      <c r="C1330" s="0" t="s">
        <v>81</v>
      </c>
      <c r="D1330" s="0" t="s">
        <v>155</v>
      </c>
      <c r="E1330" s="0" t="n">
        <v>28</v>
      </c>
      <c r="F1330" s="0" t="n">
        <v>1</v>
      </c>
      <c r="G1330" s="1"/>
      <c r="H1330" s="1"/>
      <c r="I1330" s="0" t="n">
        <v>22.5</v>
      </c>
      <c r="J1330" s="0" t="n">
        <f aca="false">(I1330/32)*5</f>
        <v>3.515625</v>
      </c>
      <c r="L1330" s="0" t="n">
        <v>18.5</v>
      </c>
      <c r="M1330" s="0" t="n">
        <v>0</v>
      </c>
      <c r="N1330" s="0" t="n">
        <f aca="false">L1330</f>
        <v>18.5</v>
      </c>
      <c r="O1330" s="3" t="n">
        <f aca="false">LOOKUP(L1330,$AB$3:$AC$123)</f>
        <v>1.07435</v>
      </c>
      <c r="P1330" s="3" t="n">
        <f aca="false">(O1330*(N1330/100)*(J1330/1000))*1000</f>
        <v>0.69874716796875</v>
      </c>
      <c r="Q1330" s="3"/>
      <c r="R1330" s="3" t="n">
        <v>3</v>
      </c>
      <c r="S1330" s="3" t="n">
        <v>5.4</v>
      </c>
      <c r="T1330" s="0" t="n">
        <f aca="false">(S1330/32)*5</f>
        <v>0.84375</v>
      </c>
      <c r="V1330" s="0" t="n">
        <v>11.5</v>
      </c>
      <c r="W1330" s="0" t="n">
        <v>4</v>
      </c>
      <c r="X1330" s="3" t="n">
        <f aca="false">LOOKUP(V1330,$AB$3:$AC$123)</f>
        <v>1.0444</v>
      </c>
      <c r="Y1330" s="2" t="n">
        <f aca="false">(V1330*((W1330+T1330)/1000)*X1330)/((((W1330+T1330)/1000)*X1330)-((W1330/1000)*0.9982))</f>
        <v>54.5737913486005</v>
      </c>
      <c r="Z1330" s="3" t="n">
        <f aca="false">(X1330*(V1330/100)*((W1330+T1330)/1000))*1000</f>
        <v>0.5817634375</v>
      </c>
    </row>
    <row r="1331" customFormat="false" ht="15" hidden="false" customHeight="false" outlineLevel="0" collapsed="false">
      <c r="A1331" s="0" t="s">
        <v>98</v>
      </c>
      <c r="B1331" s="0" t="s">
        <v>99</v>
      </c>
      <c r="C1331" s="0" t="s">
        <v>81</v>
      </c>
      <c r="D1331" s="0" t="s">
        <v>155</v>
      </c>
      <c r="E1331" s="0" t="n">
        <v>28</v>
      </c>
      <c r="F1331" s="0" t="n">
        <v>2</v>
      </c>
      <c r="G1331" s="1"/>
      <c r="H1331" s="1"/>
      <c r="I1331" s="0" t="n">
        <f aca="false">15.4+31.1+30.7</f>
        <v>77.2</v>
      </c>
      <c r="J1331" s="0" t="n">
        <f aca="false">(I1331/32)*5</f>
        <v>12.0625</v>
      </c>
      <c r="L1331" s="0" t="n">
        <v>20.5</v>
      </c>
      <c r="M1331" s="0" t="n">
        <v>0</v>
      </c>
      <c r="N1331" s="0" t="n">
        <f aca="false">L1331</f>
        <v>20.5</v>
      </c>
      <c r="O1331" s="3" t="n">
        <f aca="false">LOOKUP(L1331,$AB$3:$AC$123)</f>
        <v>1.083225</v>
      </c>
      <c r="P1331" s="3" t="n">
        <f aca="false">(O1331*(N1331/100)*(J1331/1000))*1000</f>
        <v>2.6786123203125</v>
      </c>
      <c r="Q1331" s="3"/>
      <c r="R1331" s="3" t="n">
        <v>4</v>
      </c>
      <c r="S1331" s="3" t="n">
        <v>8.4</v>
      </c>
      <c r="T1331" s="0" t="n">
        <f aca="false">(S1331/32)*5</f>
        <v>1.3125</v>
      </c>
      <c r="V1331" s="0" t="n">
        <v>25.5</v>
      </c>
      <c r="W1331" s="0" t="n">
        <v>4</v>
      </c>
      <c r="X1331" s="3" t="n">
        <f aca="false">LOOKUP(V1331,$AB$3:$AC$123)</f>
        <v>1.105825</v>
      </c>
      <c r="Y1331" s="2" t="n">
        <f aca="false">(V1331*((W1331+T1331)/1000)*X1331)/((((W1331+T1331)/1000)*X1331)-((W1331/1000)*0.9982))</f>
        <v>79.6031157916761</v>
      </c>
      <c r="Z1331" s="3" t="n">
        <f aca="false">(X1331*(V1331/100)*((W1331+T1331)/1000))*1000</f>
        <v>1.4980473046875</v>
      </c>
    </row>
    <row r="1332" customFormat="false" ht="15" hidden="false" customHeight="false" outlineLevel="0" collapsed="false">
      <c r="A1332" s="0" t="s">
        <v>100</v>
      </c>
      <c r="B1332" s="0" t="s">
        <v>101</v>
      </c>
      <c r="C1332" s="0" t="s">
        <v>81</v>
      </c>
      <c r="D1332" s="0" t="s">
        <v>155</v>
      </c>
      <c r="E1332" s="0" t="n">
        <v>28</v>
      </c>
      <c r="F1332" s="0" t="n">
        <v>0</v>
      </c>
      <c r="G1332" s="1"/>
      <c r="H1332" s="1"/>
      <c r="I1332" s="0" t="n">
        <v>0</v>
      </c>
      <c r="J1332" s="0" t="n">
        <f aca="false">(I1332/32)*5</f>
        <v>0</v>
      </c>
      <c r="L1332" s="0" t="n">
        <v>0</v>
      </c>
      <c r="M1332" s="0" t="n">
        <v>0</v>
      </c>
      <c r="N1332" s="0" t="n">
        <f aca="false">L1332</f>
        <v>0</v>
      </c>
      <c r="O1332" s="3" t="n">
        <v>0</v>
      </c>
      <c r="P1332" s="3" t="n">
        <f aca="false">(O1332*(N1332/100)*(J1332/1000))*1000</f>
        <v>0</v>
      </c>
      <c r="Q1332" s="3"/>
      <c r="R1332" s="3" t="n">
        <v>3</v>
      </c>
      <c r="S1332" s="3" t="n">
        <v>7.5</v>
      </c>
      <c r="T1332" s="0" t="n">
        <f aca="false">(S1332/32)*5</f>
        <v>1.171875</v>
      </c>
      <c r="V1332" s="0" t="n">
        <v>19.5</v>
      </c>
      <c r="W1332" s="0" t="n">
        <v>4</v>
      </c>
      <c r="X1332" s="3" t="n">
        <f aca="false">LOOKUP(V1332,$AB$3:$AC$123)</f>
        <v>1.07875</v>
      </c>
      <c r="Y1332" s="2" t="n">
        <f aca="false">(V1332*((W1332+T1332)/1000)*X1332)/((((W1332+T1332)/1000)*X1332)-((W1332/1000)*0.9982))</f>
        <v>68.5806578148385</v>
      </c>
      <c r="Z1332" s="3" t="n">
        <f aca="false">(X1332*(V1332/100)*((W1332+T1332)/1000))*1000</f>
        <v>1.08793623046875</v>
      </c>
    </row>
    <row r="1333" customFormat="false" ht="15" hidden="false" customHeight="false" outlineLevel="0" collapsed="false">
      <c r="A1333" s="0" t="s">
        <v>102</v>
      </c>
      <c r="B1333" s="0" t="s">
        <v>103</v>
      </c>
      <c r="C1333" s="0" t="s">
        <v>81</v>
      </c>
      <c r="D1333" s="0" t="s">
        <v>155</v>
      </c>
      <c r="E1333" s="0" t="n">
        <v>28</v>
      </c>
      <c r="F1333" s="0" t="n">
        <v>0</v>
      </c>
      <c r="G1333" s="1"/>
      <c r="H1333" s="1"/>
      <c r="I1333" s="0" t="n">
        <v>0</v>
      </c>
      <c r="J1333" s="0" t="n">
        <f aca="false">(I1333/32)*5</f>
        <v>0</v>
      </c>
      <c r="L1333" s="0" t="n">
        <v>0</v>
      </c>
      <c r="M1333" s="0" t="n">
        <v>0</v>
      </c>
      <c r="N1333" s="0" t="n">
        <f aca="false">L1333</f>
        <v>0</v>
      </c>
      <c r="O1333" s="3" t="n">
        <v>0</v>
      </c>
      <c r="P1333" s="3" t="n">
        <f aca="false">(O1333*(N1333/100)*(J1333/1000))*1000</f>
        <v>0</v>
      </c>
      <c r="Q1333" s="3"/>
      <c r="R1333" s="3" t="n">
        <v>2</v>
      </c>
      <c r="S1333" s="3" t="n">
        <v>3.7</v>
      </c>
      <c r="T1333" s="0" t="n">
        <f aca="false">(S1333/32)*5</f>
        <v>0.578125</v>
      </c>
      <c r="V1333" s="0" t="n">
        <v>9.5</v>
      </c>
      <c r="W1333" s="0" t="n">
        <v>4</v>
      </c>
      <c r="X1333" s="3" t="n">
        <f aca="false">LOOKUP(V1333,$AB$3:$AC$123)</f>
        <v>1.0361</v>
      </c>
      <c r="Y1333" s="2" t="n">
        <f aca="false">(V1333*((W1333+T1333)/1000)*X1333)/((((W1333+T1333)/1000)*X1333)-((W1333/1000)*0.9982))</f>
        <v>60.0353542292473</v>
      </c>
      <c r="Z1333" s="3" t="n">
        <f aca="false">(X1333*(V1333/100)*((W1333+T1333)/1000))*1000</f>
        <v>0.4506225546875</v>
      </c>
    </row>
    <row r="1334" customFormat="false" ht="15" hidden="false" customHeight="false" outlineLevel="0" collapsed="false">
      <c r="A1334" s="0" t="s">
        <v>104</v>
      </c>
      <c r="B1334" s="0" t="s">
        <v>105</v>
      </c>
      <c r="C1334" s="0" t="s">
        <v>106</v>
      </c>
      <c r="D1334" s="0" t="s">
        <v>155</v>
      </c>
      <c r="E1334" s="0" t="n">
        <v>28</v>
      </c>
      <c r="F1334" s="0" t="n">
        <v>0</v>
      </c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3" t="n">
        <v>3</v>
      </c>
      <c r="S1334" s="1"/>
      <c r="T1334" s="1"/>
      <c r="U1334" s="1"/>
      <c r="V1334" s="1"/>
      <c r="W1334" s="1"/>
      <c r="X1334" s="1"/>
      <c r="Y1334" s="5"/>
      <c r="Z1334" s="1"/>
    </row>
    <row r="1335" customFormat="false" ht="15" hidden="false" customHeight="false" outlineLevel="0" collapsed="false">
      <c r="A1335" s="0" t="s">
        <v>107</v>
      </c>
      <c r="B1335" s="0" t="s">
        <v>37</v>
      </c>
      <c r="C1335" s="0" t="s">
        <v>106</v>
      </c>
      <c r="D1335" s="0" t="s">
        <v>155</v>
      </c>
      <c r="E1335" s="0" t="n">
        <v>28</v>
      </c>
      <c r="F1335" s="0" t="n">
        <v>0</v>
      </c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3" t="n">
        <v>3</v>
      </c>
      <c r="S1335" s="1"/>
      <c r="T1335" s="1"/>
      <c r="U1335" s="1"/>
      <c r="V1335" s="1"/>
      <c r="W1335" s="1"/>
      <c r="X1335" s="1"/>
      <c r="Y1335" s="5"/>
      <c r="Z1335" s="1"/>
    </row>
    <row r="1336" customFormat="false" ht="15" hidden="false" customHeight="false" outlineLevel="0" collapsed="false">
      <c r="A1336" s="0" t="s">
        <v>108</v>
      </c>
      <c r="B1336" s="0" t="s">
        <v>109</v>
      </c>
      <c r="C1336" s="0" t="s">
        <v>106</v>
      </c>
      <c r="D1336" s="0" t="s">
        <v>155</v>
      </c>
      <c r="E1336" s="0" t="n">
        <v>28</v>
      </c>
      <c r="F1336" s="0" t="n">
        <v>1</v>
      </c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3" t="n">
        <v>5</v>
      </c>
      <c r="S1336" s="1"/>
      <c r="T1336" s="1"/>
      <c r="U1336" s="1"/>
      <c r="V1336" s="1"/>
      <c r="W1336" s="1"/>
      <c r="X1336" s="1"/>
      <c r="Y1336" s="5"/>
      <c r="Z1336" s="1"/>
    </row>
    <row r="1337" customFormat="false" ht="15" hidden="false" customHeight="false" outlineLevel="0" collapsed="false">
      <c r="A1337" s="0" t="s">
        <v>110</v>
      </c>
      <c r="B1337" s="0" t="s">
        <v>111</v>
      </c>
      <c r="C1337" s="0" t="s">
        <v>106</v>
      </c>
      <c r="D1337" s="0" t="s">
        <v>155</v>
      </c>
      <c r="E1337" s="0" t="n">
        <v>28</v>
      </c>
      <c r="F1337" s="0" t="n">
        <v>1</v>
      </c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3" t="n">
        <v>6</v>
      </c>
      <c r="S1337" s="1"/>
      <c r="T1337" s="1"/>
      <c r="U1337" s="1"/>
      <c r="V1337" s="1"/>
      <c r="W1337" s="1"/>
      <c r="X1337" s="1"/>
      <c r="Y1337" s="5"/>
      <c r="Z1337" s="1"/>
    </row>
    <row r="1338" customFormat="false" ht="15" hidden="false" customHeight="false" outlineLevel="0" collapsed="false">
      <c r="A1338" s="0" t="s">
        <v>112</v>
      </c>
      <c r="B1338" s="0" t="s">
        <v>113</v>
      </c>
      <c r="C1338" s="0" t="s">
        <v>106</v>
      </c>
      <c r="D1338" s="0" t="s">
        <v>155</v>
      </c>
      <c r="E1338" s="0" t="n">
        <v>28</v>
      </c>
      <c r="F1338" s="0" t="n">
        <v>1</v>
      </c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3" t="n">
        <v>11</v>
      </c>
      <c r="S1338" s="1"/>
      <c r="T1338" s="1"/>
      <c r="U1338" s="1"/>
      <c r="V1338" s="1"/>
      <c r="W1338" s="1"/>
      <c r="X1338" s="1"/>
      <c r="Y1338" s="5"/>
      <c r="Z1338" s="1"/>
    </row>
    <row r="1339" customFormat="false" ht="15" hidden="false" customHeight="false" outlineLevel="0" collapsed="false">
      <c r="A1339" s="0" t="s">
        <v>114</v>
      </c>
      <c r="B1339" s="0" t="s">
        <v>115</v>
      </c>
      <c r="C1339" s="0" t="s">
        <v>106</v>
      </c>
      <c r="D1339" s="0" t="s">
        <v>155</v>
      </c>
      <c r="E1339" s="0" t="n">
        <v>28</v>
      </c>
      <c r="F1339" s="0" t="n">
        <v>0</v>
      </c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3" t="n">
        <v>7</v>
      </c>
      <c r="S1339" s="1"/>
      <c r="T1339" s="1"/>
      <c r="U1339" s="1"/>
      <c r="V1339" s="1"/>
      <c r="W1339" s="1"/>
      <c r="X1339" s="1"/>
      <c r="Y1339" s="5"/>
      <c r="Z1339" s="1"/>
    </row>
    <row r="1340" customFormat="false" ht="15" hidden="false" customHeight="false" outlineLevel="0" collapsed="false">
      <c r="A1340" s="0" t="s">
        <v>116</v>
      </c>
      <c r="B1340" s="0" t="s">
        <v>117</v>
      </c>
      <c r="C1340" s="0" t="s">
        <v>106</v>
      </c>
      <c r="D1340" s="0" t="s">
        <v>155</v>
      </c>
      <c r="E1340" s="0" t="n">
        <v>28</v>
      </c>
      <c r="F1340" s="0" t="n">
        <v>0</v>
      </c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3" t="n">
        <v>3</v>
      </c>
      <c r="S1340" s="1"/>
      <c r="T1340" s="1"/>
      <c r="U1340" s="1"/>
      <c r="V1340" s="1"/>
      <c r="W1340" s="1"/>
      <c r="X1340" s="1"/>
      <c r="Y1340" s="5"/>
      <c r="Z1340" s="1"/>
    </row>
    <row r="1341" customFormat="false" ht="15" hidden="false" customHeight="false" outlineLevel="0" collapsed="false">
      <c r="A1341" s="0" t="s">
        <v>118</v>
      </c>
      <c r="B1341" s="0" t="s">
        <v>119</v>
      </c>
      <c r="C1341" s="0" t="s">
        <v>106</v>
      </c>
      <c r="D1341" s="0" t="s">
        <v>155</v>
      </c>
      <c r="E1341" s="0" t="n">
        <v>28</v>
      </c>
      <c r="F1341" s="0" t="n">
        <v>1</v>
      </c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3" t="n">
        <v>9</v>
      </c>
      <c r="S1341" s="1"/>
      <c r="T1341" s="1"/>
      <c r="U1341" s="1"/>
      <c r="V1341" s="1"/>
      <c r="W1341" s="1"/>
      <c r="X1341" s="1"/>
      <c r="Y1341" s="5"/>
      <c r="Z1341" s="1"/>
    </row>
    <row r="1342" customFormat="false" ht="15" hidden="false" customHeight="false" outlineLevel="0" collapsed="false">
      <c r="A1342" s="0" t="s">
        <v>120</v>
      </c>
      <c r="B1342" s="0" t="s">
        <v>121</v>
      </c>
      <c r="C1342" s="0" t="s">
        <v>106</v>
      </c>
      <c r="D1342" s="0" t="s">
        <v>155</v>
      </c>
      <c r="E1342" s="0" t="n">
        <v>28</v>
      </c>
      <c r="F1342" s="0" t="n">
        <v>2</v>
      </c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3" t="n">
        <v>14</v>
      </c>
      <c r="S1342" s="1"/>
      <c r="T1342" s="1"/>
      <c r="U1342" s="1"/>
      <c r="V1342" s="1"/>
      <c r="W1342" s="1"/>
      <c r="X1342" s="1"/>
      <c r="Y1342" s="5"/>
      <c r="Z1342" s="1"/>
    </row>
    <row r="1343" customFormat="false" ht="15" hidden="false" customHeight="false" outlineLevel="0" collapsed="false">
      <c r="A1343" s="0" t="s">
        <v>122</v>
      </c>
      <c r="B1343" s="0" t="s">
        <v>123</v>
      </c>
      <c r="C1343" s="0" t="s">
        <v>106</v>
      </c>
      <c r="D1343" s="0" t="s">
        <v>155</v>
      </c>
      <c r="E1343" s="0" t="n">
        <v>28</v>
      </c>
      <c r="F1343" s="0" t="n">
        <v>0</v>
      </c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3" t="n">
        <v>4</v>
      </c>
      <c r="S1343" s="1"/>
      <c r="T1343" s="1"/>
      <c r="U1343" s="1"/>
      <c r="V1343" s="1"/>
      <c r="W1343" s="1"/>
      <c r="X1343" s="1"/>
      <c r="Y1343" s="5"/>
      <c r="Z1343" s="1"/>
    </row>
    <row r="1344" customFormat="false" ht="15" hidden="false" customHeight="false" outlineLevel="0" collapsed="false">
      <c r="A1344" s="0" t="s">
        <v>124</v>
      </c>
      <c r="B1344" s="0" t="s">
        <v>125</v>
      </c>
      <c r="C1344" s="0" t="s">
        <v>106</v>
      </c>
      <c r="D1344" s="0" t="s">
        <v>155</v>
      </c>
      <c r="E1344" s="0" t="n">
        <v>28</v>
      </c>
      <c r="F1344" s="0" t="n">
        <v>3</v>
      </c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3" t="n">
        <v>5</v>
      </c>
      <c r="S1344" s="1"/>
      <c r="T1344" s="1"/>
      <c r="U1344" s="1"/>
      <c r="V1344" s="1"/>
      <c r="W1344" s="1"/>
      <c r="X1344" s="1"/>
      <c r="Y1344" s="5"/>
      <c r="Z1344" s="1"/>
    </row>
    <row r="1345" customFormat="false" ht="15" hidden="false" customHeight="false" outlineLevel="0" collapsed="false">
      <c r="A1345" s="0" t="s">
        <v>126</v>
      </c>
      <c r="B1345" s="0" t="s">
        <v>127</v>
      </c>
      <c r="C1345" s="0" t="s">
        <v>106</v>
      </c>
      <c r="D1345" s="0" t="s">
        <v>155</v>
      </c>
      <c r="E1345" s="0" t="n">
        <v>28</v>
      </c>
      <c r="F1345" s="0" t="n">
        <v>0</v>
      </c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3" t="n">
        <v>12</v>
      </c>
      <c r="S1345" s="1"/>
      <c r="T1345" s="1"/>
      <c r="U1345" s="1"/>
      <c r="V1345" s="1"/>
      <c r="W1345" s="1"/>
      <c r="X1345" s="1"/>
      <c r="Y1345" s="5"/>
      <c r="Z1345" s="1"/>
    </row>
    <row r="1346" customFormat="false" ht="15" hidden="false" customHeight="false" outlineLevel="0" collapsed="false">
      <c r="A1346" s="0" t="s">
        <v>26</v>
      </c>
      <c r="B1346" s="0" t="s">
        <v>27</v>
      </c>
      <c r="C1346" s="0" t="s">
        <v>28</v>
      </c>
      <c r="D1346" s="0" t="s">
        <v>156</v>
      </c>
      <c r="E1346" s="0" t="n">
        <v>29</v>
      </c>
      <c r="F1346" s="0" t="n">
        <v>2</v>
      </c>
      <c r="G1346" s="0" t="n">
        <v>9</v>
      </c>
      <c r="H1346" s="0" t="n">
        <v>51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3" t="n">
        <v>5</v>
      </c>
      <c r="S1346" s="0" t="n">
        <v>12.8</v>
      </c>
      <c r="T1346" s="0" t="n">
        <f aca="false">(S1346/32)*5</f>
        <v>2</v>
      </c>
      <c r="V1346" s="0" t="n">
        <v>15.5</v>
      </c>
      <c r="W1346" s="0" t="n">
        <v>4</v>
      </c>
      <c r="X1346" s="3" t="n">
        <f aca="false">LOOKUP(V1346,$AB$3:$AC$123)</f>
        <v>1.06135</v>
      </c>
      <c r="Y1346" s="2" t="n">
        <f aca="false">(V1346*((W1346+T1346)/1000)*X1346)/((((W1346+T1346)/1000)*X1346)-((W1346/1000)*0.9982))</f>
        <v>41.5549825285227</v>
      </c>
      <c r="Z1346" s="3" t="n">
        <f aca="false">(X1346*(V1346/100)*((W1346+T1346)/1000))*1000</f>
        <v>0.9870555</v>
      </c>
    </row>
    <row r="1347" customFormat="false" ht="15" hidden="false" customHeight="false" outlineLevel="0" collapsed="false">
      <c r="A1347" s="0" t="s">
        <v>32</v>
      </c>
      <c r="B1347" s="0" t="s">
        <v>33</v>
      </c>
      <c r="C1347" s="0" t="s">
        <v>28</v>
      </c>
      <c r="D1347" s="0" t="s">
        <v>156</v>
      </c>
      <c r="E1347" s="0" t="n">
        <v>29</v>
      </c>
      <c r="F1347" s="0" t="n">
        <v>4</v>
      </c>
      <c r="G1347" s="0" t="n">
        <v>14</v>
      </c>
      <c r="H1347" s="0" t="n">
        <v>83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3" t="n">
        <v>5</v>
      </c>
      <c r="S1347" s="0" t="n">
        <v>20.7</v>
      </c>
      <c r="T1347" s="0" t="n">
        <f aca="false">(S1347/32)*5</f>
        <v>3.234375</v>
      </c>
      <c r="V1347" s="0" t="n">
        <v>26.5</v>
      </c>
      <c r="W1347" s="0" t="n">
        <v>4</v>
      </c>
      <c r="X1347" s="3" t="n">
        <f aca="false">LOOKUP(V1347,$AB$3:$AC$123)</f>
        <v>1.11045</v>
      </c>
      <c r="Y1347" s="2" t="n">
        <f aca="false">(V1347*((W1347+T1347)/1000)*X1347)/((((W1347+T1347)/1000)*X1347)-((W1347/1000)*0.9982))</f>
        <v>52.6864310072172</v>
      </c>
      <c r="Z1347" s="3" t="n">
        <f aca="false">(X1347*(V1347/100)*((W1347+T1347)/1000))*1000</f>
        <v>2.12885410546875</v>
      </c>
    </row>
    <row r="1348" customFormat="false" ht="15" hidden="false" customHeight="false" outlineLevel="0" collapsed="false">
      <c r="A1348" s="0" t="s">
        <v>34</v>
      </c>
      <c r="B1348" s="0" t="s">
        <v>35</v>
      </c>
      <c r="C1348" s="0" t="s">
        <v>28</v>
      </c>
      <c r="D1348" s="0" t="s">
        <v>156</v>
      </c>
      <c r="E1348" s="0" t="n">
        <v>29</v>
      </c>
      <c r="F1348" s="0" t="n">
        <v>1</v>
      </c>
      <c r="G1348" s="0" t="n">
        <v>9</v>
      </c>
      <c r="H1348" s="0" t="n">
        <v>73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3" t="n">
        <v>6</v>
      </c>
      <c r="S1348" s="0" t="n">
        <v>12</v>
      </c>
      <c r="T1348" s="0" t="n">
        <f aca="false">(S1348/32)*5</f>
        <v>1.875</v>
      </c>
      <c r="V1348" s="0" t="n">
        <v>20.5</v>
      </c>
      <c r="W1348" s="0" t="n">
        <v>4</v>
      </c>
      <c r="X1348" s="3" t="n">
        <f aca="false">LOOKUP(V1348,$AB$3:$AC$123)</f>
        <v>1.083225</v>
      </c>
      <c r="Y1348" s="2" t="n">
        <f aca="false">(V1348*((W1348+T1348)/1000)*X1348)/((((W1348+T1348)/1000)*X1348)-((W1348/1000)*0.9982))</f>
        <v>55.020172859389</v>
      </c>
      <c r="Z1348" s="3" t="n">
        <f aca="false">(X1348*(V1348/100)*((W1348+T1348)/1000))*1000</f>
        <v>1.304609109375</v>
      </c>
    </row>
    <row r="1349" customFormat="false" ht="15" hidden="false" customHeight="false" outlineLevel="0" collapsed="false">
      <c r="A1349" s="0" t="s">
        <v>36</v>
      </c>
      <c r="B1349" s="0" t="s">
        <v>37</v>
      </c>
      <c r="C1349" s="0" t="s">
        <v>28</v>
      </c>
      <c r="D1349" s="0" t="s">
        <v>156</v>
      </c>
      <c r="E1349" s="0" t="n">
        <v>29</v>
      </c>
      <c r="F1349" s="0" t="n">
        <v>1</v>
      </c>
      <c r="G1349" s="0" t="n">
        <v>6</v>
      </c>
      <c r="H1349" s="0" t="n">
        <v>53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3" t="n">
        <v>2</v>
      </c>
      <c r="S1349" s="0" t="n">
        <v>4.1</v>
      </c>
      <c r="T1349" s="0" t="n">
        <f aca="false">(S1349/32)*5</f>
        <v>0.640625</v>
      </c>
      <c r="V1349" s="0" t="n">
        <v>9.5</v>
      </c>
      <c r="W1349" s="0" t="n">
        <v>4</v>
      </c>
      <c r="X1349" s="3" t="n">
        <f aca="false">LOOKUP(V1349,$AB$3:$AC$123)</f>
        <v>1.0361</v>
      </c>
      <c r="Y1349" s="2" t="n">
        <f aca="false">(V1349*((W1349+T1349)/1000)*X1349)/((((W1349+T1349)/1000)*X1349)-((W1349/1000)*0.9982))</f>
        <v>56.0217726249222</v>
      </c>
      <c r="Z1349" s="3" t="n">
        <f aca="false">(X1349*(V1349/100)*((W1349+T1349)/1000))*1000</f>
        <v>0.4567743984375</v>
      </c>
    </row>
    <row r="1350" customFormat="false" ht="15" hidden="false" customHeight="false" outlineLevel="0" collapsed="false">
      <c r="A1350" s="0" t="s">
        <v>38</v>
      </c>
      <c r="B1350" s="0" t="s">
        <v>39</v>
      </c>
      <c r="C1350" s="0" t="s">
        <v>28</v>
      </c>
      <c r="D1350" s="0" t="s">
        <v>156</v>
      </c>
      <c r="E1350" s="0" t="n">
        <v>29</v>
      </c>
      <c r="F1350" s="0" t="n">
        <v>2</v>
      </c>
      <c r="G1350" s="0" t="n">
        <v>21</v>
      </c>
      <c r="H1350" s="0" t="n">
        <v>96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3" t="n">
        <v>9</v>
      </c>
      <c r="S1350" s="0" t="n">
        <v>22.9</v>
      </c>
      <c r="T1350" s="0" t="n">
        <f aca="false">(S1350/32)*5</f>
        <v>3.578125</v>
      </c>
      <c r="V1350" s="0" t="n">
        <v>27</v>
      </c>
      <c r="W1350" s="0" t="n">
        <v>4</v>
      </c>
      <c r="X1350" s="3" t="n">
        <f aca="false">LOOKUP(V1350,$AB$3:$AC$123)</f>
        <v>1.1128</v>
      </c>
      <c r="Y1350" s="2" t="n">
        <f aca="false">(V1350*((W1350+T1350)/1000)*X1350)/((((W1350+T1350)/1000)*X1350)-((W1350/1000)*0.9982))</f>
        <v>51.2797886326719</v>
      </c>
      <c r="Z1350" s="3" t="n">
        <f aca="false">(X1350*(V1350/100)*((W1350+T1350)/1000))*1000</f>
        <v>2.276893125</v>
      </c>
    </row>
    <row r="1351" customFormat="false" ht="15" hidden="false" customHeight="false" outlineLevel="0" collapsed="false">
      <c r="A1351" s="0" t="s">
        <v>40</v>
      </c>
      <c r="B1351" s="0" t="s">
        <v>41</v>
      </c>
      <c r="C1351" s="0" t="s">
        <v>28</v>
      </c>
      <c r="D1351" s="0" t="s">
        <v>156</v>
      </c>
      <c r="E1351" s="0" t="n">
        <v>29</v>
      </c>
      <c r="F1351" s="0" t="n">
        <v>0</v>
      </c>
      <c r="G1351" s="0" t="n">
        <v>9</v>
      </c>
      <c r="H1351" s="0" t="n">
        <v>63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3" t="n">
        <v>3</v>
      </c>
      <c r="S1351" s="0" t="n">
        <v>9</v>
      </c>
      <c r="T1351" s="0" t="n">
        <f aca="false">(S1351/32)*5</f>
        <v>1.40625</v>
      </c>
      <c r="V1351" s="0" t="n">
        <v>23</v>
      </c>
      <c r="W1351" s="0" t="n">
        <v>4</v>
      </c>
      <c r="X1351" s="3" t="n">
        <f aca="false">LOOKUP(V1351,$AB$3:$AC$123)</f>
        <v>1.09445</v>
      </c>
      <c r="Y1351" s="2" t="n">
        <f aca="false">(V1351*((W1351+T1351)/1000)*X1351)/((((W1351+T1351)/1000)*X1351)-((W1351/1000)*0.9982))</f>
        <v>70.7292328681466</v>
      </c>
      <c r="Z1351" s="3" t="n">
        <f aca="false">(X1351*(V1351/100)*((W1351+T1351)/1000))*1000</f>
        <v>1.360880171875</v>
      </c>
    </row>
    <row r="1352" customFormat="false" ht="15" hidden="false" customHeight="false" outlineLevel="0" collapsed="false">
      <c r="A1352" s="0" t="s">
        <v>42</v>
      </c>
      <c r="B1352" s="0" t="s">
        <v>43</v>
      </c>
      <c r="C1352" s="0" t="s">
        <v>28</v>
      </c>
      <c r="D1352" s="0" t="s">
        <v>156</v>
      </c>
      <c r="E1352" s="0" t="n">
        <v>29</v>
      </c>
      <c r="F1352" s="0" t="n">
        <v>0</v>
      </c>
      <c r="G1352" s="0" t="n">
        <v>10</v>
      </c>
      <c r="H1352" s="0" t="n">
        <v>85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3" t="n">
        <v>3</v>
      </c>
      <c r="S1352" s="0" t="n">
        <v>1.3</v>
      </c>
      <c r="T1352" s="0" t="n">
        <f aca="false">(S1352/32)*5</f>
        <v>0.203125</v>
      </c>
      <c r="V1352" s="0" t="n">
        <v>1.5</v>
      </c>
      <c r="W1352" s="0" t="n">
        <v>4</v>
      </c>
      <c r="X1352" s="3" t="n">
        <f aca="false">LOOKUP(V1352,$AB$3:$AC$123)</f>
        <v>1.00405</v>
      </c>
      <c r="Y1352" s="2" t="n">
        <f aca="false">(V1352*((W1352+T1352)/1000)*X1352)/((((W1352+T1352)/1000)*X1352)-((W1352/1000)*0.9982))</f>
        <v>27.8437947801584</v>
      </c>
      <c r="Z1352" s="3" t="n">
        <f aca="false">(X1352*(V1352/100)*((W1352+T1352)/1000))*1000</f>
        <v>0.06330221484375</v>
      </c>
    </row>
    <row r="1353" customFormat="false" ht="15" hidden="false" customHeight="false" outlineLevel="0" collapsed="false">
      <c r="A1353" s="0" t="s">
        <v>44</v>
      </c>
      <c r="B1353" s="0" t="s">
        <v>45</v>
      </c>
      <c r="C1353" s="0" t="s">
        <v>28</v>
      </c>
      <c r="D1353" s="0" t="s">
        <v>156</v>
      </c>
      <c r="E1353" s="0" t="n">
        <v>29</v>
      </c>
      <c r="F1353" s="0" t="n">
        <v>0</v>
      </c>
      <c r="G1353" s="0" t="n">
        <v>14</v>
      </c>
      <c r="H1353" s="0" t="n">
        <v>49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3" t="n">
        <v>2</v>
      </c>
      <c r="S1353" s="0" t="n">
        <v>1</v>
      </c>
      <c r="T1353" s="0" t="n">
        <f aca="false">(S1353/32)*5</f>
        <v>0.15625</v>
      </c>
      <c r="V1353" s="0" t="n">
        <v>3.5</v>
      </c>
      <c r="W1353" s="0" t="n">
        <v>4</v>
      </c>
      <c r="X1353" s="3" t="n">
        <f aca="false">LOOKUP(V1353,$AB$3:$AC$123)</f>
        <v>1.0119</v>
      </c>
      <c r="Y1353" s="2" t="n">
        <f aca="false">(V1353*((W1353+T1353)/1000)*X1353)/((((W1353+T1353)/1000)*X1353)-((W1353/1000)*0.9982))</f>
        <v>69.1373163464503</v>
      </c>
      <c r="Z1353" s="3" t="n">
        <f aca="false">(X1353*(V1353/100)*((W1353+T1353)/1000))*1000</f>
        <v>0.147199828125</v>
      </c>
    </row>
    <row r="1354" customFormat="false" ht="15" hidden="false" customHeight="false" outlineLevel="0" collapsed="false">
      <c r="A1354" s="0" t="s">
        <v>46</v>
      </c>
      <c r="B1354" s="0" t="s">
        <v>47</v>
      </c>
      <c r="C1354" s="0" t="s">
        <v>28</v>
      </c>
      <c r="D1354" s="0" t="s">
        <v>156</v>
      </c>
      <c r="E1354" s="0" t="n">
        <v>29</v>
      </c>
      <c r="F1354" s="0" t="n">
        <v>1</v>
      </c>
      <c r="G1354" s="0" t="n">
        <v>10</v>
      </c>
      <c r="H1354" s="0" t="n">
        <v>70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3" t="n">
        <v>7</v>
      </c>
      <c r="S1354" s="0" t="n">
        <v>9</v>
      </c>
      <c r="T1354" s="0" t="n">
        <f aca="false">(S1354/32)*5</f>
        <v>1.40625</v>
      </c>
      <c r="V1354" s="0" t="n">
        <v>10</v>
      </c>
      <c r="W1354" s="0" t="n">
        <v>4</v>
      </c>
      <c r="X1354" s="3" t="n">
        <f aca="false">LOOKUP(V1354,$AB$3:$AC$123)</f>
        <v>1.0381</v>
      </c>
      <c r="Y1354" s="2" t="n">
        <f aca="false">(V1354*((W1354+T1354)/1000)*X1354)/((((W1354+T1354)/1000)*X1354)-((W1354/1000)*0.9982))</f>
        <v>34.6556172414259</v>
      </c>
      <c r="Z1354" s="3" t="n">
        <f aca="false">(X1354*(V1354/100)*((W1354+T1354)/1000))*1000</f>
        <v>0.5612228125</v>
      </c>
    </row>
    <row r="1355" customFormat="false" ht="15" hidden="false" customHeight="false" outlineLevel="0" collapsed="false">
      <c r="A1355" s="0" t="s">
        <v>48</v>
      </c>
      <c r="B1355" s="0" t="s">
        <v>49</v>
      </c>
      <c r="C1355" s="0" t="s">
        <v>28</v>
      </c>
      <c r="D1355" s="0" t="s">
        <v>156</v>
      </c>
      <c r="E1355" s="0" t="n">
        <v>29</v>
      </c>
      <c r="F1355" s="0" t="n">
        <v>1</v>
      </c>
      <c r="G1355" s="0" t="n">
        <v>9</v>
      </c>
      <c r="H1355" s="0" t="n">
        <v>38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3" t="n">
        <v>3</v>
      </c>
      <c r="S1355" s="0" t="n">
        <v>17</v>
      </c>
      <c r="T1355" s="0" t="n">
        <f aca="false">(S1355/32)*5</f>
        <v>2.65625</v>
      </c>
      <c r="V1355" s="0" t="n">
        <v>23</v>
      </c>
      <c r="W1355" s="0" t="n">
        <v>4</v>
      </c>
      <c r="X1355" s="3" t="n">
        <f aca="false">LOOKUP(V1355,$AB$3:$AC$123)</f>
        <v>1.09445</v>
      </c>
      <c r="Y1355" s="2" t="n">
        <f aca="false">(V1355*((W1355+T1355)/1000)*X1355)/((((W1355+T1355)/1000)*X1355)-((W1355/1000)*0.9982))</f>
        <v>50.8951078921577</v>
      </c>
      <c r="Z1355" s="3" t="n">
        <f aca="false">(X1355*(V1355/100)*((W1355+T1355)/1000))*1000</f>
        <v>1.675534546875</v>
      </c>
    </row>
    <row r="1356" customFormat="false" ht="15" hidden="false" customHeight="false" outlineLevel="0" collapsed="false">
      <c r="A1356" s="0" t="s">
        <v>50</v>
      </c>
      <c r="B1356" s="0" t="s">
        <v>51</v>
      </c>
      <c r="C1356" s="0" t="s">
        <v>28</v>
      </c>
      <c r="D1356" s="0" t="s">
        <v>156</v>
      </c>
      <c r="E1356" s="0" t="n">
        <v>29</v>
      </c>
      <c r="F1356" s="0" t="n">
        <v>0</v>
      </c>
      <c r="G1356" s="0" t="n">
        <v>10</v>
      </c>
      <c r="H1356" s="0" t="n">
        <v>56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3" t="n">
        <v>6</v>
      </c>
      <c r="S1356" s="0" t="n">
        <v>1.2</v>
      </c>
      <c r="T1356" s="0" t="n">
        <f aca="false">(S1356/32)*5</f>
        <v>0.1875</v>
      </c>
      <c r="V1356" s="0" t="n">
        <v>1.5</v>
      </c>
      <c r="W1356" s="0" t="n">
        <v>4</v>
      </c>
      <c r="X1356" s="3" t="n">
        <f aca="false">LOOKUP(V1356,$AB$3:$AC$123)</f>
        <v>1.00405</v>
      </c>
      <c r="Y1356" s="2" t="n">
        <f aca="false">(V1356*((W1356+T1356)/1000)*X1356)/((((W1356+T1356)/1000)*X1356)-((W1356/1000)*0.9982))</f>
        <v>29.7964078486957</v>
      </c>
      <c r="Z1356" s="3" t="n">
        <f aca="false">(X1356*(V1356/100)*((W1356+T1356)/1000))*1000</f>
        <v>0.063066890625</v>
      </c>
    </row>
    <row r="1357" customFormat="false" ht="15" hidden="false" customHeight="false" outlineLevel="0" collapsed="false">
      <c r="A1357" s="0" t="s">
        <v>52</v>
      </c>
      <c r="B1357" s="0" t="s">
        <v>53</v>
      </c>
      <c r="C1357" s="0" t="s">
        <v>28</v>
      </c>
      <c r="D1357" s="0" t="s">
        <v>156</v>
      </c>
      <c r="E1357" s="0" t="n">
        <v>29</v>
      </c>
      <c r="F1357" s="0" t="n">
        <v>0</v>
      </c>
      <c r="G1357" s="0" t="n">
        <v>4</v>
      </c>
      <c r="H1357" s="0" t="n">
        <v>43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3" t="n">
        <v>5</v>
      </c>
      <c r="S1357" s="0" t="n">
        <v>5.3</v>
      </c>
      <c r="T1357" s="0" t="n">
        <f aca="false">(S1357/32)*5</f>
        <v>0.828125</v>
      </c>
      <c r="V1357" s="0" t="n">
        <v>14.5</v>
      </c>
      <c r="W1357" s="0" t="n">
        <v>4</v>
      </c>
      <c r="X1357" s="3" t="n">
        <f aca="false">LOOKUP(V1357,$AB$3:$AC$123)</f>
        <v>1.05705</v>
      </c>
      <c r="Y1357" s="2" t="n">
        <f aca="false">(V1357*((W1357+T1357)/1000)*X1357)/((((W1357+T1357)/1000)*X1357)-((W1357/1000)*0.9982))</f>
        <v>66.6220634624785</v>
      </c>
      <c r="Z1357" s="3" t="n">
        <f aca="false">(X1357*(V1357/100)*((W1357+T1357)/1000))*1000</f>
        <v>0.74001758203125</v>
      </c>
    </row>
    <row r="1358" customFormat="false" ht="15" hidden="false" customHeight="false" outlineLevel="0" collapsed="false">
      <c r="A1358" s="0" t="s">
        <v>54</v>
      </c>
      <c r="B1358" s="0" t="s">
        <v>55</v>
      </c>
      <c r="C1358" s="0" t="s">
        <v>56</v>
      </c>
      <c r="D1358" s="0" t="s">
        <v>156</v>
      </c>
      <c r="E1358" s="0" t="n">
        <v>29</v>
      </c>
      <c r="F1358" s="0" t="n">
        <v>0</v>
      </c>
      <c r="G1358" s="0" t="n">
        <v>5</v>
      </c>
      <c r="H1358" s="0" t="n">
        <v>24</v>
      </c>
      <c r="I1358" s="0" t="n">
        <v>0</v>
      </c>
      <c r="J1358" s="0" t="n">
        <f aca="false">(I1358/32)*5</f>
        <v>0</v>
      </c>
      <c r="L1358" s="0" t="n">
        <v>0</v>
      </c>
      <c r="M1358" s="0" t="n">
        <v>0</v>
      </c>
      <c r="N1358" s="2" t="n">
        <v>0</v>
      </c>
      <c r="O1358" s="3" t="n">
        <v>0</v>
      </c>
      <c r="P1358" s="3" t="n">
        <f aca="false">(O1358*(N1358/100)*(J1358/1000))*1000</f>
        <v>0</v>
      </c>
      <c r="Q1358" s="3"/>
      <c r="R1358" s="3" t="n">
        <v>4</v>
      </c>
      <c r="S1358" s="1"/>
      <c r="T1358" s="1"/>
      <c r="U1358" s="1"/>
      <c r="V1358" s="1"/>
      <c r="W1358" s="1"/>
      <c r="X1358" s="1"/>
      <c r="Y1358" s="5"/>
      <c r="Z1358" s="1"/>
    </row>
    <row r="1359" customFormat="false" ht="15" hidden="false" customHeight="false" outlineLevel="0" collapsed="false">
      <c r="A1359" s="0" t="s">
        <v>57</v>
      </c>
      <c r="B1359" s="0" t="s">
        <v>58</v>
      </c>
      <c r="C1359" s="0" t="s">
        <v>56</v>
      </c>
      <c r="D1359" s="0" t="s">
        <v>156</v>
      </c>
      <c r="E1359" s="0" t="n">
        <v>29</v>
      </c>
      <c r="F1359" s="0" t="n">
        <v>0</v>
      </c>
      <c r="G1359" s="0" t="n">
        <v>10</v>
      </c>
      <c r="H1359" s="0" t="n">
        <v>69</v>
      </c>
      <c r="I1359" s="0" t="n">
        <v>0</v>
      </c>
      <c r="J1359" s="0" t="n">
        <f aca="false">(I1359/32)*5</f>
        <v>0</v>
      </c>
      <c r="L1359" s="0" t="n">
        <v>0</v>
      </c>
      <c r="M1359" s="0" t="n">
        <v>0</v>
      </c>
      <c r="N1359" s="2" t="n">
        <v>0</v>
      </c>
      <c r="O1359" s="3" t="n">
        <v>0</v>
      </c>
      <c r="P1359" s="3" t="n">
        <f aca="false">(O1359*(N1359/100)*(J1359/1000))*1000</f>
        <v>0</v>
      </c>
      <c r="Q1359" s="3"/>
      <c r="R1359" s="3" t="n">
        <v>6</v>
      </c>
      <c r="S1359" s="1"/>
      <c r="T1359" s="1"/>
      <c r="U1359" s="1"/>
      <c r="V1359" s="1"/>
      <c r="W1359" s="1"/>
      <c r="X1359" s="1"/>
      <c r="Y1359" s="5"/>
      <c r="Z1359" s="1"/>
    </row>
    <row r="1360" customFormat="false" ht="15" hidden="false" customHeight="false" outlineLevel="0" collapsed="false">
      <c r="A1360" s="0" t="s">
        <v>59</v>
      </c>
      <c r="B1360" s="0" t="s">
        <v>60</v>
      </c>
      <c r="C1360" s="0" t="s">
        <v>56</v>
      </c>
      <c r="D1360" s="0" t="s">
        <v>156</v>
      </c>
      <c r="E1360" s="0" t="n">
        <v>29</v>
      </c>
      <c r="F1360" s="0" t="n">
        <v>1</v>
      </c>
      <c r="G1360" s="0" t="n">
        <v>16</v>
      </c>
      <c r="H1360" s="0" t="n">
        <v>82</v>
      </c>
      <c r="I1360" s="0" t="n">
        <v>15.8</v>
      </c>
      <c r="J1360" s="0" t="n">
        <f aca="false">(I1360/32)*5</f>
        <v>2.46875</v>
      </c>
      <c r="L1360" s="0" t="n">
        <v>21</v>
      </c>
      <c r="M1360" s="0" t="n">
        <v>0</v>
      </c>
      <c r="N1360" s="2" t="n">
        <f aca="false">(L1360*((M1360+J1360)/1000)*O1360)/((((M1360+J1360)/1000)*O1360)-((M1360/1000)*0.9982))</f>
        <v>21</v>
      </c>
      <c r="O1360" s="3" t="n">
        <f aca="false">LOOKUP(L1360,$AB$3:$AC$123)</f>
        <v>1.08545</v>
      </c>
      <c r="P1360" s="3" t="n">
        <f aca="false">(O1360*(N1360/100)*(J1360/1000))*1000</f>
        <v>0.562737984375</v>
      </c>
      <c r="Q1360" s="3"/>
      <c r="R1360" s="3" t="n">
        <v>5</v>
      </c>
      <c r="S1360" s="1"/>
      <c r="T1360" s="1"/>
      <c r="U1360" s="1"/>
      <c r="V1360" s="1"/>
      <c r="W1360" s="1"/>
      <c r="X1360" s="1"/>
      <c r="Y1360" s="5"/>
      <c r="Z1360" s="1"/>
    </row>
    <row r="1361" customFormat="false" ht="15" hidden="false" customHeight="false" outlineLevel="0" collapsed="false">
      <c r="A1361" s="0" t="s">
        <v>61</v>
      </c>
      <c r="B1361" s="0" t="s">
        <v>62</v>
      </c>
      <c r="C1361" s="0" t="s">
        <v>56</v>
      </c>
      <c r="D1361" s="0" t="s">
        <v>156</v>
      </c>
      <c r="E1361" s="0" t="n">
        <v>29</v>
      </c>
      <c r="F1361" s="0" t="n">
        <v>3</v>
      </c>
      <c r="G1361" s="0" t="n">
        <v>22</v>
      </c>
      <c r="H1361" s="0" t="n">
        <v>103</v>
      </c>
      <c r="I1361" s="0" t="n">
        <f aca="false">32*3</f>
        <v>96</v>
      </c>
      <c r="J1361" s="0" t="n">
        <f aca="false">(I1361/32)*5</f>
        <v>15</v>
      </c>
      <c r="L1361" s="0" t="n">
        <v>22</v>
      </c>
      <c r="M1361" s="0" t="n">
        <v>0</v>
      </c>
      <c r="N1361" s="2" t="n">
        <f aca="false">(L1361*((M1361+J1361)/1000)*O1361)/((((M1361+J1361)/1000)*O1361)-((M1361/1000)*0.9982))</f>
        <v>22</v>
      </c>
      <c r="O1361" s="3" t="n">
        <f aca="false">LOOKUP(L1361,$AB$3:$AC$123)</f>
        <v>1.0899</v>
      </c>
      <c r="P1361" s="3" t="n">
        <f aca="false">(O1361*(N1361/100)*(J1361/1000))*1000</f>
        <v>3.59667</v>
      </c>
      <c r="Q1361" s="3"/>
      <c r="R1361" s="3" t="n">
        <v>5</v>
      </c>
      <c r="S1361" s="1"/>
      <c r="T1361" s="1"/>
      <c r="U1361" s="1"/>
      <c r="V1361" s="1"/>
      <c r="W1361" s="1"/>
      <c r="X1361" s="1"/>
      <c r="Y1361" s="5"/>
      <c r="Z1361" s="1"/>
    </row>
    <row r="1362" customFormat="false" ht="15" hidden="false" customHeight="false" outlineLevel="0" collapsed="false">
      <c r="A1362" s="0" t="s">
        <v>63</v>
      </c>
      <c r="B1362" s="0" t="s">
        <v>64</v>
      </c>
      <c r="C1362" s="0" t="s">
        <v>56</v>
      </c>
      <c r="D1362" s="0" t="s">
        <v>156</v>
      </c>
      <c r="E1362" s="0" t="n">
        <v>29</v>
      </c>
      <c r="F1362" s="0" t="n">
        <v>0</v>
      </c>
      <c r="G1362" s="0" t="n">
        <v>7</v>
      </c>
      <c r="H1362" s="0" t="n">
        <v>25</v>
      </c>
      <c r="I1362" s="0" t="n">
        <v>0</v>
      </c>
      <c r="J1362" s="0" t="n">
        <f aca="false">(I1362/32)*5</f>
        <v>0</v>
      </c>
      <c r="L1362" s="0" t="n">
        <v>0</v>
      </c>
      <c r="M1362" s="0" t="n">
        <v>0</v>
      </c>
      <c r="N1362" s="2" t="n">
        <v>0</v>
      </c>
      <c r="O1362" s="3" t="n">
        <f aca="false">LOOKUP(L1362,$AB$3:$AC$123)</f>
        <v>0.9982</v>
      </c>
      <c r="P1362" s="3" t="n">
        <f aca="false">(O1362*(N1362/100)*(J1362/1000))*1000</f>
        <v>0</v>
      </c>
      <c r="Q1362" s="3"/>
      <c r="R1362" s="3" t="n">
        <v>2</v>
      </c>
      <c r="S1362" s="1"/>
      <c r="T1362" s="1"/>
      <c r="U1362" s="1"/>
      <c r="V1362" s="1"/>
      <c r="W1362" s="1"/>
      <c r="X1362" s="1"/>
      <c r="Y1362" s="5"/>
      <c r="Z1362" s="1"/>
    </row>
    <row r="1363" customFormat="false" ht="15" hidden="false" customHeight="false" outlineLevel="0" collapsed="false">
      <c r="A1363" s="0" t="s">
        <v>65</v>
      </c>
      <c r="B1363" s="0" t="s">
        <v>66</v>
      </c>
      <c r="C1363" s="0" t="s">
        <v>56</v>
      </c>
      <c r="D1363" s="0" t="s">
        <v>156</v>
      </c>
      <c r="E1363" s="0" t="n">
        <v>29</v>
      </c>
      <c r="F1363" s="0" t="n">
        <v>2</v>
      </c>
      <c r="G1363" s="0" t="n">
        <v>20</v>
      </c>
      <c r="H1363" s="0" t="n">
        <v>139</v>
      </c>
      <c r="I1363" s="0" t="n">
        <f aca="false">10.1+15.4</f>
        <v>25.5</v>
      </c>
      <c r="J1363" s="0" t="n">
        <f aca="false">(I1363/32)*5</f>
        <v>3.984375</v>
      </c>
      <c r="L1363" s="0" t="n">
        <v>22</v>
      </c>
      <c r="M1363" s="0" t="n">
        <v>0</v>
      </c>
      <c r="N1363" s="2" t="n">
        <f aca="false">(L1363*((M1363+J1363)/1000)*O1363)/((((M1363+J1363)/1000)*O1363)-((M1363/1000)*0.9982))</f>
        <v>22</v>
      </c>
      <c r="O1363" s="3" t="n">
        <f aca="false">LOOKUP(L1363,$AB$3:$AC$123)</f>
        <v>1.0899</v>
      </c>
      <c r="P1363" s="3" t="n">
        <f aca="false">(O1363*(N1363/100)*(J1363/1000))*1000</f>
        <v>0.95536546875</v>
      </c>
      <c r="Q1363" s="3"/>
      <c r="R1363" s="3" t="n">
        <v>10</v>
      </c>
      <c r="S1363" s="1"/>
      <c r="T1363" s="1"/>
      <c r="U1363" s="1"/>
      <c r="V1363" s="1"/>
      <c r="W1363" s="1"/>
      <c r="X1363" s="1"/>
      <c r="Y1363" s="5"/>
      <c r="Z1363" s="1"/>
    </row>
    <row r="1364" customFormat="false" ht="15" hidden="false" customHeight="false" outlineLevel="0" collapsed="false">
      <c r="A1364" s="0" t="s">
        <v>67</v>
      </c>
      <c r="B1364" s="0" t="s">
        <v>68</v>
      </c>
      <c r="C1364" s="0" t="s">
        <v>56</v>
      </c>
      <c r="D1364" s="0" t="s">
        <v>156</v>
      </c>
      <c r="E1364" s="0" t="n">
        <v>29</v>
      </c>
      <c r="F1364" s="0" t="n">
        <v>3</v>
      </c>
      <c r="G1364" s="0" t="n">
        <v>16</v>
      </c>
      <c r="H1364" s="0" t="n">
        <v>87</v>
      </c>
      <c r="I1364" s="0" t="n">
        <f aca="false">32*2+26.6+22.8+16.3</f>
        <v>129.7</v>
      </c>
      <c r="J1364" s="0" t="n">
        <f aca="false">(I1364/32)*5</f>
        <v>20.265625</v>
      </c>
      <c r="L1364" s="0" t="n">
        <v>22</v>
      </c>
      <c r="M1364" s="0" t="n">
        <v>0</v>
      </c>
      <c r="N1364" s="2" t="n">
        <f aca="false">(L1364*((M1364+J1364)/1000)*O1364)/((((M1364+J1364)/1000)*O1364)-((M1364/1000)*0.9982))</f>
        <v>22</v>
      </c>
      <c r="O1364" s="3" t="n">
        <f aca="false">LOOKUP(L1364,$AB$3:$AC$123)</f>
        <v>1.0899</v>
      </c>
      <c r="P1364" s="3" t="n">
        <f aca="false">(O1364*(N1364/100)*(J1364/1000))*1000</f>
        <v>4.85925103125</v>
      </c>
      <c r="Q1364" s="3"/>
      <c r="R1364" s="3" t="n">
        <v>10</v>
      </c>
      <c r="S1364" s="1"/>
      <c r="T1364" s="1"/>
      <c r="U1364" s="1"/>
      <c r="V1364" s="1"/>
      <c r="W1364" s="1"/>
      <c r="X1364" s="1"/>
      <c r="Y1364" s="5"/>
      <c r="Z1364" s="1"/>
    </row>
    <row r="1365" customFormat="false" ht="15" hidden="false" customHeight="false" outlineLevel="0" collapsed="false">
      <c r="A1365" s="0" t="s">
        <v>69</v>
      </c>
      <c r="B1365" s="0" t="s">
        <v>70</v>
      </c>
      <c r="C1365" s="0" t="s">
        <v>56</v>
      </c>
      <c r="D1365" s="0" t="s">
        <v>156</v>
      </c>
      <c r="E1365" s="0" t="n">
        <v>29</v>
      </c>
      <c r="F1365" s="0" t="n">
        <v>1</v>
      </c>
      <c r="G1365" s="0" t="n">
        <v>26</v>
      </c>
      <c r="H1365" s="0" t="n">
        <v>114</v>
      </c>
      <c r="I1365" s="0" t="n">
        <v>26.1</v>
      </c>
      <c r="J1365" s="0" t="n">
        <f aca="false">(I1365/32)*5</f>
        <v>4.078125</v>
      </c>
      <c r="L1365" s="0" t="n">
        <v>10</v>
      </c>
      <c r="M1365" s="0" t="n">
        <v>0</v>
      </c>
      <c r="N1365" s="2" t="n">
        <f aca="false">(L1365*((M1365+J1365)/1000)*O1365)/((((M1365+J1365)/1000)*O1365)-((M1365/1000)*0.9982))</f>
        <v>10</v>
      </c>
      <c r="O1365" s="3" t="n">
        <f aca="false">LOOKUP(L1365,$AB$3:$AC$123)</f>
        <v>1.0381</v>
      </c>
      <c r="P1365" s="3" t="n">
        <f aca="false">(O1365*(N1365/100)*(J1365/1000))*1000</f>
        <v>0.42335015625</v>
      </c>
      <c r="Q1365" s="3"/>
      <c r="R1365" s="3" t="n">
        <v>6</v>
      </c>
      <c r="S1365" s="1"/>
      <c r="T1365" s="1"/>
      <c r="U1365" s="1"/>
      <c r="V1365" s="1"/>
      <c r="W1365" s="1"/>
      <c r="X1365" s="1"/>
      <c r="Y1365" s="5"/>
      <c r="Z1365" s="1"/>
    </row>
    <row r="1366" customFormat="false" ht="15" hidden="false" customHeight="false" outlineLevel="0" collapsed="false">
      <c r="A1366" s="0" t="s">
        <v>71</v>
      </c>
      <c r="B1366" s="0" t="s">
        <v>72</v>
      </c>
      <c r="C1366" s="0" t="s">
        <v>56</v>
      </c>
      <c r="D1366" s="0" t="s">
        <v>156</v>
      </c>
      <c r="E1366" s="0" t="n">
        <v>29</v>
      </c>
      <c r="F1366" s="0" t="n">
        <v>0</v>
      </c>
      <c r="G1366" s="0" t="n">
        <v>7</v>
      </c>
      <c r="H1366" s="0" t="n">
        <v>46</v>
      </c>
      <c r="I1366" s="0" t="n">
        <v>0</v>
      </c>
      <c r="J1366" s="0" t="n">
        <f aca="false">(I1366/32)*5</f>
        <v>0</v>
      </c>
      <c r="L1366" s="0" t="n">
        <v>0</v>
      </c>
      <c r="M1366" s="0" t="n">
        <v>0</v>
      </c>
      <c r="N1366" s="2" t="n">
        <v>0</v>
      </c>
      <c r="O1366" s="3" t="n">
        <f aca="false">LOOKUP(L1366,$AB$3:$AC$123)</f>
        <v>0.9982</v>
      </c>
      <c r="P1366" s="3" t="n">
        <f aca="false">(O1366*(N1366/100)*(J1366/1000))*1000</f>
        <v>0</v>
      </c>
      <c r="Q1366" s="3"/>
      <c r="R1366" s="3" t="n">
        <v>3</v>
      </c>
      <c r="S1366" s="1"/>
      <c r="T1366" s="1"/>
      <c r="U1366" s="1"/>
      <c r="V1366" s="1"/>
      <c r="W1366" s="1"/>
      <c r="X1366" s="1"/>
      <c r="Y1366" s="5"/>
      <c r="Z1366" s="1"/>
    </row>
    <row r="1367" customFormat="false" ht="15" hidden="false" customHeight="false" outlineLevel="0" collapsed="false">
      <c r="A1367" s="0" t="s">
        <v>73</v>
      </c>
      <c r="B1367" s="0" t="s">
        <v>74</v>
      </c>
      <c r="C1367" s="0" t="s">
        <v>56</v>
      </c>
      <c r="D1367" s="0" t="s">
        <v>156</v>
      </c>
      <c r="E1367" s="0" t="n">
        <v>29</v>
      </c>
      <c r="F1367" s="0" t="n">
        <v>0</v>
      </c>
      <c r="G1367" s="0" t="n">
        <v>10</v>
      </c>
      <c r="H1367" s="0" t="n">
        <v>64</v>
      </c>
      <c r="I1367" s="0" t="n">
        <v>0</v>
      </c>
      <c r="J1367" s="0" t="n">
        <f aca="false">(I1367/32)*5</f>
        <v>0</v>
      </c>
      <c r="L1367" s="0" t="n">
        <v>0</v>
      </c>
      <c r="M1367" s="0" t="n">
        <v>0</v>
      </c>
      <c r="N1367" s="2" t="n">
        <v>0</v>
      </c>
      <c r="O1367" s="3" t="n">
        <f aca="false">LOOKUP(L1367,$AB$3:$AC$123)</f>
        <v>0.9982</v>
      </c>
      <c r="P1367" s="3" t="n">
        <f aca="false">(O1367*(N1367/100)*(J1367/1000))*1000</f>
        <v>0</v>
      </c>
      <c r="Q1367" s="3"/>
      <c r="R1367" s="3" t="n">
        <v>2</v>
      </c>
      <c r="S1367" s="1"/>
      <c r="T1367" s="1"/>
      <c r="U1367" s="1"/>
      <c r="V1367" s="1"/>
      <c r="W1367" s="1"/>
      <c r="X1367" s="1"/>
      <c r="Y1367" s="5"/>
      <c r="Z1367" s="1"/>
    </row>
    <row r="1368" customFormat="false" ht="15" hidden="false" customHeight="false" outlineLevel="0" collapsed="false">
      <c r="A1368" s="0" t="s">
        <v>75</v>
      </c>
      <c r="B1368" s="0" t="s">
        <v>76</v>
      </c>
      <c r="C1368" s="0" t="s">
        <v>56</v>
      </c>
      <c r="D1368" s="0" t="s">
        <v>156</v>
      </c>
      <c r="E1368" s="0" t="n">
        <v>29</v>
      </c>
      <c r="F1368" s="0" t="n">
        <v>2</v>
      </c>
      <c r="G1368" s="0" t="n">
        <v>14</v>
      </c>
      <c r="H1368" s="0" t="n">
        <v>86</v>
      </c>
      <c r="I1368" s="0" t="n">
        <v>59.6</v>
      </c>
      <c r="J1368" s="0" t="n">
        <f aca="false">(I1368/32)*5</f>
        <v>9.3125</v>
      </c>
      <c r="L1368" s="0" t="n">
        <v>20</v>
      </c>
      <c r="M1368" s="0" t="n">
        <v>0</v>
      </c>
      <c r="N1368" s="2" t="n">
        <f aca="false">(L1368*((M1368+J1368)/1000)*O1368)/((((M1368+J1368)/1000)*O1368)-((M1368/1000)*0.9982))</f>
        <v>20</v>
      </c>
      <c r="O1368" s="3" t="n">
        <f aca="false">LOOKUP(L1368,$AB$3:$AC$123)</f>
        <v>1.081</v>
      </c>
      <c r="P1368" s="3" t="n">
        <f aca="false">(O1368*(N1368/100)*(J1368/1000))*1000</f>
        <v>2.0133625</v>
      </c>
      <c r="Q1368" s="3"/>
      <c r="R1368" s="3" t="n">
        <v>6</v>
      </c>
      <c r="S1368" s="1"/>
      <c r="T1368" s="1"/>
      <c r="U1368" s="1"/>
      <c r="V1368" s="1"/>
      <c r="W1368" s="1"/>
      <c r="X1368" s="1"/>
      <c r="Y1368" s="5"/>
      <c r="Z1368" s="1"/>
    </row>
    <row r="1369" customFormat="false" ht="15" hidden="false" customHeight="false" outlineLevel="0" collapsed="false">
      <c r="A1369" s="0" t="s">
        <v>77</v>
      </c>
      <c r="B1369" s="0" t="s">
        <v>78</v>
      </c>
      <c r="C1369" s="0" t="s">
        <v>56</v>
      </c>
      <c r="D1369" s="0" t="s">
        <v>156</v>
      </c>
      <c r="E1369" s="0" t="n">
        <v>29</v>
      </c>
      <c r="F1369" s="0" t="n">
        <v>1</v>
      </c>
      <c r="G1369" s="0" t="n">
        <v>12</v>
      </c>
      <c r="H1369" s="0" t="n">
        <v>78</v>
      </c>
      <c r="I1369" s="0" t="n">
        <f aca="false">52+5</f>
        <v>57</v>
      </c>
      <c r="J1369" s="0" t="n">
        <f aca="false">(I1369/32)*5</f>
        <v>8.90625</v>
      </c>
      <c r="L1369" s="0" t="n">
        <v>18</v>
      </c>
      <c r="M1369" s="0" t="n">
        <v>0</v>
      </c>
      <c r="N1369" s="2" t="n">
        <f aca="false">(L1369*((M1369+J1369)/1000)*O1369)/((((M1369+J1369)/1000)*O1369)-((M1369/1000)*0.9982))</f>
        <v>18</v>
      </c>
      <c r="O1369" s="3" t="n">
        <f aca="false">LOOKUP(L1369,$AB$3:$AC$123)</f>
        <v>1.0722</v>
      </c>
      <c r="P1369" s="3" t="n">
        <f aca="false">(O1369*(N1369/100)*(J1369/1000))*1000</f>
        <v>1.718870625</v>
      </c>
      <c r="Q1369" s="3"/>
      <c r="R1369" s="3" t="n">
        <v>9</v>
      </c>
      <c r="S1369" s="1"/>
      <c r="T1369" s="1"/>
      <c r="U1369" s="1"/>
      <c r="V1369" s="1"/>
      <c r="W1369" s="1"/>
      <c r="X1369" s="1"/>
      <c r="Y1369" s="5"/>
      <c r="Z1369" s="1"/>
    </row>
    <row r="1370" customFormat="false" ht="15" hidden="false" customHeight="false" outlineLevel="0" collapsed="false">
      <c r="A1370" s="0" t="s">
        <v>79</v>
      </c>
      <c r="B1370" s="0" t="s">
        <v>80</v>
      </c>
      <c r="C1370" s="0" t="s">
        <v>81</v>
      </c>
      <c r="D1370" s="0" t="s">
        <v>156</v>
      </c>
      <c r="E1370" s="0" t="n">
        <v>29</v>
      </c>
      <c r="F1370" s="0" t="n">
        <v>1</v>
      </c>
      <c r="G1370" s="0" t="n">
        <v>11</v>
      </c>
      <c r="H1370" s="0" t="n">
        <v>60</v>
      </c>
      <c r="I1370" s="0" t="n">
        <v>27.4</v>
      </c>
      <c r="J1370" s="0" t="n">
        <f aca="false">(I1370/32)*5</f>
        <v>4.28125</v>
      </c>
      <c r="L1370" s="0" t="n">
        <v>24</v>
      </c>
      <c r="M1370" s="0" t="n">
        <v>0</v>
      </c>
      <c r="N1370" s="2" t="n">
        <f aca="false">(L1370*((M1370+J1370)/1000)*O1370)/((((M1370+J1370)/1000)*O1370)-((M1370/1000)*0.9982))</f>
        <v>24</v>
      </c>
      <c r="O1370" s="3" t="n">
        <f aca="false">LOOKUP(L1370,$AB$3:$AC$123)</f>
        <v>1.099</v>
      </c>
      <c r="P1370" s="3" t="n">
        <f aca="false">(O1370*(N1370/100)*(J1370/1000))*1000</f>
        <v>1.1292225</v>
      </c>
      <c r="Q1370" s="3"/>
      <c r="R1370" s="3" t="n">
        <v>10</v>
      </c>
      <c r="S1370" s="0" t="n">
        <v>15.9</v>
      </c>
      <c r="T1370" s="0" t="n">
        <f aca="false">(S1370/32)*5</f>
        <v>2.484375</v>
      </c>
      <c r="V1370" s="0" t="n">
        <v>29.5</v>
      </c>
      <c r="W1370" s="0" t="n">
        <v>4</v>
      </c>
      <c r="X1370" s="3" t="n">
        <f aca="false">LOOKUP(V1370,$AB$3:$AC$123)</f>
        <v>1.124625</v>
      </c>
      <c r="Y1370" s="2" t="n">
        <f aca="false">(V1370*((W1370+T1370)/1000)*X1370)/((((W1370+T1370)/1000)*X1370)-((W1370/1000)*0.9982))</f>
        <v>65.1965628994294</v>
      </c>
      <c r="Z1370" s="3" t="n">
        <f aca="false">(X1370*(V1370/100)*((W1370+T1370)/1000))*1000</f>
        <v>2.15128461914062</v>
      </c>
    </row>
    <row r="1371" customFormat="false" ht="15" hidden="false" customHeight="false" outlineLevel="0" collapsed="false">
      <c r="A1371" s="0" t="s">
        <v>82</v>
      </c>
      <c r="B1371" s="0" t="s">
        <v>83</v>
      </c>
      <c r="C1371" s="0" t="s">
        <v>81</v>
      </c>
      <c r="D1371" s="0" t="s">
        <v>156</v>
      </c>
      <c r="E1371" s="0" t="n">
        <v>29</v>
      </c>
      <c r="F1371" s="0" t="n">
        <v>0</v>
      </c>
      <c r="G1371" s="0" t="n">
        <v>7</v>
      </c>
      <c r="H1371" s="0" t="n">
        <v>39</v>
      </c>
      <c r="I1371" s="0" t="n">
        <v>0</v>
      </c>
      <c r="J1371" s="0" t="n">
        <f aca="false">(I1371/32)*5</f>
        <v>0</v>
      </c>
      <c r="L1371" s="0" t="n">
        <v>0</v>
      </c>
      <c r="M1371" s="0" t="n">
        <v>0</v>
      </c>
      <c r="N1371" s="2" t="n">
        <v>0</v>
      </c>
      <c r="O1371" s="3" t="n">
        <v>0</v>
      </c>
      <c r="P1371" s="3" t="n">
        <v>0</v>
      </c>
      <c r="Q1371" s="3"/>
      <c r="R1371" s="3" t="n">
        <v>2</v>
      </c>
      <c r="S1371" s="3" t="n">
        <v>9.7</v>
      </c>
      <c r="T1371" s="0" t="n">
        <f aca="false">(S1371/32)*5</f>
        <v>1.515625</v>
      </c>
      <c r="V1371" s="0" t="n">
        <v>29</v>
      </c>
      <c r="W1371" s="0" t="n">
        <v>4</v>
      </c>
      <c r="X1371" s="3" t="n">
        <f aca="false">LOOKUP(V1371,$AB$3:$AC$123)</f>
        <v>1.12225</v>
      </c>
      <c r="Y1371" s="2" t="n">
        <f aca="false">(V1371*((W1371+T1371)/1000)*X1371)/((((W1371+T1371)/1000)*X1371)-((W1371/1000)*0.9982))</f>
        <v>81.7015906192118</v>
      </c>
      <c r="Z1371" s="3" t="n">
        <f aca="false">(X1371*(V1371/100)*((W1371+T1371)/1000))*1000</f>
        <v>1.7950739453125</v>
      </c>
    </row>
    <row r="1372" customFormat="false" ht="15" hidden="false" customHeight="false" outlineLevel="0" collapsed="false">
      <c r="A1372" s="0" t="s">
        <v>84</v>
      </c>
      <c r="B1372" s="0" t="s">
        <v>85</v>
      </c>
      <c r="C1372" s="0" t="s">
        <v>81</v>
      </c>
      <c r="D1372" s="0" t="s">
        <v>156</v>
      </c>
      <c r="E1372" s="0" t="n">
        <v>29</v>
      </c>
      <c r="F1372" s="0" t="n">
        <v>1</v>
      </c>
      <c r="G1372" s="0" t="n">
        <v>10</v>
      </c>
      <c r="H1372" s="0" t="n">
        <v>69</v>
      </c>
      <c r="I1372" s="0" t="n">
        <v>20.7</v>
      </c>
      <c r="J1372" s="0" t="n">
        <f aca="false">(I1372/32)*5</f>
        <v>3.234375</v>
      </c>
      <c r="L1372" s="0" t="n">
        <v>29</v>
      </c>
      <c r="M1372" s="0" t="n">
        <v>0</v>
      </c>
      <c r="N1372" s="2" t="n">
        <f aca="false">(L1372*((M1372+J1372)/1000)*O1372)/((((M1372+J1372)/1000)*O1372)-((M1372/1000)*0.9982))</f>
        <v>29</v>
      </c>
      <c r="O1372" s="3" t="n">
        <f aca="false">LOOKUP(L1372,$AB$3:$AC$123)</f>
        <v>1.12225</v>
      </c>
      <c r="P1372" s="3" t="n">
        <f aca="false">(O1372*(N1372/100)*(J1372/1000))*1000</f>
        <v>1.0526354296875</v>
      </c>
      <c r="Q1372" s="3"/>
      <c r="R1372" s="3" t="n">
        <v>3</v>
      </c>
      <c r="S1372" s="0" t="n">
        <v>9.8</v>
      </c>
      <c r="T1372" s="0" t="n">
        <f aca="false">(S1372/32)*5</f>
        <v>1.53125</v>
      </c>
      <c r="V1372" s="0" t="n">
        <v>16</v>
      </c>
      <c r="W1372" s="0" t="n">
        <v>4</v>
      </c>
      <c r="X1372" s="3" t="n">
        <f aca="false">LOOKUP(V1372,$AB$3:$AC$123)</f>
        <v>1.0635</v>
      </c>
      <c r="Y1372" s="2" t="n">
        <f aca="false">(V1372*((W1372+T1372)/1000)*X1372)/((((W1372+T1372)/1000)*X1372)-((W1372/1000)*0.9982))</f>
        <v>49.8071271822841</v>
      </c>
      <c r="Z1372" s="3" t="n">
        <f aca="false">(X1372*(V1372/100)*((W1372+T1372)/1000))*1000</f>
        <v>0.9411975</v>
      </c>
    </row>
    <row r="1373" customFormat="false" ht="15" hidden="false" customHeight="false" outlineLevel="0" collapsed="false">
      <c r="A1373" s="0" t="s">
        <v>86</v>
      </c>
      <c r="B1373" s="0" t="s">
        <v>87</v>
      </c>
      <c r="C1373" s="0" t="s">
        <v>81</v>
      </c>
      <c r="D1373" s="0" t="s">
        <v>156</v>
      </c>
      <c r="E1373" s="0" t="n">
        <v>29</v>
      </c>
      <c r="F1373" s="0" t="n">
        <v>0</v>
      </c>
      <c r="G1373" s="0" t="n">
        <v>8</v>
      </c>
      <c r="H1373" s="0" t="n">
        <v>78</v>
      </c>
      <c r="I1373" s="0" t="n">
        <v>0</v>
      </c>
      <c r="J1373" s="0" t="n">
        <f aca="false">(I1373/32)*5</f>
        <v>0</v>
      </c>
      <c r="L1373" s="0" t="n">
        <v>0</v>
      </c>
      <c r="M1373" s="0" t="n">
        <v>0</v>
      </c>
      <c r="N1373" s="2" t="n">
        <v>0</v>
      </c>
      <c r="O1373" s="3" t="n">
        <v>0</v>
      </c>
      <c r="P1373" s="3" t="n">
        <f aca="false">(O1373*(N1373/100)*(J1373/1000))*1000</f>
        <v>0</v>
      </c>
      <c r="Q1373" s="3"/>
      <c r="R1373" s="3" t="n">
        <v>4</v>
      </c>
      <c r="S1373" s="3" t="n">
        <v>8.4</v>
      </c>
      <c r="T1373" s="0" t="n">
        <f aca="false">(S1373/32)*5</f>
        <v>1.3125</v>
      </c>
      <c r="V1373" s="0" t="n">
        <v>22.5</v>
      </c>
      <c r="W1373" s="0" t="n">
        <v>4</v>
      </c>
      <c r="X1373" s="3" t="n">
        <f aca="false">LOOKUP(V1373,$AB$3:$AC$123)</f>
        <v>1.092175</v>
      </c>
      <c r="Y1373" s="2" t="n">
        <f aca="false">(V1373*((W1373+T1373)/1000)*X1373)/((((W1373+T1373)/1000)*X1373)-((W1373/1000)*0.9982))</f>
        <v>72.1512703334965</v>
      </c>
      <c r="Z1373" s="3" t="n">
        <f aca="false">(X1373*(V1373/100)*((W1373+T1373)/1000))*1000</f>
        <v>1.3054904296875</v>
      </c>
    </row>
    <row r="1374" customFormat="false" ht="15" hidden="false" customHeight="false" outlineLevel="0" collapsed="false">
      <c r="A1374" s="0" t="s">
        <v>88</v>
      </c>
      <c r="B1374" s="0" t="s">
        <v>89</v>
      </c>
      <c r="C1374" s="0" t="s">
        <v>81</v>
      </c>
      <c r="D1374" s="0" t="s">
        <v>156</v>
      </c>
      <c r="E1374" s="0" t="n">
        <v>29</v>
      </c>
      <c r="F1374" s="0" t="n">
        <v>1</v>
      </c>
      <c r="G1374" s="0" t="n">
        <v>13</v>
      </c>
      <c r="H1374" s="0" t="n">
        <v>77</v>
      </c>
      <c r="I1374" s="0" t="n">
        <v>29.4</v>
      </c>
      <c r="J1374" s="0" t="n">
        <f aca="false">(I1374/32)*5</f>
        <v>4.59375</v>
      </c>
      <c r="L1374" s="0" t="n">
        <v>25</v>
      </c>
      <c r="M1374" s="0" t="n">
        <v>0</v>
      </c>
      <c r="N1374" s="2" t="n">
        <f aca="false">(L1374*((M1374+J1374)/1000)*O1374)/((((M1374+J1374)/1000)*O1374)-((M1374/1000)*0.9982))</f>
        <v>25</v>
      </c>
      <c r="O1374" s="3" t="n">
        <f aca="false">LOOKUP(L1374,$AB$3:$AC$123)</f>
        <v>1.10355</v>
      </c>
      <c r="P1374" s="3" t="n">
        <f aca="false">(O1374*(N1374/100)*(J1374/1000))*1000</f>
        <v>1.267358203125</v>
      </c>
      <c r="Q1374" s="3"/>
      <c r="R1374" s="3" t="n">
        <v>4</v>
      </c>
      <c r="S1374" s="3" t="n">
        <v>8.9</v>
      </c>
      <c r="T1374" s="0" t="n">
        <f aca="false">(S1374/32)*5</f>
        <v>1.390625</v>
      </c>
      <c r="V1374" s="0" t="n">
        <v>19</v>
      </c>
      <c r="W1374" s="0" t="n">
        <v>4</v>
      </c>
      <c r="X1374" s="3" t="n">
        <f aca="false">LOOKUP(V1374,$AB$3:$AC$123)</f>
        <v>1.0765</v>
      </c>
      <c r="Y1374" s="2" t="n">
        <f aca="false">(V1374*((W1374+T1374)/1000)*X1374)/((((W1374+T1374)/1000)*X1374)-((W1374/1000)*0.9982))</f>
        <v>60.90855849596</v>
      </c>
      <c r="Z1374" s="3" t="n">
        <f aca="false">(X1374*(V1374/100)*((W1374+T1374)/1000))*1000</f>
        <v>1.102571484375</v>
      </c>
    </row>
    <row r="1375" customFormat="false" ht="15" hidden="false" customHeight="false" outlineLevel="0" collapsed="false">
      <c r="A1375" s="0" t="s">
        <v>90</v>
      </c>
      <c r="B1375" s="0" t="s">
        <v>91</v>
      </c>
      <c r="C1375" s="0" t="s">
        <v>81</v>
      </c>
      <c r="D1375" s="0" t="s">
        <v>156</v>
      </c>
      <c r="E1375" s="0" t="n">
        <v>29</v>
      </c>
      <c r="F1375" s="0" t="n">
        <v>2</v>
      </c>
      <c r="G1375" s="0" t="n">
        <v>12</v>
      </c>
      <c r="H1375" s="0" t="n">
        <v>66</v>
      </c>
      <c r="I1375" s="0" t="n">
        <v>22.8</v>
      </c>
      <c r="J1375" s="0" t="n">
        <f aca="false">(I1375/32)*5</f>
        <v>3.5625</v>
      </c>
      <c r="L1375" s="0" t="n">
        <v>20</v>
      </c>
      <c r="M1375" s="0" t="n">
        <v>0</v>
      </c>
      <c r="N1375" s="2" t="n">
        <f aca="false">(L1375*((M1375+J1375)/1000)*O1375)/((((M1375+J1375)/1000)*O1375)-((M1375/1000)*0.9982))</f>
        <v>20</v>
      </c>
      <c r="O1375" s="3" t="n">
        <f aca="false">LOOKUP(L1375,$AB$3:$AC$123)</f>
        <v>1.081</v>
      </c>
      <c r="P1375" s="3" t="n">
        <f aca="false">(O1375*(N1375/100)*(J1375/1000))*1000</f>
        <v>0.7702125</v>
      </c>
      <c r="Q1375" s="3"/>
      <c r="R1375" s="3" t="n">
        <v>3</v>
      </c>
      <c r="S1375" s="3" t="n">
        <v>8.3</v>
      </c>
      <c r="T1375" s="0" t="n">
        <f aca="false">(S1375/32)*5</f>
        <v>1.296875</v>
      </c>
      <c r="V1375" s="0" t="n">
        <v>9.5</v>
      </c>
      <c r="W1375" s="0" t="n">
        <v>4</v>
      </c>
      <c r="X1375" s="3" t="n">
        <f aca="false">LOOKUP(V1375,$AB$3:$AC$123)</f>
        <v>1.0361</v>
      </c>
      <c r="Y1375" s="2" t="n">
        <f aca="false">(V1375*((W1375+T1375)/1000)*X1375)/((((W1375+T1375)/1000)*X1375)-((W1375/1000)*0.9982))</f>
        <v>34.8673498177091</v>
      </c>
      <c r="Z1375" s="3" t="n">
        <f aca="false">(X1375*(V1375/100)*((W1375+T1375)/1000))*1000</f>
        <v>0.5213687578125</v>
      </c>
    </row>
    <row r="1376" customFormat="false" ht="15" hidden="false" customHeight="false" outlineLevel="0" collapsed="false">
      <c r="A1376" s="0" t="s">
        <v>92</v>
      </c>
      <c r="B1376" s="0" t="s">
        <v>93</v>
      </c>
      <c r="C1376" s="0" t="s">
        <v>81</v>
      </c>
      <c r="D1376" s="0" t="s">
        <v>156</v>
      </c>
      <c r="E1376" s="0" t="n">
        <v>29</v>
      </c>
      <c r="F1376" s="0" t="n">
        <v>2</v>
      </c>
      <c r="G1376" s="0" t="n">
        <v>13</v>
      </c>
      <c r="H1376" s="0" t="n">
        <v>56</v>
      </c>
      <c r="I1376" s="0" t="n">
        <v>42.3</v>
      </c>
      <c r="J1376" s="0" t="n">
        <f aca="false">(I1376/32)*5</f>
        <v>6.609375</v>
      </c>
      <c r="L1376" s="0" t="n">
        <v>21</v>
      </c>
      <c r="M1376" s="0" t="n">
        <v>0</v>
      </c>
      <c r="N1376" s="2" t="n">
        <f aca="false">(L1376*((M1376+J1376)/1000)*O1376)/((((M1376+J1376)/1000)*O1376)-((M1376/1000)*0.9982))</f>
        <v>21</v>
      </c>
      <c r="O1376" s="3" t="n">
        <f aca="false">LOOKUP(L1376,$AB$3:$AC$123)</f>
        <v>1.08545</v>
      </c>
      <c r="P1376" s="3" t="n">
        <f aca="false">(O1376*(N1376/100)*(J1376/1000))*1000</f>
        <v>1.5065706796875</v>
      </c>
      <c r="Q1376" s="3"/>
      <c r="R1376" s="3" t="n">
        <v>5</v>
      </c>
      <c r="S1376" s="3" t="n">
        <v>7</v>
      </c>
      <c r="T1376" s="0" t="n">
        <f aca="false">(S1376/32)*5</f>
        <v>1.09375</v>
      </c>
      <c r="V1376" s="0" t="n">
        <v>12</v>
      </c>
      <c r="W1376" s="0" t="n">
        <v>4</v>
      </c>
      <c r="X1376" s="3" t="n">
        <f aca="false">LOOKUP(V1376,$AB$3:$AC$123)</f>
        <v>1.0465</v>
      </c>
      <c r="Y1376" s="2" t="n">
        <f aca="false">(V1376*((W1376+T1376)/1000)*X1376)/((((W1376+T1376)/1000)*X1376)-((W1376/1000)*0.9982))</f>
        <v>47.8149680330952</v>
      </c>
      <c r="Z1376" s="3" t="n">
        <f aca="false">(X1376*(V1376/100)*((W1376+T1376)/1000))*1000</f>
        <v>0.639673125</v>
      </c>
    </row>
    <row r="1377" customFormat="false" ht="15" hidden="false" customHeight="false" outlineLevel="0" collapsed="false">
      <c r="A1377" s="0" t="s">
        <v>94</v>
      </c>
      <c r="B1377" s="0" t="s">
        <v>95</v>
      </c>
      <c r="C1377" s="0" t="s">
        <v>81</v>
      </c>
      <c r="D1377" s="0" t="s">
        <v>156</v>
      </c>
      <c r="E1377" s="0" t="n">
        <v>29</v>
      </c>
      <c r="F1377" s="0" t="n">
        <v>3</v>
      </c>
      <c r="G1377" s="0" t="n">
        <v>23</v>
      </c>
      <c r="H1377" s="0" t="n">
        <v>97</v>
      </c>
      <c r="I1377" s="0" t="n">
        <f aca="false">32+26.6</f>
        <v>58.6</v>
      </c>
      <c r="J1377" s="0" t="n">
        <f aca="false">(I1377/32)*5</f>
        <v>9.15625</v>
      </c>
      <c r="L1377" s="0" t="n">
        <v>23.5</v>
      </c>
      <c r="M1377" s="0" t="n">
        <v>0</v>
      </c>
      <c r="N1377" s="2" t="n">
        <f aca="false">(L1377*((M1377+J1377)/1000)*O1377)/((((M1377+J1377)/1000)*O1377)-((M1377/1000)*0.9982))</f>
        <v>23.5</v>
      </c>
      <c r="O1377" s="3" t="n">
        <f aca="false">LOOKUP(L1377,$AB$3:$AC$123)</f>
        <v>1.096725</v>
      </c>
      <c r="P1377" s="3" t="n">
        <f aca="false">(O1377*(N1377/100)*(J1377/1000))*1000</f>
        <v>2.35984374609375</v>
      </c>
      <c r="Q1377" s="3"/>
      <c r="R1377" s="3" t="n">
        <v>12</v>
      </c>
      <c r="S1377" s="3" t="n">
        <v>20.1</v>
      </c>
      <c r="T1377" s="0" t="n">
        <f aca="false">(S1377/32)*5</f>
        <v>3.140625</v>
      </c>
      <c r="V1377" s="0" t="n">
        <v>20.5</v>
      </c>
      <c r="W1377" s="0" t="n">
        <v>4</v>
      </c>
      <c r="X1377" s="3" t="n">
        <f aca="false">LOOKUP(V1377,$AB$3:$AC$123)</f>
        <v>1.083225</v>
      </c>
      <c r="Y1377" s="2" t="n">
        <f aca="false">(V1377*((W1377+T1377)/1000)*X1377)/((((W1377+T1377)/1000)*X1377)-((W1377/1000)*0.9982))</f>
        <v>42.3733660515346</v>
      </c>
      <c r="Z1377" s="3" t="n">
        <f aca="false">(X1377*(V1377/100)*((W1377+T1377)/1000))*1000</f>
        <v>1.58565522070313</v>
      </c>
    </row>
    <row r="1378" customFormat="false" ht="15" hidden="false" customHeight="false" outlineLevel="0" collapsed="false">
      <c r="A1378" s="0" t="s">
        <v>96</v>
      </c>
      <c r="B1378" s="0" t="s">
        <v>97</v>
      </c>
      <c r="C1378" s="0" t="s">
        <v>81</v>
      </c>
      <c r="D1378" s="0" t="s">
        <v>156</v>
      </c>
      <c r="E1378" s="0" t="n">
        <v>29</v>
      </c>
      <c r="F1378" s="0" t="n">
        <v>0</v>
      </c>
      <c r="G1378" s="0" t="n">
        <v>7</v>
      </c>
      <c r="H1378" s="0" t="n">
        <v>42</v>
      </c>
      <c r="I1378" s="0" t="n">
        <v>0</v>
      </c>
      <c r="J1378" s="0" t="n">
        <f aca="false">(I1378/32)*5</f>
        <v>0</v>
      </c>
      <c r="L1378" s="0" t="n">
        <v>0</v>
      </c>
      <c r="M1378" s="0" t="n">
        <v>0</v>
      </c>
      <c r="N1378" s="2" t="n">
        <v>0</v>
      </c>
      <c r="O1378" s="3" t="n">
        <v>0</v>
      </c>
      <c r="P1378" s="3" t="n">
        <f aca="false">(O1378*(N1378/100)*(J1378/1000))*1000</f>
        <v>0</v>
      </c>
      <c r="Q1378" s="3"/>
      <c r="R1378" s="3" t="n">
        <v>5</v>
      </c>
      <c r="S1378" s="3" t="n">
        <v>5.2</v>
      </c>
      <c r="T1378" s="0" t="n">
        <f aca="false">(S1378/32)*5</f>
        <v>0.8125</v>
      </c>
      <c r="V1378" s="0" t="n">
        <v>12</v>
      </c>
      <c r="W1378" s="0" t="n">
        <v>4</v>
      </c>
      <c r="X1378" s="3" t="n">
        <f aca="false">LOOKUP(V1378,$AB$3:$AC$123)</f>
        <v>1.0465</v>
      </c>
      <c r="Y1378" s="2" t="n">
        <f aca="false">(V1378*((W1378+T1378)/1000)*X1378)/((((W1378+T1378)/1000)*X1378)-((W1378/1000)*0.9982))</f>
        <v>57.917068466731</v>
      </c>
      <c r="Z1378" s="3" t="n">
        <f aca="false">(X1378*(V1378/100)*((W1378+T1378)/1000))*1000</f>
        <v>0.60435375</v>
      </c>
    </row>
    <row r="1379" customFormat="false" ht="15" hidden="false" customHeight="false" outlineLevel="0" collapsed="false">
      <c r="A1379" s="0" t="s">
        <v>98</v>
      </c>
      <c r="B1379" s="0" t="s">
        <v>99</v>
      </c>
      <c r="C1379" s="0" t="s">
        <v>81</v>
      </c>
      <c r="D1379" s="0" t="s">
        <v>156</v>
      </c>
      <c r="E1379" s="0" t="n">
        <v>29</v>
      </c>
      <c r="F1379" s="0" t="n">
        <v>2</v>
      </c>
      <c r="G1379" s="0" t="n">
        <v>12</v>
      </c>
      <c r="H1379" s="0" t="n">
        <v>65</v>
      </c>
      <c r="I1379" s="0" t="n">
        <v>26.6</v>
      </c>
      <c r="J1379" s="0" t="n">
        <f aca="false">(I1379/32)*5</f>
        <v>4.15625</v>
      </c>
      <c r="L1379" s="0" t="n">
        <v>15</v>
      </c>
      <c r="M1379" s="0" t="n">
        <v>4</v>
      </c>
      <c r="N1379" s="2" t="n">
        <f aca="false">(L1379*((M1379+J1379)/1000)*O1379)/((((M1379+J1379)/1000)*O1379)-((M1379/1000)*0.9982))</f>
        <v>27.8902567634462</v>
      </c>
      <c r="O1379" s="3" t="n">
        <f aca="false">LOOKUP(L1379,$AB$3:$AC$123)</f>
        <v>1.0592</v>
      </c>
      <c r="P1379" s="3" t="n">
        <f aca="false">(O1379*(N1379/100)*(J1379/1000))*1000</f>
        <v>1.22781277349719</v>
      </c>
      <c r="Q1379" s="3"/>
      <c r="R1379" s="3" t="n">
        <v>3</v>
      </c>
      <c r="S1379" s="3" t="n">
        <v>6.9</v>
      </c>
      <c r="T1379" s="0" t="n">
        <f aca="false">(S1379/32)*5</f>
        <v>1.078125</v>
      </c>
      <c r="V1379" s="0" t="n">
        <v>23</v>
      </c>
      <c r="W1379" s="0" t="n">
        <v>4</v>
      </c>
      <c r="X1379" s="3" t="n">
        <f aca="false">LOOKUP(V1379,$AB$3:$AC$123)</f>
        <v>1.09445</v>
      </c>
      <c r="Y1379" s="2" t="n">
        <f aca="false">(V1379*((W1379+T1379)/1000)*X1379)/((((W1379+T1379)/1000)*X1379)-((W1379/1000)*0.9982))</f>
        <v>81.6818561449244</v>
      </c>
      <c r="Z1379" s="3" t="n">
        <f aca="false">(X1379*(V1379/100)*((W1379+T1379)/1000))*1000</f>
        <v>1.2782833984375</v>
      </c>
    </row>
    <row r="1380" customFormat="false" ht="15" hidden="false" customHeight="false" outlineLevel="0" collapsed="false">
      <c r="A1380" s="0" t="s">
        <v>100</v>
      </c>
      <c r="B1380" s="0" t="s">
        <v>101</v>
      </c>
      <c r="C1380" s="0" t="s">
        <v>81</v>
      </c>
      <c r="D1380" s="0" t="s">
        <v>156</v>
      </c>
      <c r="E1380" s="0" t="n">
        <v>29</v>
      </c>
      <c r="F1380" s="0" t="n">
        <v>1</v>
      </c>
      <c r="G1380" s="0" t="n">
        <v>6</v>
      </c>
      <c r="H1380" s="0" t="n">
        <v>31</v>
      </c>
      <c r="I1380" s="0" t="n">
        <v>30.8</v>
      </c>
      <c r="J1380" s="0" t="n">
        <f aca="false">(I1380/32)*5</f>
        <v>4.8125</v>
      </c>
      <c r="L1380" s="0" t="n">
        <v>13</v>
      </c>
      <c r="M1380" s="0" t="n">
        <v>4</v>
      </c>
      <c r="N1380" s="2" t="n">
        <f aca="false">(L1380*((M1380+J1380)/1000)*O1380)/((((M1380+J1380)/1000)*O1380)-((M1380/1000)*0.9982))</f>
        <v>22.8559691635445</v>
      </c>
      <c r="O1380" s="3" t="n">
        <f aca="false">LOOKUP(L1380,$AB$3:$AC$123)</f>
        <v>1.0507</v>
      </c>
      <c r="P1380" s="3" t="n">
        <f aca="false">(O1380*(N1380/100)*(J1380/1000))*1000</f>
        <v>1.15571065225656</v>
      </c>
      <c r="Q1380" s="3"/>
      <c r="R1380" s="3" t="n">
        <v>3</v>
      </c>
      <c r="S1380" s="3" t="n">
        <v>7.6</v>
      </c>
      <c r="T1380" s="0" t="n">
        <f aca="false">(S1380/32)*5</f>
        <v>1.1875</v>
      </c>
      <c r="V1380" s="0" t="n">
        <v>7.5</v>
      </c>
      <c r="W1380" s="0" t="n">
        <v>4</v>
      </c>
      <c r="X1380" s="3" t="n">
        <f aca="false">LOOKUP(V1380,$AB$3:$AC$123)</f>
        <v>1.0279</v>
      </c>
      <c r="Y1380" s="2" t="n">
        <f aca="false">(V1380*((W1380+T1380)/1000)*X1380)/((((W1380+T1380)/1000)*X1380)-((W1380/1000)*0.9982))</f>
        <v>29.857250512111</v>
      </c>
      <c r="Z1380" s="3" t="n">
        <f aca="false">(X1380*(V1380/100)*((W1380+T1380)/1000))*1000</f>
        <v>0.39991734375</v>
      </c>
    </row>
    <row r="1381" customFormat="false" ht="15" hidden="false" customHeight="false" outlineLevel="0" collapsed="false">
      <c r="A1381" s="0" t="s">
        <v>102</v>
      </c>
      <c r="B1381" s="0" t="s">
        <v>103</v>
      </c>
      <c r="C1381" s="0" t="s">
        <v>81</v>
      </c>
      <c r="D1381" s="0" t="s">
        <v>156</v>
      </c>
      <c r="E1381" s="0" t="n">
        <v>29</v>
      </c>
      <c r="F1381" s="0" t="n">
        <v>2</v>
      </c>
      <c r="G1381" s="0" t="n">
        <v>9</v>
      </c>
      <c r="H1381" s="0" t="n">
        <v>69</v>
      </c>
      <c r="I1381" s="0" t="n">
        <v>20.2</v>
      </c>
      <c r="J1381" s="0" t="n">
        <f aca="false">(I1381/32)*5</f>
        <v>3.15625</v>
      </c>
      <c r="L1381" s="0" t="n">
        <v>25</v>
      </c>
      <c r="M1381" s="0" t="n">
        <v>0</v>
      </c>
      <c r="N1381" s="2" t="n">
        <f aca="false">(L1381*((M1381+J1381)/1000)*O1381)/((((M1381+J1381)/1000)*O1381)-((M1381/1000)*0.9982))</f>
        <v>25</v>
      </c>
      <c r="O1381" s="3" t="n">
        <f aca="false">LOOKUP(L1381,$AB$3:$AC$123)</f>
        <v>1.10355</v>
      </c>
      <c r="P1381" s="3" t="n">
        <f aca="false">(O1381*(N1381/100)*(J1381/1000))*1000</f>
        <v>0.870769921875</v>
      </c>
      <c r="Q1381" s="3"/>
      <c r="R1381" s="3" t="n">
        <v>2</v>
      </c>
      <c r="S1381" s="3" t="n">
        <v>4.6</v>
      </c>
      <c r="T1381" s="0" t="n">
        <f aca="false">(S1381/32)*5</f>
        <v>0.71875</v>
      </c>
      <c r="V1381" s="0" t="n">
        <v>12</v>
      </c>
      <c r="W1381" s="0" t="n">
        <v>4</v>
      </c>
      <c r="X1381" s="3" t="n">
        <f aca="false">LOOKUP(V1381,$AB$3:$AC$123)</f>
        <v>1.0465</v>
      </c>
      <c r="Y1381" s="2" t="n">
        <f aca="false">(V1381*((W1381+T1381)/1000)*X1381)/((((W1381+T1381)/1000)*X1381)-((W1381/1000)*0.9982))</f>
        <v>62.6822778073444</v>
      </c>
      <c r="Z1381" s="3" t="n">
        <f aca="false">(X1381*(V1381/100)*((W1381+T1381)/1000))*1000</f>
        <v>0.592580625</v>
      </c>
    </row>
    <row r="1382" customFormat="false" ht="15" hidden="false" customHeight="false" outlineLevel="0" collapsed="false">
      <c r="A1382" s="0" t="s">
        <v>104</v>
      </c>
      <c r="B1382" s="0" t="s">
        <v>105</v>
      </c>
      <c r="C1382" s="0" t="s">
        <v>106</v>
      </c>
      <c r="D1382" s="0" t="s">
        <v>156</v>
      </c>
      <c r="E1382" s="0" t="n">
        <v>29</v>
      </c>
      <c r="F1382" s="0" t="n">
        <v>1</v>
      </c>
      <c r="G1382" s="0" t="n">
        <v>16</v>
      </c>
      <c r="H1382" s="0" t="n">
        <v>58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3" t="n">
        <v>7</v>
      </c>
      <c r="S1382" s="1"/>
      <c r="T1382" s="1"/>
      <c r="U1382" s="1"/>
      <c r="V1382" s="1"/>
      <c r="W1382" s="1"/>
      <c r="X1382" s="1"/>
      <c r="Y1382" s="5"/>
      <c r="Z1382" s="1"/>
    </row>
    <row r="1383" customFormat="false" ht="15" hidden="false" customHeight="false" outlineLevel="0" collapsed="false">
      <c r="A1383" s="0" t="s">
        <v>107</v>
      </c>
      <c r="B1383" s="0" t="s">
        <v>37</v>
      </c>
      <c r="C1383" s="0" t="s">
        <v>106</v>
      </c>
      <c r="D1383" s="0" t="s">
        <v>156</v>
      </c>
      <c r="E1383" s="0" t="n">
        <v>29</v>
      </c>
      <c r="F1383" s="0" t="n">
        <v>1</v>
      </c>
      <c r="G1383" s="0" t="n">
        <v>7</v>
      </c>
      <c r="H1383" s="0" t="n">
        <v>38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3" t="n">
        <v>4</v>
      </c>
      <c r="S1383" s="1"/>
      <c r="T1383" s="1"/>
      <c r="U1383" s="1"/>
      <c r="V1383" s="1"/>
      <c r="W1383" s="1"/>
      <c r="X1383" s="1"/>
      <c r="Y1383" s="5"/>
      <c r="Z1383" s="1"/>
    </row>
    <row r="1384" customFormat="false" ht="15" hidden="false" customHeight="false" outlineLevel="0" collapsed="false">
      <c r="A1384" s="0" t="s">
        <v>108</v>
      </c>
      <c r="B1384" s="0" t="s">
        <v>109</v>
      </c>
      <c r="C1384" s="0" t="s">
        <v>106</v>
      </c>
      <c r="D1384" s="0" t="s">
        <v>156</v>
      </c>
      <c r="E1384" s="0" t="n">
        <v>29</v>
      </c>
      <c r="F1384" s="0" t="n">
        <v>3</v>
      </c>
      <c r="G1384" s="0" t="n">
        <v>23</v>
      </c>
      <c r="H1384" s="0" t="n">
        <v>113</v>
      </c>
      <c r="I1384" s="1"/>
      <c r="J1384" s="1"/>
      <c r="K1384" s="1"/>
      <c r="L1384" s="1"/>
      <c r="M1384" s="1"/>
      <c r="N1384" s="1"/>
      <c r="O1384" s="1"/>
      <c r="P1384" s="1"/>
      <c r="Q1384" s="1"/>
      <c r="R1384" s="3" t="n">
        <v>9</v>
      </c>
      <c r="S1384" s="1"/>
      <c r="T1384" s="1"/>
      <c r="U1384" s="1"/>
      <c r="V1384" s="1"/>
      <c r="W1384" s="1"/>
      <c r="X1384" s="1"/>
      <c r="Y1384" s="5"/>
      <c r="Z1384" s="1"/>
    </row>
    <row r="1385" customFormat="false" ht="15" hidden="false" customHeight="false" outlineLevel="0" collapsed="false">
      <c r="A1385" s="0" t="s">
        <v>110</v>
      </c>
      <c r="B1385" s="0" t="s">
        <v>111</v>
      </c>
      <c r="C1385" s="0" t="s">
        <v>106</v>
      </c>
      <c r="D1385" s="0" t="s">
        <v>156</v>
      </c>
      <c r="E1385" s="0" t="n">
        <v>29</v>
      </c>
      <c r="F1385" s="0" t="n">
        <v>1</v>
      </c>
      <c r="G1385" s="0" t="n">
        <v>8</v>
      </c>
      <c r="H1385" s="0" t="n">
        <v>52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3" t="n">
        <v>3</v>
      </c>
      <c r="S1385" s="1"/>
      <c r="T1385" s="1"/>
      <c r="U1385" s="1"/>
      <c r="V1385" s="1"/>
      <c r="W1385" s="1"/>
      <c r="X1385" s="1"/>
      <c r="Y1385" s="5"/>
      <c r="Z1385" s="1"/>
    </row>
    <row r="1386" customFormat="false" ht="15" hidden="false" customHeight="false" outlineLevel="0" collapsed="false">
      <c r="A1386" s="0" t="s">
        <v>112</v>
      </c>
      <c r="B1386" s="0" t="s">
        <v>113</v>
      </c>
      <c r="C1386" s="0" t="s">
        <v>106</v>
      </c>
      <c r="D1386" s="0" t="s">
        <v>156</v>
      </c>
      <c r="E1386" s="0" t="n">
        <v>29</v>
      </c>
      <c r="F1386" s="0" t="n">
        <v>0</v>
      </c>
      <c r="G1386" s="0" t="n">
        <v>11</v>
      </c>
      <c r="H1386" s="0" t="n">
        <v>51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3" t="n">
        <v>13</v>
      </c>
      <c r="S1386" s="1"/>
      <c r="T1386" s="1"/>
      <c r="U1386" s="1"/>
      <c r="V1386" s="1"/>
      <c r="W1386" s="1"/>
      <c r="X1386" s="1"/>
      <c r="Y1386" s="5"/>
      <c r="Z1386" s="1"/>
    </row>
    <row r="1387" customFormat="false" ht="15" hidden="false" customHeight="false" outlineLevel="0" collapsed="false">
      <c r="A1387" s="0" t="s">
        <v>114</v>
      </c>
      <c r="B1387" s="0" t="s">
        <v>115</v>
      </c>
      <c r="C1387" s="0" t="s">
        <v>106</v>
      </c>
      <c r="D1387" s="0" t="s">
        <v>156</v>
      </c>
      <c r="E1387" s="0" t="n">
        <v>29</v>
      </c>
      <c r="F1387" s="0" t="n">
        <v>1</v>
      </c>
      <c r="G1387" s="0" t="n">
        <v>5</v>
      </c>
      <c r="H1387" s="0" t="n">
        <v>53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3" t="n">
        <v>4</v>
      </c>
      <c r="S1387" s="1"/>
      <c r="T1387" s="1"/>
      <c r="U1387" s="1"/>
      <c r="V1387" s="1"/>
      <c r="W1387" s="1"/>
      <c r="X1387" s="1"/>
      <c r="Y1387" s="5"/>
      <c r="Z1387" s="1"/>
    </row>
    <row r="1388" customFormat="false" ht="15" hidden="false" customHeight="false" outlineLevel="0" collapsed="false">
      <c r="A1388" s="0" t="s">
        <v>116</v>
      </c>
      <c r="B1388" s="0" t="s">
        <v>117</v>
      </c>
      <c r="C1388" s="0" t="s">
        <v>106</v>
      </c>
      <c r="D1388" s="0" t="s">
        <v>156</v>
      </c>
      <c r="E1388" s="0" t="n">
        <v>29</v>
      </c>
      <c r="F1388" s="0" t="n">
        <v>0</v>
      </c>
      <c r="G1388" s="0" t="n">
        <v>5</v>
      </c>
      <c r="H1388" s="0" t="n">
        <v>41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3" t="n">
        <v>4</v>
      </c>
      <c r="S1388" s="1"/>
      <c r="T1388" s="1"/>
      <c r="U1388" s="1"/>
      <c r="V1388" s="1"/>
      <c r="W1388" s="1"/>
      <c r="X1388" s="1"/>
      <c r="Y1388" s="5"/>
      <c r="Z1388" s="1"/>
    </row>
    <row r="1389" customFormat="false" ht="15" hidden="false" customHeight="false" outlineLevel="0" collapsed="false">
      <c r="A1389" s="0" t="s">
        <v>118</v>
      </c>
      <c r="B1389" s="0" t="s">
        <v>119</v>
      </c>
      <c r="C1389" s="0" t="s">
        <v>106</v>
      </c>
      <c r="D1389" s="0" t="s">
        <v>156</v>
      </c>
      <c r="E1389" s="0" t="n">
        <v>29</v>
      </c>
      <c r="F1389" s="0" t="n">
        <v>4</v>
      </c>
      <c r="G1389" s="0" t="n">
        <v>20</v>
      </c>
      <c r="H1389" s="0" t="n">
        <v>67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3" t="n">
        <v>11</v>
      </c>
      <c r="S1389" s="1"/>
      <c r="T1389" s="1"/>
      <c r="U1389" s="1"/>
      <c r="V1389" s="1"/>
      <c r="W1389" s="1"/>
      <c r="X1389" s="1"/>
      <c r="Y1389" s="5"/>
      <c r="Z1389" s="1"/>
    </row>
    <row r="1390" customFormat="false" ht="15" hidden="false" customHeight="false" outlineLevel="0" collapsed="false">
      <c r="A1390" s="0" t="s">
        <v>120</v>
      </c>
      <c r="B1390" s="0" t="s">
        <v>121</v>
      </c>
      <c r="C1390" s="0" t="s">
        <v>106</v>
      </c>
      <c r="D1390" s="0" t="s">
        <v>156</v>
      </c>
      <c r="E1390" s="0" t="n">
        <v>29</v>
      </c>
      <c r="F1390" s="0" t="n">
        <v>1</v>
      </c>
      <c r="G1390" s="0" t="n">
        <v>19</v>
      </c>
      <c r="H1390" s="0" t="n">
        <v>83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3" t="n">
        <v>5</v>
      </c>
      <c r="S1390" s="1"/>
      <c r="T1390" s="1"/>
      <c r="U1390" s="1"/>
      <c r="V1390" s="1"/>
      <c r="W1390" s="1"/>
      <c r="X1390" s="1"/>
      <c r="Y1390" s="5"/>
      <c r="Z1390" s="1"/>
    </row>
    <row r="1391" customFormat="false" ht="15" hidden="false" customHeight="false" outlineLevel="0" collapsed="false">
      <c r="A1391" s="0" t="s">
        <v>122</v>
      </c>
      <c r="B1391" s="0" t="s">
        <v>123</v>
      </c>
      <c r="C1391" s="0" t="s">
        <v>106</v>
      </c>
      <c r="D1391" s="0" t="s">
        <v>156</v>
      </c>
      <c r="E1391" s="0" t="n">
        <v>29</v>
      </c>
      <c r="F1391" s="0" t="n">
        <v>1</v>
      </c>
      <c r="G1391" s="0" t="n">
        <v>8</v>
      </c>
      <c r="H1391" s="0" t="n">
        <v>39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3" t="n">
        <v>8</v>
      </c>
      <c r="S1391" s="1"/>
      <c r="T1391" s="1"/>
      <c r="U1391" s="1"/>
      <c r="V1391" s="1"/>
      <c r="W1391" s="1"/>
      <c r="X1391" s="1"/>
      <c r="Y1391" s="5"/>
      <c r="Z1391" s="1"/>
    </row>
    <row r="1392" customFormat="false" ht="15" hidden="false" customHeight="false" outlineLevel="0" collapsed="false">
      <c r="A1392" s="0" t="s">
        <v>124</v>
      </c>
      <c r="B1392" s="0" t="s">
        <v>125</v>
      </c>
      <c r="C1392" s="0" t="s">
        <v>106</v>
      </c>
      <c r="D1392" s="0" t="s">
        <v>156</v>
      </c>
      <c r="E1392" s="0" t="n">
        <v>29</v>
      </c>
      <c r="F1392" s="0" t="n">
        <v>4</v>
      </c>
      <c r="G1392" s="0" t="n">
        <v>10</v>
      </c>
      <c r="H1392" s="0" t="n">
        <v>40</v>
      </c>
      <c r="I1392" s="1"/>
      <c r="J1392" s="1"/>
      <c r="K1392" s="1"/>
      <c r="L1392" s="1"/>
      <c r="M1392" s="1"/>
      <c r="N1392" s="1"/>
      <c r="O1392" s="1"/>
      <c r="P1392" s="1"/>
      <c r="Q1392" s="1"/>
      <c r="R1392" s="3" t="n">
        <v>6</v>
      </c>
      <c r="S1392" s="1"/>
      <c r="T1392" s="1"/>
      <c r="U1392" s="1"/>
      <c r="V1392" s="1"/>
      <c r="W1392" s="1"/>
      <c r="X1392" s="1"/>
      <c r="Y1392" s="5"/>
      <c r="Z1392" s="1"/>
    </row>
    <row r="1393" customFormat="false" ht="15" hidden="false" customHeight="false" outlineLevel="0" collapsed="false">
      <c r="A1393" s="0" t="s">
        <v>126</v>
      </c>
      <c r="B1393" s="0" t="s">
        <v>127</v>
      </c>
      <c r="C1393" s="0" t="s">
        <v>106</v>
      </c>
      <c r="D1393" s="0" t="s">
        <v>156</v>
      </c>
      <c r="E1393" s="0" t="n">
        <v>29</v>
      </c>
      <c r="F1393" s="0" t="n">
        <v>1</v>
      </c>
      <c r="G1393" s="0" t="n">
        <v>12</v>
      </c>
      <c r="H1393" s="0" t="n">
        <v>76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3" t="n">
        <v>4</v>
      </c>
      <c r="S1393" s="1"/>
      <c r="T1393" s="1"/>
      <c r="U1393" s="1"/>
      <c r="V1393" s="1"/>
      <c r="W1393" s="1"/>
      <c r="X1393" s="1"/>
      <c r="Y1393" s="5"/>
      <c r="Z1393" s="1"/>
    </row>
    <row r="1394" customFormat="false" ht="15" hidden="false" customHeight="false" outlineLevel="0" collapsed="false">
      <c r="A1394" s="0" t="s">
        <v>26</v>
      </c>
      <c r="B1394" s="0" t="s">
        <v>27</v>
      </c>
      <c r="C1394" s="0" t="s">
        <v>28</v>
      </c>
      <c r="D1394" s="0" t="s">
        <v>157</v>
      </c>
      <c r="E1394" s="0" t="n">
        <v>30</v>
      </c>
      <c r="F1394" s="0" t="n">
        <v>1</v>
      </c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3" t="n">
        <v>3</v>
      </c>
      <c r="S1394" s="0" t="n">
        <v>2.8</v>
      </c>
      <c r="T1394" s="0" t="n">
        <f aca="false">(S1394/32)*5</f>
        <v>0.4375</v>
      </c>
      <c r="V1394" s="0" t="n">
        <v>7</v>
      </c>
      <c r="W1394" s="0" t="n">
        <v>4</v>
      </c>
      <c r="X1394" s="3" t="n">
        <f aca="false">LOOKUP(V1394,$AB$3:$AC$123)</f>
        <v>1.0259</v>
      </c>
      <c r="Y1394" s="2" t="n">
        <f aca="false">(V1394*((W1394+T1394)/1000)*X1394)/((((W1394+T1394)/1000)*X1394)-((W1394/1000)*0.9982))</f>
        <v>56.9428864989223</v>
      </c>
      <c r="Z1394" s="3" t="n">
        <f aca="false">(X1394*(V1394/100)*((W1394+T1394)/1000))*1000</f>
        <v>0.3186701875</v>
      </c>
    </row>
    <row r="1395" customFormat="false" ht="15" hidden="false" customHeight="false" outlineLevel="0" collapsed="false">
      <c r="A1395" s="0" t="s">
        <v>32</v>
      </c>
      <c r="B1395" s="0" t="s">
        <v>33</v>
      </c>
      <c r="C1395" s="0" t="s">
        <v>28</v>
      </c>
      <c r="D1395" s="0" t="s">
        <v>157</v>
      </c>
      <c r="E1395" s="0" t="n">
        <v>30</v>
      </c>
      <c r="F1395" s="0" t="n">
        <v>1</v>
      </c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3" t="n">
        <v>3</v>
      </c>
      <c r="S1395" s="0" t="n">
        <v>6.1</v>
      </c>
      <c r="T1395" s="0" t="n">
        <f aca="false">(S1395/32)*5</f>
        <v>0.953125</v>
      </c>
      <c r="V1395" s="0" t="n">
        <v>20</v>
      </c>
      <c r="W1395" s="0" t="n">
        <v>4</v>
      </c>
      <c r="X1395" s="3" t="n">
        <f aca="false">LOOKUP(V1395,$AB$3:$AC$123)</f>
        <v>1.081</v>
      </c>
      <c r="Y1395" s="2" t="n">
        <f aca="false">(V1395*((W1395+T1395)/1000)*X1395)/((((W1395+T1395)/1000)*X1395)-((W1395/1000)*0.9982))</f>
        <v>78.6517447078076</v>
      </c>
      <c r="Z1395" s="3" t="n">
        <f aca="false">(X1395*(V1395/100)*((W1395+T1395)/1000))*1000</f>
        <v>1.070865625</v>
      </c>
    </row>
    <row r="1396" customFormat="false" ht="15" hidden="false" customHeight="false" outlineLevel="0" collapsed="false">
      <c r="A1396" s="0" t="s">
        <v>34</v>
      </c>
      <c r="B1396" s="0" t="s">
        <v>35</v>
      </c>
      <c r="C1396" s="0" t="s">
        <v>28</v>
      </c>
      <c r="D1396" s="0" t="s">
        <v>157</v>
      </c>
      <c r="E1396" s="0" t="n">
        <v>30</v>
      </c>
      <c r="F1396" s="0" t="n">
        <v>0</v>
      </c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3" t="n">
        <v>5</v>
      </c>
      <c r="S1396" s="0" t="n">
        <v>9.2</v>
      </c>
      <c r="T1396" s="0" t="n">
        <f aca="false">(S1396/32)*5</f>
        <v>1.4375</v>
      </c>
      <c r="V1396" s="0" t="n">
        <v>18</v>
      </c>
      <c r="W1396" s="0" t="n">
        <v>4</v>
      </c>
      <c r="X1396" s="3" t="n">
        <f aca="false">LOOKUP(V1396,$AB$3:$AC$123)</f>
        <v>1.0722</v>
      </c>
      <c r="Y1396" s="2" t="n">
        <f aca="false">(V1396*((W1396+T1396)/1000)*X1396)/((((W1396+T1396)/1000)*X1396)-((W1396/1000)*0.9982))</f>
        <v>57.1176666689345</v>
      </c>
      <c r="Z1396" s="3" t="n">
        <f aca="false">(X1396*(V1396/100)*((W1396+T1396)/1000))*1000</f>
        <v>1.04941575</v>
      </c>
    </row>
    <row r="1397" customFormat="false" ht="15" hidden="false" customHeight="false" outlineLevel="0" collapsed="false">
      <c r="A1397" s="0" t="s">
        <v>36</v>
      </c>
      <c r="B1397" s="0" t="s">
        <v>37</v>
      </c>
      <c r="C1397" s="0" t="s">
        <v>28</v>
      </c>
      <c r="D1397" s="0" t="s">
        <v>157</v>
      </c>
      <c r="E1397" s="0" t="n">
        <v>30</v>
      </c>
      <c r="F1397" s="0" t="n">
        <v>1</v>
      </c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3" t="n">
        <v>2</v>
      </c>
      <c r="S1397" s="0" t="n">
        <v>4.1</v>
      </c>
      <c r="T1397" s="0" t="n">
        <f aca="false">(S1397/32)*5</f>
        <v>0.640625</v>
      </c>
      <c r="V1397" s="0" t="n">
        <v>11</v>
      </c>
      <c r="W1397" s="0" t="n">
        <v>4</v>
      </c>
      <c r="X1397" s="3" t="n">
        <f aca="false">LOOKUP(V1397,$AB$3:$AC$123)</f>
        <v>1.0423</v>
      </c>
      <c r="Y1397" s="2" t="n">
        <f aca="false">(V1397*((W1397+T1397)/1000)*X1397)/((((W1397+T1397)/1000)*X1397)-((W1397/1000)*0.9982))</f>
        <v>63.0312528343937</v>
      </c>
      <c r="Z1397" s="3" t="n">
        <f aca="false">(X1397*(V1397/100)*((W1397+T1397)/1000))*1000</f>
        <v>0.532061578125</v>
      </c>
    </row>
    <row r="1398" customFormat="false" ht="15" hidden="false" customHeight="false" outlineLevel="0" collapsed="false">
      <c r="A1398" s="0" t="s">
        <v>38</v>
      </c>
      <c r="B1398" s="0" t="s">
        <v>39</v>
      </c>
      <c r="C1398" s="0" t="s">
        <v>28</v>
      </c>
      <c r="D1398" s="0" t="s">
        <v>157</v>
      </c>
      <c r="E1398" s="0" t="n">
        <v>30</v>
      </c>
      <c r="F1398" s="0" t="n">
        <v>2</v>
      </c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3" t="n">
        <v>3</v>
      </c>
      <c r="S1398" s="0" t="n">
        <v>7.2</v>
      </c>
      <c r="T1398" s="0" t="n">
        <f aca="false">(S1398/32)*5</f>
        <v>1.125</v>
      </c>
      <c r="V1398" s="0" t="n">
        <v>9.5</v>
      </c>
      <c r="W1398" s="0" t="n">
        <v>4</v>
      </c>
      <c r="X1398" s="3" t="n">
        <f aca="false">LOOKUP(V1398,$AB$3:$AC$123)</f>
        <v>1.0361</v>
      </c>
      <c r="Y1398" s="2" t="n">
        <f aca="false">(V1398*((W1398+T1398)/1000)*X1398)/((((W1398+T1398)/1000)*X1398)-((W1398/1000)*0.9982))</f>
        <v>38.2968721827344</v>
      </c>
      <c r="Z1398" s="3" t="n">
        <f aca="false">(X1398*(V1398/100)*((W1398+T1398)/1000))*1000</f>
        <v>0.5044511875</v>
      </c>
    </row>
    <row r="1399" customFormat="false" ht="15" hidden="false" customHeight="false" outlineLevel="0" collapsed="false">
      <c r="A1399" s="0" t="s">
        <v>40</v>
      </c>
      <c r="B1399" s="0" t="s">
        <v>41</v>
      </c>
      <c r="C1399" s="0" t="s">
        <v>28</v>
      </c>
      <c r="D1399" s="0" t="s">
        <v>157</v>
      </c>
      <c r="E1399" s="0" t="n">
        <v>30</v>
      </c>
      <c r="F1399" s="0" t="n">
        <v>1</v>
      </c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3" t="n">
        <v>1</v>
      </c>
      <c r="S1399" s="0" t="n">
        <v>3.2</v>
      </c>
      <c r="T1399" s="0" t="n">
        <f aca="false">(S1399/32)*5</f>
        <v>0.5</v>
      </c>
      <c r="V1399" s="0" t="n">
        <v>7</v>
      </c>
      <c r="W1399" s="0" t="n">
        <v>4</v>
      </c>
      <c r="X1399" s="3" t="n">
        <f aca="false">LOOKUP(V1399,$AB$3:$AC$123)</f>
        <v>1.0259</v>
      </c>
      <c r="Y1399" s="2" t="n">
        <f aca="false">(V1399*((W1399+T1399)/1000)*X1399)/((((W1399+T1399)/1000)*X1399)-((W1399/1000)*0.9982))</f>
        <v>51.8089779559119</v>
      </c>
      <c r="Z1399" s="3" t="n">
        <f aca="false">(X1399*(V1399/100)*((W1399+T1399)/1000))*1000</f>
        <v>0.3231585</v>
      </c>
    </row>
    <row r="1400" customFormat="false" ht="15" hidden="false" customHeight="false" outlineLevel="0" collapsed="false">
      <c r="A1400" s="0" t="s">
        <v>42</v>
      </c>
      <c r="B1400" s="0" t="s">
        <v>43</v>
      </c>
      <c r="C1400" s="0" t="s">
        <v>28</v>
      </c>
      <c r="D1400" s="0" t="s">
        <v>157</v>
      </c>
      <c r="E1400" s="0" t="n">
        <v>30</v>
      </c>
      <c r="F1400" s="0" t="n">
        <v>0</v>
      </c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3" t="n">
        <v>2</v>
      </c>
      <c r="S1400" s="0" t="n">
        <v>6.3</v>
      </c>
      <c r="T1400" s="0" t="n">
        <f aca="false">(S1400/32)*5</f>
        <v>0.984375</v>
      </c>
      <c r="V1400" s="0" t="n">
        <v>16</v>
      </c>
      <c r="W1400" s="0" t="n">
        <v>4</v>
      </c>
      <c r="X1400" s="3" t="n">
        <f aca="false">LOOKUP(V1400,$AB$3:$AC$123)</f>
        <v>1.0635</v>
      </c>
      <c r="Y1400" s="2" t="n">
        <f aca="false">(V1400*((W1400+T1400)/1000)*X1400)/((((W1400+T1400)/1000)*X1400)-((W1400/1000)*0.9982))</f>
        <v>64.8384981359887</v>
      </c>
      <c r="Z1400" s="3" t="n">
        <f aca="false">(X1400*(V1400/100)*((W1400+T1400)/1000))*1000</f>
        <v>0.84814125</v>
      </c>
    </row>
    <row r="1401" customFormat="false" ht="15" hidden="false" customHeight="false" outlineLevel="0" collapsed="false">
      <c r="A1401" s="0" t="s">
        <v>44</v>
      </c>
      <c r="B1401" s="0" t="s">
        <v>45</v>
      </c>
      <c r="C1401" s="0" t="s">
        <v>28</v>
      </c>
      <c r="D1401" s="0" t="s">
        <v>157</v>
      </c>
      <c r="E1401" s="0" t="n">
        <v>30</v>
      </c>
      <c r="F1401" s="0" t="n">
        <v>0</v>
      </c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3" t="n">
        <v>1</v>
      </c>
      <c r="S1401" s="0" t="n">
        <v>1.4</v>
      </c>
      <c r="T1401" s="0" t="n">
        <f aca="false">(S1401/32)*5</f>
        <v>0.21875</v>
      </c>
      <c r="V1401" s="0" t="n">
        <v>6.5</v>
      </c>
      <c r="W1401" s="0" t="n">
        <v>2</v>
      </c>
      <c r="X1401" s="3" t="n">
        <f aca="false">LOOKUP(V1401,$AB$3:$AC$123)</f>
        <v>1.02385</v>
      </c>
      <c r="Y1401" s="2" t="n">
        <f aca="false">(V1401*((W1401+T1401)/1000)*X1401)/((((W1401+T1401)/1000)*X1401)-((W1401/1000)*0.9982))</f>
        <v>53.6418337864916</v>
      </c>
      <c r="Z1401" s="3" t="n">
        <f aca="false">(X1401*(V1401/100)*((W1401+T1401)/1000))*1000</f>
        <v>0.1476583671875</v>
      </c>
    </row>
    <row r="1402" customFormat="false" ht="15" hidden="false" customHeight="false" outlineLevel="0" collapsed="false">
      <c r="A1402" s="0" t="s">
        <v>46</v>
      </c>
      <c r="B1402" s="0" t="s">
        <v>47</v>
      </c>
      <c r="C1402" s="0" t="s">
        <v>28</v>
      </c>
      <c r="D1402" s="0" t="s">
        <v>157</v>
      </c>
      <c r="E1402" s="0" t="n">
        <v>30</v>
      </c>
      <c r="F1402" s="0" t="n">
        <v>1</v>
      </c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3" t="n">
        <v>1</v>
      </c>
      <c r="S1402" s="0" t="n">
        <v>3.4</v>
      </c>
      <c r="T1402" s="0" t="n">
        <f aca="false">(S1402/32)*5</f>
        <v>0.53125</v>
      </c>
      <c r="V1402" s="0" t="n">
        <v>7</v>
      </c>
      <c r="W1402" s="0" t="n">
        <v>3</v>
      </c>
      <c r="X1402" s="3" t="n">
        <f aca="false">LOOKUP(V1402,$AB$3:$AC$123)</f>
        <v>1.0259</v>
      </c>
      <c r="Y1402" s="2" t="n">
        <f aca="false">(V1402*((W1402+T1402)/1000)*X1402)/((((W1402+T1402)/1000)*X1402)-((W1402/1000)*0.9982))</f>
        <v>40.3734869026593</v>
      </c>
      <c r="Z1402" s="3" t="n">
        <f aca="false">(X1402*(V1402/100)*((W1402+T1402)/1000))*1000</f>
        <v>0.25358965625</v>
      </c>
    </row>
    <row r="1403" customFormat="false" ht="15" hidden="false" customHeight="false" outlineLevel="0" collapsed="false">
      <c r="A1403" s="0" t="s">
        <v>48</v>
      </c>
      <c r="B1403" s="0" t="s">
        <v>49</v>
      </c>
      <c r="C1403" s="0" t="s">
        <v>28</v>
      </c>
      <c r="D1403" s="0" t="s">
        <v>157</v>
      </c>
      <c r="E1403" s="0" t="n">
        <v>30</v>
      </c>
      <c r="F1403" s="0" t="n">
        <v>0</v>
      </c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3" t="n">
        <v>1</v>
      </c>
      <c r="S1403" s="0" t="n">
        <v>1.9</v>
      </c>
      <c r="T1403" s="0" t="n">
        <f aca="false">(S1403/32)*5</f>
        <v>0.296875</v>
      </c>
      <c r="V1403" s="0" t="n">
        <v>4</v>
      </c>
      <c r="W1403" s="0" t="n">
        <v>2</v>
      </c>
      <c r="X1403" s="3" t="n">
        <f aca="false">LOOKUP(V1403,$AB$3:$AC$123)</f>
        <v>1.0139</v>
      </c>
      <c r="Y1403" s="2" t="n">
        <f aca="false">(V1403*((W1403+T1403)/1000)*X1403)/((((W1403+T1403)/1000)*X1403)-((W1403/1000)*0.9982))</f>
        <v>28.0239544602021</v>
      </c>
      <c r="Z1403" s="3" t="n">
        <f aca="false">(X1403*(V1403/100)*((W1403+T1403)/1000))*1000</f>
        <v>0.0931520625</v>
      </c>
    </row>
    <row r="1404" customFormat="false" ht="15" hidden="false" customHeight="false" outlineLevel="0" collapsed="false">
      <c r="A1404" s="0" t="s">
        <v>50</v>
      </c>
      <c r="B1404" s="0" t="s">
        <v>51</v>
      </c>
      <c r="C1404" s="0" t="s">
        <v>28</v>
      </c>
      <c r="D1404" s="0" t="s">
        <v>157</v>
      </c>
      <c r="E1404" s="0" t="n">
        <v>30</v>
      </c>
      <c r="F1404" s="0" t="n">
        <v>2</v>
      </c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3" t="n">
        <v>0</v>
      </c>
      <c r="S1404" s="0" t="n">
        <v>0</v>
      </c>
      <c r="T1404" s="0" t="n">
        <f aca="false">(S1404/32)*5</f>
        <v>0</v>
      </c>
      <c r="V1404" s="0" t="n">
        <v>0</v>
      </c>
      <c r="W1404" s="0" t="n">
        <v>0</v>
      </c>
      <c r="X1404" s="3" t="n">
        <f aca="false">LOOKUP(V1404,$AB$3:$AC$123)</f>
        <v>0.9982</v>
      </c>
      <c r="Y1404" s="2" t="n">
        <v>0</v>
      </c>
      <c r="Z1404" s="3" t="n">
        <f aca="false">(X1404*(V1404/100)*((W1404+T1404)/1000))*1000</f>
        <v>0</v>
      </c>
    </row>
    <row r="1405" customFormat="false" ht="15" hidden="false" customHeight="false" outlineLevel="0" collapsed="false">
      <c r="A1405" s="0" t="s">
        <v>52</v>
      </c>
      <c r="B1405" s="0" t="s">
        <v>53</v>
      </c>
      <c r="C1405" s="0" t="s">
        <v>28</v>
      </c>
      <c r="D1405" s="0" t="s">
        <v>157</v>
      </c>
      <c r="E1405" s="0" t="n">
        <v>30</v>
      </c>
      <c r="F1405" s="0" t="n">
        <v>0</v>
      </c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3" t="n">
        <v>2</v>
      </c>
      <c r="S1405" s="0" t="n">
        <v>7</v>
      </c>
      <c r="T1405" s="0" t="n">
        <f aca="false">(S1405/32)*5</f>
        <v>1.09375</v>
      </c>
      <c r="V1405" s="0" t="n">
        <v>13.5</v>
      </c>
      <c r="W1405" s="0" t="n">
        <v>4</v>
      </c>
      <c r="X1405" s="3" t="n">
        <f aca="false">LOOKUP(V1405,$AB$3:$AC$123)</f>
        <v>1.0528</v>
      </c>
      <c r="Y1405" s="2" t="n">
        <f aca="false">(V1405*((W1405+T1405)/1000)*X1405)/((((W1405+T1405)/1000)*X1405)-((W1405/1000)*0.9982))</f>
        <v>52.8479816044967</v>
      </c>
      <c r="Z1405" s="3" t="n">
        <f aca="false">(X1405*(V1405/100)*((W1405+T1405)/1000))*1000</f>
        <v>0.7239645</v>
      </c>
    </row>
    <row r="1406" customFormat="false" ht="15" hidden="false" customHeight="false" outlineLevel="0" collapsed="false">
      <c r="A1406" s="0" t="s">
        <v>54</v>
      </c>
      <c r="B1406" s="0" t="s">
        <v>55</v>
      </c>
      <c r="C1406" s="0" t="s">
        <v>56</v>
      </c>
      <c r="D1406" s="0" t="s">
        <v>157</v>
      </c>
      <c r="E1406" s="0" t="n">
        <v>30</v>
      </c>
      <c r="F1406" s="0" t="n">
        <v>1</v>
      </c>
      <c r="G1406" s="1"/>
      <c r="H1406" s="1"/>
      <c r="I1406" s="0" t="n">
        <f aca="false">32*3</f>
        <v>96</v>
      </c>
      <c r="J1406" s="0" t="n">
        <f aca="false">(I1406/32)*5</f>
        <v>15</v>
      </c>
      <c r="L1406" s="0" t="n">
        <v>23</v>
      </c>
      <c r="M1406" s="0" t="n">
        <v>0</v>
      </c>
      <c r="N1406" s="0" t="n">
        <f aca="false">L1406</f>
        <v>23</v>
      </c>
      <c r="O1406" s="3" t="n">
        <f aca="false">LOOKUP(L1406,$AB$3:$AC$123)</f>
        <v>1.09445</v>
      </c>
      <c r="P1406" s="3" t="n">
        <f aca="false">(O1406*(N1406/100)*(J1406/1000))*1000</f>
        <v>3.7758525</v>
      </c>
      <c r="Q1406" s="3"/>
      <c r="R1406" s="1"/>
      <c r="S1406" s="1"/>
      <c r="T1406" s="1"/>
      <c r="U1406" s="1"/>
      <c r="V1406" s="1"/>
      <c r="W1406" s="1"/>
      <c r="X1406" s="1"/>
      <c r="Y1406" s="5"/>
      <c r="Z1406" s="1"/>
    </row>
    <row r="1407" customFormat="false" ht="15" hidden="false" customHeight="false" outlineLevel="0" collapsed="false">
      <c r="A1407" s="0" t="s">
        <v>57</v>
      </c>
      <c r="B1407" s="0" t="s">
        <v>58</v>
      </c>
      <c r="C1407" s="0" t="s">
        <v>56</v>
      </c>
      <c r="D1407" s="0" t="s">
        <v>157</v>
      </c>
      <c r="E1407" s="0" t="n">
        <v>30</v>
      </c>
      <c r="F1407" s="0" t="n">
        <v>2</v>
      </c>
      <c r="G1407" s="1"/>
      <c r="H1407" s="1"/>
      <c r="I1407" s="0" t="n">
        <f aca="false">32*3+10</f>
        <v>106</v>
      </c>
      <c r="J1407" s="0" t="n">
        <f aca="false">(I1407/32)*5</f>
        <v>16.5625</v>
      </c>
      <c r="L1407" s="0" t="n">
        <v>22</v>
      </c>
      <c r="M1407" s="0" t="n">
        <v>0</v>
      </c>
      <c r="N1407" s="0" t="n">
        <f aca="false">L1407</f>
        <v>22</v>
      </c>
      <c r="O1407" s="3" t="n">
        <f aca="false">LOOKUP(L1407,$AB$3:$AC$123)</f>
        <v>1.0899</v>
      </c>
      <c r="P1407" s="3" t="n">
        <f aca="false">(O1407*(N1407/100)*(J1407/1000))*1000</f>
        <v>3.971323125</v>
      </c>
      <c r="Q1407" s="3"/>
      <c r="R1407" s="1"/>
      <c r="S1407" s="1"/>
      <c r="T1407" s="1"/>
      <c r="U1407" s="1"/>
      <c r="V1407" s="1"/>
      <c r="W1407" s="1"/>
      <c r="X1407" s="1"/>
      <c r="Y1407" s="5"/>
      <c r="Z1407" s="1"/>
    </row>
    <row r="1408" customFormat="false" ht="15" hidden="false" customHeight="false" outlineLevel="0" collapsed="false">
      <c r="A1408" s="0" t="s">
        <v>59</v>
      </c>
      <c r="B1408" s="0" t="s">
        <v>60</v>
      </c>
      <c r="C1408" s="0" t="s">
        <v>56</v>
      </c>
      <c r="D1408" s="0" t="s">
        <v>157</v>
      </c>
      <c r="E1408" s="0" t="n">
        <v>30</v>
      </c>
      <c r="F1408" s="0" t="n">
        <v>1</v>
      </c>
      <c r="G1408" s="1"/>
      <c r="H1408" s="1"/>
      <c r="I1408" s="0" t="n">
        <f aca="false">64-3.9</f>
        <v>60.1</v>
      </c>
      <c r="J1408" s="0" t="n">
        <f aca="false">(I1408/32)*5</f>
        <v>9.390625</v>
      </c>
      <c r="L1408" s="0" t="n">
        <v>23.5</v>
      </c>
      <c r="M1408" s="0" t="n">
        <v>0</v>
      </c>
      <c r="N1408" s="0" t="n">
        <f aca="false">L1408</f>
        <v>23.5</v>
      </c>
      <c r="O1408" s="3" t="n">
        <f aca="false">LOOKUP(L1408,$AB$3:$AC$123)</f>
        <v>1.096725</v>
      </c>
      <c r="P1408" s="3" t="n">
        <f aca="false">(O1408*(N1408/100)*(J1408/1000))*1000</f>
        <v>2.42024930273437</v>
      </c>
      <c r="Q1408" s="3"/>
      <c r="R1408" s="1"/>
      <c r="S1408" s="1"/>
      <c r="T1408" s="1"/>
      <c r="U1408" s="1"/>
      <c r="V1408" s="1"/>
      <c r="W1408" s="1"/>
      <c r="X1408" s="1"/>
      <c r="Y1408" s="5"/>
      <c r="Z1408" s="1"/>
    </row>
    <row r="1409" customFormat="false" ht="15" hidden="false" customHeight="false" outlineLevel="0" collapsed="false">
      <c r="A1409" s="0" t="s">
        <v>61</v>
      </c>
      <c r="B1409" s="0" t="s">
        <v>62</v>
      </c>
      <c r="C1409" s="0" t="s">
        <v>56</v>
      </c>
      <c r="D1409" s="0" t="s">
        <v>157</v>
      </c>
      <c r="E1409" s="0" t="n">
        <v>30</v>
      </c>
      <c r="F1409" s="0" t="n">
        <v>2</v>
      </c>
      <c r="G1409" s="1"/>
      <c r="H1409" s="1"/>
      <c r="I1409" s="0" t="n">
        <f aca="false">64+22</f>
        <v>86</v>
      </c>
      <c r="J1409" s="0" t="n">
        <f aca="false">(I1409/32)*5</f>
        <v>13.4375</v>
      </c>
      <c r="L1409" s="0" t="n">
        <v>22</v>
      </c>
      <c r="M1409" s="0" t="n">
        <v>0</v>
      </c>
      <c r="N1409" s="0" t="n">
        <f aca="false">L1409</f>
        <v>22</v>
      </c>
      <c r="O1409" s="3" t="n">
        <f aca="false">LOOKUP(L1409,$AB$3:$AC$123)</f>
        <v>1.0899</v>
      </c>
      <c r="P1409" s="3" t="n">
        <f aca="false">(O1409*(N1409/100)*(J1409/1000))*1000</f>
        <v>3.222016875</v>
      </c>
      <c r="Q1409" s="3"/>
      <c r="R1409" s="1"/>
      <c r="S1409" s="1"/>
      <c r="T1409" s="1"/>
      <c r="U1409" s="1"/>
      <c r="V1409" s="1"/>
      <c r="W1409" s="1"/>
      <c r="X1409" s="1"/>
      <c r="Y1409" s="5"/>
      <c r="Z1409" s="1"/>
    </row>
    <row r="1410" customFormat="false" ht="15" hidden="false" customHeight="false" outlineLevel="0" collapsed="false">
      <c r="A1410" s="0" t="s">
        <v>63</v>
      </c>
      <c r="B1410" s="0" t="s">
        <v>64</v>
      </c>
      <c r="C1410" s="0" t="s">
        <v>56</v>
      </c>
      <c r="D1410" s="0" t="s">
        <v>157</v>
      </c>
      <c r="E1410" s="0" t="n">
        <v>30</v>
      </c>
      <c r="F1410" s="0" t="n">
        <v>0</v>
      </c>
      <c r="G1410" s="1"/>
      <c r="H1410" s="1"/>
      <c r="I1410" s="0" t="n">
        <v>0</v>
      </c>
      <c r="J1410" s="0" t="n">
        <f aca="false">(I1410/32)*5</f>
        <v>0</v>
      </c>
      <c r="L1410" s="0" t="n">
        <v>0</v>
      </c>
      <c r="M1410" s="0" t="n">
        <v>0</v>
      </c>
      <c r="N1410" s="0" t="n">
        <f aca="false">L1410</f>
        <v>0</v>
      </c>
      <c r="O1410" s="3" t="n">
        <v>0</v>
      </c>
      <c r="P1410" s="3" t="n">
        <f aca="false">(O1410*(N1410/100)*(J1410/1000))*1000</f>
        <v>0</v>
      </c>
      <c r="Q1410" s="3"/>
      <c r="R1410" s="1"/>
      <c r="S1410" s="1"/>
      <c r="T1410" s="1"/>
      <c r="U1410" s="1"/>
      <c r="V1410" s="1"/>
      <c r="W1410" s="1"/>
      <c r="X1410" s="1"/>
      <c r="Y1410" s="5"/>
      <c r="Z1410" s="1"/>
    </row>
    <row r="1411" customFormat="false" ht="15" hidden="false" customHeight="false" outlineLevel="0" collapsed="false">
      <c r="A1411" s="0" t="s">
        <v>65</v>
      </c>
      <c r="B1411" s="0" t="s">
        <v>66</v>
      </c>
      <c r="C1411" s="0" t="s">
        <v>56</v>
      </c>
      <c r="D1411" s="0" t="s">
        <v>157</v>
      </c>
      <c r="E1411" s="0" t="n">
        <v>30</v>
      </c>
      <c r="F1411" s="0" t="n">
        <v>2</v>
      </c>
      <c r="G1411" s="1"/>
      <c r="H1411" s="1"/>
      <c r="I1411" s="0" t="n">
        <v>26.5</v>
      </c>
      <c r="J1411" s="0" t="n">
        <f aca="false">(I1411/32)*5</f>
        <v>4.140625</v>
      </c>
      <c r="L1411" s="0" t="n">
        <v>21.5</v>
      </c>
      <c r="M1411" s="0" t="n">
        <v>0</v>
      </c>
      <c r="N1411" s="0" t="n">
        <f aca="false">L1411</f>
        <v>21.5</v>
      </c>
      <c r="O1411" s="3" t="n">
        <f aca="false">LOOKUP(L1411,$AB$3:$AC$123)</f>
        <v>1.087675</v>
      </c>
      <c r="P1411" s="3" t="n">
        <f aca="false">(O1411*(N1411/100)*(J1411/1000))*1000</f>
        <v>0.968285673828125</v>
      </c>
      <c r="Q1411" s="3"/>
      <c r="R1411" s="1"/>
      <c r="S1411" s="1"/>
      <c r="T1411" s="1"/>
      <c r="U1411" s="1"/>
      <c r="V1411" s="1"/>
      <c r="W1411" s="1"/>
      <c r="X1411" s="1"/>
      <c r="Y1411" s="5"/>
      <c r="Z1411" s="1"/>
    </row>
    <row r="1412" customFormat="false" ht="15" hidden="false" customHeight="false" outlineLevel="0" collapsed="false">
      <c r="A1412" s="0" t="s">
        <v>67</v>
      </c>
      <c r="B1412" s="0" t="s">
        <v>68</v>
      </c>
      <c r="C1412" s="0" t="s">
        <v>56</v>
      </c>
      <c r="D1412" s="0" t="s">
        <v>157</v>
      </c>
      <c r="E1412" s="0" t="n">
        <v>30</v>
      </c>
      <c r="F1412" s="0" t="n">
        <v>0</v>
      </c>
      <c r="G1412" s="1"/>
      <c r="H1412" s="1"/>
      <c r="I1412" s="0" t="n">
        <v>0</v>
      </c>
      <c r="J1412" s="0" t="n">
        <f aca="false">(I1412/32)*5</f>
        <v>0</v>
      </c>
      <c r="L1412" s="0" t="n">
        <v>0</v>
      </c>
      <c r="M1412" s="0" t="n">
        <v>0</v>
      </c>
      <c r="N1412" s="0" t="n">
        <f aca="false">L1412</f>
        <v>0</v>
      </c>
      <c r="O1412" s="3" t="n">
        <v>0</v>
      </c>
      <c r="P1412" s="3" t="n">
        <f aca="false">(O1412*(N1412/100)*(J1412/1000))*1000</f>
        <v>0</v>
      </c>
      <c r="Q1412" s="3"/>
      <c r="R1412" s="1"/>
      <c r="S1412" s="1"/>
      <c r="T1412" s="1"/>
      <c r="U1412" s="1"/>
      <c r="V1412" s="1"/>
      <c r="W1412" s="1"/>
      <c r="X1412" s="1"/>
      <c r="Y1412" s="5"/>
      <c r="Z1412" s="1"/>
    </row>
    <row r="1413" customFormat="false" ht="15" hidden="false" customHeight="false" outlineLevel="0" collapsed="false">
      <c r="A1413" s="0" t="s">
        <v>69</v>
      </c>
      <c r="B1413" s="0" t="s">
        <v>70</v>
      </c>
      <c r="C1413" s="0" t="s">
        <v>56</v>
      </c>
      <c r="D1413" s="0" t="s">
        <v>157</v>
      </c>
      <c r="E1413" s="0" t="n">
        <v>30</v>
      </c>
      <c r="F1413" s="0" t="n">
        <v>1</v>
      </c>
      <c r="G1413" s="1"/>
      <c r="H1413" s="1"/>
      <c r="I1413" s="0" t="n">
        <v>16.3</v>
      </c>
      <c r="J1413" s="0" t="n">
        <f aca="false">(I1413/32)*5</f>
        <v>2.546875</v>
      </c>
      <c r="L1413" s="0" t="n">
        <v>21.5</v>
      </c>
      <c r="M1413" s="0" t="n">
        <v>0</v>
      </c>
      <c r="N1413" s="0" t="n">
        <f aca="false">L1413</f>
        <v>21.5</v>
      </c>
      <c r="O1413" s="3" t="n">
        <f aca="false">LOOKUP(L1413,$AB$3:$AC$123)</f>
        <v>1.087675</v>
      </c>
      <c r="P1413" s="3" t="n">
        <f aca="false">(O1413*(N1413/100)*(J1413/1000))*1000</f>
        <v>0.595587037109375</v>
      </c>
      <c r="Q1413" s="3"/>
      <c r="R1413" s="1"/>
      <c r="S1413" s="1"/>
      <c r="T1413" s="1"/>
      <c r="U1413" s="1"/>
      <c r="V1413" s="1"/>
      <c r="W1413" s="1"/>
      <c r="X1413" s="1"/>
      <c r="Y1413" s="5"/>
      <c r="Z1413" s="1"/>
    </row>
    <row r="1414" customFormat="false" ht="15" hidden="false" customHeight="false" outlineLevel="0" collapsed="false">
      <c r="A1414" s="0" t="s">
        <v>71</v>
      </c>
      <c r="B1414" s="0" t="s">
        <v>72</v>
      </c>
      <c r="C1414" s="0" t="s">
        <v>56</v>
      </c>
      <c r="D1414" s="0" t="s">
        <v>157</v>
      </c>
      <c r="E1414" s="0" t="n">
        <v>30</v>
      </c>
      <c r="F1414" s="0" t="n">
        <v>1</v>
      </c>
      <c r="G1414" s="1"/>
      <c r="H1414" s="1"/>
      <c r="I1414" s="0" t="n">
        <v>26.4</v>
      </c>
      <c r="J1414" s="0" t="n">
        <f aca="false">(I1414/32)*5</f>
        <v>4.125</v>
      </c>
      <c r="L1414" s="0" t="n">
        <v>23</v>
      </c>
      <c r="M1414" s="0" t="n">
        <v>0</v>
      </c>
      <c r="N1414" s="0" t="n">
        <f aca="false">L1414</f>
        <v>23</v>
      </c>
      <c r="O1414" s="3" t="n">
        <f aca="false">LOOKUP(L1414,$AB$3:$AC$123)</f>
        <v>1.09445</v>
      </c>
      <c r="P1414" s="3" t="n">
        <f aca="false">(O1414*(N1414/100)*(J1414/1000))*1000</f>
        <v>1.0383594375</v>
      </c>
      <c r="Q1414" s="3"/>
      <c r="R1414" s="1"/>
      <c r="S1414" s="1"/>
      <c r="T1414" s="1"/>
      <c r="U1414" s="1"/>
      <c r="V1414" s="1"/>
      <c r="W1414" s="1"/>
      <c r="X1414" s="1"/>
      <c r="Y1414" s="5"/>
      <c r="Z1414" s="1"/>
    </row>
    <row r="1415" customFormat="false" ht="15" hidden="false" customHeight="false" outlineLevel="0" collapsed="false">
      <c r="A1415" s="0" t="s">
        <v>73</v>
      </c>
      <c r="B1415" s="0" t="s">
        <v>74</v>
      </c>
      <c r="C1415" s="0" t="s">
        <v>56</v>
      </c>
      <c r="D1415" s="0" t="s">
        <v>157</v>
      </c>
      <c r="E1415" s="0" t="n">
        <v>30</v>
      </c>
      <c r="F1415" s="0" t="n">
        <v>0</v>
      </c>
      <c r="G1415" s="1"/>
      <c r="H1415" s="1"/>
      <c r="I1415" s="0" t="n">
        <v>0</v>
      </c>
      <c r="J1415" s="0" t="n">
        <f aca="false">(I1415/32)*5</f>
        <v>0</v>
      </c>
      <c r="L1415" s="0" t="n">
        <v>0</v>
      </c>
      <c r="M1415" s="0" t="n">
        <v>0</v>
      </c>
      <c r="N1415" s="0" t="n">
        <f aca="false">L1415</f>
        <v>0</v>
      </c>
      <c r="O1415" s="3" t="n">
        <v>0</v>
      </c>
      <c r="P1415" s="3" t="n">
        <f aca="false">(O1415*(N1415/100)*(J1415/1000))*1000</f>
        <v>0</v>
      </c>
      <c r="Q1415" s="3"/>
      <c r="R1415" s="1"/>
      <c r="S1415" s="1"/>
      <c r="T1415" s="1"/>
      <c r="U1415" s="1"/>
      <c r="V1415" s="1"/>
      <c r="W1415" s="1"/>
      <c r="X1415" s="1"/>
      <c r="Y1415" s="5"/>
      <c r="Z1415" s="1"/>
    </row>
    <row r="1416" customFormat="false" ht="15" hidden="false" customHeight="false" outlineLevel="0" collapsed="false">
      <c r="A1416" s="0" t="s">
        <v>75</v>
      </c>
      <c r="B1416" s="0" t="s">
        <v>76</v>
      </c>
      <c r="C1416" s="0" t="s">
        <v>56</v>
      </c>
      <c r="D1416" s="0" t="s">
        <v>157</v>
      </c>
      <c r="E1416" s="0" t="n">
        <v>30</v>
      </c>
      <c r="F1416" s="0" t="n">
        <v>0</v>
      </c>
      <c r="G1416" s="1"/>
      <c r="H1416" s="1"/>
      <c r="I1416" s="0" t="n">
        <v>0</v>
      </c>
      <c r="J1416" s="0" t="n">
        <f aca="false">(I1416/32)*5</f>
        <v>0</v>
      </c>
      <c r="L1416" s="0" t="n">
        <v>0</v>
      </c>
      <c r="M1416" s="0" t="n">
        <v>0</v>
      </c>
      <c r="N1416" s="0" t="n">
        <f aca="false">L1416</f>
        <v>0</v>
      </c>
      <c r="O1416" s="3" t="n">
        <v>0</v>
      </c>
      <c r="P1416" s="3" t="n">
        <f aca="false">(O1416*(N1416/100)*(J1416/1000))*1000</f>
        <v>0</v>
      </c>
      <c r="Q1416" s="3"/>
      <c r="R1416" s="1"/>
      <c r="S1416" s="1"/>
      <c r="T1416" s="1"/>
      <c r="U1416" s="1"/>
      <c r="V1416" s="1"/>
      <c r="W1416" s="1"/>
      <c r="X1416" s="1"/>
      <c r="Y1416" s="5"/>
      <c r="Z1416" s="1"/>
    </row>
    <row r="1417" customFormat="false" ht="15" hidden="false" customHeight="false" outlineLevel="0" collapsed="false">
      <c r="A1417" s="0" t="s">
        <v>77</v>
      </c>
      <c r="B1417" s="0" t="s">
        <v>78</v>
      </c>
      <c r="C1417" s="0" t="s">
        <v>56</v>
      </c>
      <c r="D1417" s="0" t="s">
        <v>157</v>
      </c>
      <c r="E1417" s="0" t="n">
        <v>30</v>
      </c>
      <c r="F1417" s="0" t="n">
        <v>1</v>
      </c>
      <c r="G1417" s="1"/>
      <c r="H1417" s="1"/>
      <c r="I1417" s="0" t="n">
        <v>24.4</v>
      </c>
      <c r="J1417" s="0" t="n">
        <f aca="false">(I1417/32)*5</f>
        <v>3.8125</v>
      </c>
      <c r="L1417" s="0" t="n">
        <v>17</v>
      </c>
      <c r="M1417" s="0" t="n">
        <v>0</v>
      </c>
      <c r="N1417" s="0" t="n">
        <f aca="false">L1417</f>
        <v>17</v>
      </c>
      <c r="O1417" s="3" t="n">
        <f aca="false">LOOKUP(L1417,$AB$3:$AC$123)</f>
        <v>1.0678</v>
      </c>
      <c r="P1417" s="3" t="n">
        <f aca="false">(O1417*(N1417/100)*(J1417/1000))*1000</f>
        <v>0.692067875</v>
      </c>
      <c r="Q1417" s="3"/>
      <c r="R1417" s="1"/>
      <c r="S1417" s="1"/>
      <c r="T1417" s="1"/>
      <c r="U1417" s="1"/>
      <c r="V1417" s="1"/>
      <c r="W1417" s="1"/>
      <c r="X1417" s="1"/>
      <c r="Y1417" s="5"/>
      <c r="Z1417" s="1"/>
    </row>
    <row r="1418" customFormat="false" ht="15" hidden="false" customHeight="false" outlineLevel="0" collapsed="false">
      <c r="A1418" s="0" t="s">
        <v>79</v>
      </c>
      <c r="B1418" s="0" t="s">
        <v>80</v>
      </c>
      <c r="C1418" s="0" t="s">
        <v>81</v>
      </c>
      <c r="D1418" s="0" t="s">
        <v>157</v>
      </c>
      <c r="E1418" s="0" t="n">
        <v>30</v>
      </c>
      <c r="F1418" s="0" t="n">
        <v>1</v>
      </c>
      <c r="G1418" s="1"/>
      <c r="H1418" s="1"/>
      <c r="I1418" s="0" t="n">
        <f aca="false">64+1.3</f>
        <v>65.3</v>
      </c>
      <c r="J1418" s="0" t="n">
        <f aca="false">(I1418/32)*5</f>
        <v>10.203125</v>
      </c>
      <c r="L1418" s="0" t="n">
        <v>22</v>
      </c>
      <c r="M1418" s="0" t="n">
        <v>0</v>
      </c>
      <c r="N1418" s="0" t="n">
        <f aca="false">L1418</f>
        <v>22</v>
      </c>
      <c r="O1418" s="3" t="n">
        <f aca="false">LOOKUP(L1418,$AB$3:$AC$123)</f>
        <v>1.0899</v>
      </c>
      <c r="P1418" s="3" t="n">
        <f aca="false">(O1418*(N1418/100)*(J1418/1000))*1000</f>
        <v>2.44648490625</v>
      </c>
      <c r="Q1418" s="3"/>
      <c r="R1418" s="0" t="n">
        <v>2</v>
      </c>
      <c r="S1418" s="0" t="n">
        <v>6.2</v>
      </c>
      <c r="T1418" s="0" t="n">
        <f aca="false">(S1418/32)*5</f>
        <v>0.96875</v>
      </c>
      <c r="V1418" s="0" t="n">
        <v>6.2</v>
      </c>
      <c r="W1418" s="0" t="n">
        <v>4</v>
      </c>
      <c r="X1418" s="3" t="n">
        <f aca="false">LOOKUP(V1418,$AB$3:$AC$123)</f>
        <v>1.0218</v>
      </c>
      <c r="Y1418" s="2" t="n">
        <f aca="false">(V1418*((W1418+T1418)/1000)*X1418)/((((W1418+T1418)/1000)*X1418)-((W1418/1000)*0.9982))</f>
        <v>29.0313875134739</v>
      </c>
      <c r="Z1418" s="3" t="n">
        <f aca="false">(X1418*(V1418/100)*((W1418+T1418)/1000))*1000</f>
        <v>0.3147782625</v>
      </c>
    </row>
    <row r="1419" customFormat="false" ht="15" hidden="false" customHeight="false" outlineLevel="0" collapsed="false">
      <c r="A1419" s="0" t="s">
        <v>82</v>
      </c>
      <c r="B1419" s="0" t="s">
        <v>83</v>
      </c>
      <c r="C1419" s="0" t="s">
        <v>81</v>
      </c>
      <c r="D1419" s="0" t="s">
        <v>157</v>
      </c>
      <c r="E1419" s="0" t="n">
        <v>30</v>
      </c>
      <c r="F1419" s="0" t="n">
        <v>1</v>
      </c>
      <c r="G1419" s="1"/>
      <c r="H1419" s="1"/>
      <c r="I1419" s="0" t="n">
        <f aca="false">32+14.8</f>
        <v>46.8</v>
      </c>
      <c r="J1419" s="0" t="n">
        <f aca="false">(I1419/32)*5</f>
        <v>7.3125</v>
      </c>
      <c r="L1419" s="0" t="n">
        <v>26</v>
      </c>
      <c r="M1419" s="0" t="n">
        <v>0</v>
      </c>
      <c r="N1419" s="0" t="n">
        <f aca="false">L1419</f>
        <v>26</v>
      </c>
      <c r="O1419" s="3" t="n">
        <f aca="false">LOOKUP(L1419,$AB$3:$AC$123)</f>
        <v>1.1081</v>
      </c>
      <c r="P1419" s="3" t="n">
        <f aca="false">(O1419*(N1419/100)*(J1419/1000))*1000</f>
        <v>2.106775125</v>
      </c>
      <c r="Q1419" s="3"/>
      <c r="R1419" s="0" t="n">
        <v>1</v>
      </c>
      <c r="S1419" s="0" t="n">
        <v>3.2</v>
      </c>
      <c r="T1419" s="0" t="n">
        <f aca="false">(S1419/32)*5</f>
        <v>0.5</v>
      </c>
      <c r="V1419" s="0" t="n">
        <v>3.2</v>
      </c>
      <c r="W1419" s="0" t="n">
        <v>4</v>
      </c>
      <c r="X1419" s="3" t="n">
        <f aca="false">LOOKUP(V1419,$AB$3:$AC$123)</f>
        <v>1.0099</v>
      </c>
      <c r="Y1419" s="2" t="n">
        <f aca="false">(V1419*((W1419+T1419)/1000)*X1419)/((((W1419+T1419)/1000)*X1419)-((W1419/1000)*0.9982))</f>
        <v>26.3571545083825</v>
      </c>
      <c r="Z1419" s="3" t="n">
        <f aca="false">(X1419*(V1419/100)*((W1419+T1419)/1000))*1000</f>
        <v>0.1454256</v>
      </c>
    </row>
    <row r="1420" customFormat="false" ht="15" hidden="false" customHeight="false" outlineLevel="0" collapsed="false">
      <c r="A1420" s="0" t="s">
        <v>84</v>
      </c>
      <c r="B1420" s="0" t="s">
        <v>85</v>
      </c>
      <c r="C1420" s="0" t="s">
        <v>81</v>
      </c>
      <c r="D1420" s="0" t="s">
        <v>157</v>
      </c>
      <c r="E1420" s="0" t="n">
        <v>30</v>
      </c>
      <c r="F1420" s="0" t="n">
        <v>1</v>
      </c>
      <c r="G1420" s="1"/>
      <c r="H1420" s="1"/>
      <c r="I1420" s="0" t="n">
        <v>64</v>
      </c>
      <c r="J1420" s="0" t="n">
        <f aca="false">(I1420/32)*5</f>
        <v>10</v>
      </c>
      <c r="L1420" s="0" t="n">
        <v>22.5</v>
      </c>
      <c r="M1420" s="0" t="n">
        <v>0</v>
      </c>
      <c r="N1420" s="0" t="n">
        <f aca="false">L1420</f>
        <v>22.5</v>
      </c>
      <c r="O1420" s="3" t="n">
        <f aca="false">LOOKUP(L1420,$AB$3:$AC$123)</f>
        <v>1.092175</v>
      </c>
      <c r="P1420" s="3" t="n">
        <f aca="false">(O1420*(N1420/100)*(J1420/1000))*1000</f>
        <v>2.45739375</v>
      </c>
      <c r="Q1420" s="3"/>
      <c r="R1420" s="0" t="n">
        <v>4</v>
      </c>
      <c r="S1420" s="0" t="n">
        <v>26.6</v>
      </c>
      <c r="T1420" s="0" t="n">
        <f aca="false">(S1420/32)*5</f>
        <v>4.15625</v>
      </c>
      <c r="V1420" s="0" t="n">
        <v>26.6</v>
      </c>
      <c r="W1420" s="0" t="n">
        <v>4</v>
      </c>
      <c r="X1420" s="3" t="n">
        <f aca="false">LOOKUP(V1420,$AB$3:$AC$123)</f>
        <v>1.11045</v>
      </c>
      <c r="Y1420" s="2" t="n">
        <f aca="false">(V1420*((W1420+T1420)/1000)*X1420)/((((W1420+T1420)/1000)*X1420)-((W1420/1000)*0.9982))</f>
        <v>47.5719637771327</v>
      </c>
      <c r="Z1420" s="3" t="n">
        <f aca="false">(X1420*(V1420/100)*((W1420+T1420)/1000))*1000</f>
        <v>2.409190678125</v>
      </c>
    </row>
    <row r="1421" customFormat="false" ht="15" hidden="false" customHeight="false" outlineLevel="0" collapsed="false">
      <c r="A1421" s="0" t="s">
        <v>86</v>
      </c>
      <c r="B1421" s="0" t="s">
        <v>87</v>
      </c>
      <c r="C1421" s="0" t="s">
        <v>81</v>
      </c>
      <c r="D1421" s="0" t="s">
        <v>157</v>
      </c>
      <c r="E1421" s="0" t="n">
        <v>30</v>
      </c>
      <c r="F1421" s="0" t="n">
        <v>3</v>
      </c>
      <c r="G1421" s="1"/>
      <c r="H1421" s="1"/>
      <c r="I1421" s="0" t="n">
        <f aca="false">32*4+2.4</f>
        <v>130.4</v>
      </c>
      <c r="J1421" s="0" t="n">
        <f aca="false">(I1421/32)*5</f>
        <v>20.375</v>
      </c>
      <c r="L1421" s="0" t="n">
        <v>21.5</v>
      </c>
      <c r="M1421" s="0" t="n">
        <v>0</v>
      </c>
      <c r="N1421" s="0" t="n">
        <f aca="false">L1421</f>
        <v>21.5</v>
      </c>
      <c r="O1421" s="3" t="n">
        <f aca="false">LOOKUP(L1421,$AB$3:$AC$123)</f>
        <v>1.087675</v>
      </c>
      <c r="P1421" s="3" t="n">
        <f aca="false">(O1421*(N1421/100)*(J1421/1000))*1000</f>
        <v>4.764696296875</v>
      </c>
      <c r="Q1421" s="3"/>
      <c r="R1421" s="0" t="n">
        <v>3</v>
      </c>
      <c r="S1421" s="0" t="n">
        <v>7</v>
      </c>
      <c r="T1421" s="0" t="n">
        <f aca="false">(S1421/32)*5</f>
        <v>1.09375</v>
      </c>
      <c r="V1421" s="0" t="n">
        <v>7</v>
      </c>
      <c r="W1421" s="0" t="n">
        <v>4</v>
      </c>
      <c r="X1421" s="3" t="n">
        <f aca="false">LOOKUP(V1421,$AB$3:$AC$123)</f>
        <v>1.0259</v>
      </c>
      <c r="Y1421" s="2" t="n">
        <f aca="false">(V1421*((W1421+T1421)/1000)*X1421)/((((W1421+T1421)/1000)*X1421)-((W1421/1000)*0.9982))</f>
        <v>29.6702051348344</v>
      </c>
      <c r="Z1421" s="3" t="n">
        <f aca="false">(X1421*(V1421/100)*((W1421+T1421)/1000))*1000</f>
        <v>0.36579746875</v>
      </c>
    </row>
    <row r="1422" customFormat="false" ht="15" hidden="false" customHeight="false" outlineLevel="0" collapsed="false">
      <c r="A1422" s="0" t="s">
        <v>88</v>
      </c>
      <c r="B1422" s="0" t="s">
        <v>89</v>
      </c>
      <c r="C1422" s="0" t="s">
        <v>81</v>
      </c>
      <c r="D1422" s="0" t="s">
        <v>157</v>
      </c>
      <c r="E1422" s="0" t="n">
        <v>30</v>
      </c>
      <c r="F1422" s="0" t="n">
        <v>1</v>
      </c>
      <c r="G1422" s="1"/>
      <c r="H1422" s="1"/>
      <c r="I1422" s="0" t="n">
        <f aca="false">32+8.6</f>
        <v>40.6</v>
      </c>
      <c r="J1422" s="0" t="n">
        <f aca="false">(I1422/32)*5</f>
        <v>6.34375</v>
      </c>
      <c r="L1422" s="0" t="n">
        <v>23</v>
      </c>
      <c r="M1422" s="0" t="n">
        <v>0</v>
      </c>
      <c r="N1422" s="0" t="n">
        <f aca="false">L1422</f>
        <v>23</v>
      </c>
      <c r="O1422" s="3" t="n">
        <f aca="false">LOOKUP(L1422,$AB$3:$AC$123)</f>
        <v>1.09445</v>
      </c>
      <c r="P1422" s="3" t="n">
        <f aca="false">(O1422*(N1422/100)*(J1422/1000))*1000</f>
        <v>1.596870953125</v>
      </c>
      <c r="Q1422" s="3"/>
      <c r="R1422" s="0" t="n">
        <v>3</v>
      </c>
      <c r="S1422" s="0" t="n">
        <v>18.5</v>
      </c>
      <c r="T1422" s="0" t="n">
        <f aca="false">(S1422/32)*5</f>
        <v>2.890625</v>
      </c>
      <c r="V1422" s="0" t="n">
        <v>18.5</v>
      </c>
      <c r="W1422" s="0" t="n">
        <v>4</v>
      </c>
      <c r="X1422" s="3" t="n">
        <f aca="false">LOOKUP(V1422,$AB$3:$AC$123)</f>
        <v>1.07435</v>
      </c>
      <c r="Y1422" s="2" t="n">
        <f aca="false">(V1422*((W1422+T1422)/1000)*X1422)/((((W1422+T1422)/1000)*X1422)-((W1422/1000)*0.9982))</f>
        <v>40.1609100195808</v>
      </c>
      <c r="Z1422" s="3" t="n">
        <f aca="false">(X1422*(V1422/100)*((W1422+T1422)/1000))*1000</f>
        <v>1.36954444921875</v>
      </c>
    </row>
    <row r="1423" customFormat="false" ht="15" hidden="false" customHeight="false" outlineLevel="0" collapsed="false">
      <c r="A1423" s="0" t="s">
        <v>90</v>
      </c>
      <c r="B1423" s="0" t="s">
        <v>91</v>
      </c>
      <c r="C1423" s="0" t="s">
        <v>81</v>
      </c>
      <c r="D1423" s="0" t="s">
        <v>157</v>
      </c>
      <c r="E1423" s="0" t="n">
        <v>30</v>
      </c>
      <c r="F1423" s="0" t="n">
        <v>0</v>
      </c>
      <c r="G1423" s="1"/>
      <c r="H1423" s="1"/>
      <c r="I1423" s="0" t="n">
        <v>0</v>
      </c>
      <c r="J1423" s="0" t="n">
        <f aca="false">(I1423/32)*5</f>
        <v>0</v>
      </c>
      <c r="L1423" s="0" t="n">
        <v>0</v>
      </c>
      <c r="M1423" s="0" t="n">
        <v>0</v>
      </c>
      <c r="N1423" s="0" t="n">
        <f aca="false">L1423</f>
        <v>0</v>
      </c>
      <c r="O1423" s="3" t="n">
        <v>0</v>
      </c>
      <c r="P1423" s="3" t="n">
        <f aca="false">(O1423*(N1423/100)*(J1423/1000))*1000</f>
        <v>0</v>
      </c>
      <c r="Q1423" s="3"/>
      <c r="R1423" s="0" t="n">
        <v>3</v>
      </c>
      <c r="S1423" s="0" t="n">
        <v>8.7</v>
      </c>
      <c r="T1423" s="0" t="n">
        <f aca="false">(S1423/32)*5</f>
        <v>1.359375</v>
      </c>
      <c r="V1423" s="0" t="n">
        <v>8.7</v>
      </c>
      <c r="W1423" s="0" t="n">
        <v>4</v>
      </c>
      <c r="X1423" s="3" t="n">
        <f aca="false">LOOKUP(V1423,$AB$3:$AC$123)</f>
        <v>1.032</v>
      </c>
      <c r="Y1423" s="2" t="n">
        <f aca="false">(V1423*((W1423+T1423)/1000)*X1423)/((((W1423+T1423)/1000)*X1423)-((W1423/1000)*0.9982))</f>
        <v>31.2849584708158</v>
      </c>
      <c r="Z1423" s="3" t="n">
        <f aca="false">(X1423*(V1423/100)*((W1423+T1423)/1000))*1000</f>
        <v>0.481186125</v>
      </c>
    </row>
    <row r="1424" customFormat="false" ht="15" hidden="false" customHeight="false" outlineLevel="0" collapsed="false">
      <c r="A1424" s="0" t="s">
        <v>92</v>
      </c>
      <c r="B1424" s="0" t="s">
        <v>93</v>
      </c>
      <c r="C1424" s="0" t="s">
        <v>81</v>
      </c>
      <c r="D1424" s="0" t="s">
        <v>157</v>
      </c>
      <c r="E1424" s="0" t="n">
        <v>30</v>
      </c>
      <c r="F1424" s="0" t="n">
        <v>0</v>
      </c>
      <c r="G1424" s="1"/>
      <c r="H1424" s="1"/>
      <c r="I1424" s="0" t="n">
        <v>0</v>
      </c>
      <c r="J1424" s="0" t="n">
        <f aca="false">(I1424/32)*5</f>
        <v>0</v>
      </c>
      <c r="L1424" s="0" t="n">
        <v>0</v>
      </c>
      <c r="M1424" s="0" t="n">
        <v>0</v>
      </c>
      <c r="N1424" s="0" t="n">
        <f aca="false">L1424</f>
        <v>0</v>
      </c>
      <c r="O1424" s="3" t="n">
        <v>0</v>
      </c>
      <c r="P1424" s="3" t="n">
        <f aca="false">(O1424*(N1424/100)*(J1424/1000))*1000</f>
        <v>0</v>
      </c>
      <c r="Q1424" s="3"/>
      <c r="R1424" s="0" t="n">
        <v>3</v>
      </c>
      <c r="S1424" s="0" t="n">
        <v>2.7</v>
      </c>
      <c r="T1424" s="0" t="n">
        <f aca="false">(S1424/32)*5</f>
        <v>0.421875</v>
      </c>
      <c r="V1424" s="0" t="n">
        <v>2.7</v>
      </c>
      <c r="W1424" s="0" t="n">
        <v>4</v>
      </c>
      <c r="X1424" s="3" t="n">
        <f aca="false">LOOKUP(V1424,$AB$3:$AC$123)</f>
        <v>1.00795</v>
      </c>
      <c r="Y1424" s="2" t="n">
        <f aca="false">(V1424*((W1424+T1424)/1000)*X1424)/((((W1424+T1424)/1000)*X1424)-((W1424/1000)*0.9982))</f>
        <v>25.9225091002721</v>
      </c>
      <c r="Z1424" s="3" t="n">
        <f aca="false">(X1424*(V1424/100)*((W1424+T1424)/1000))*1000</f>
        <v>0.12033978046875</v>
      </c>
    </row>
    <row r="1425" customFormat="false" ht="15" hidden="false" customHeight="false" outlineLevel="0" collapsed="false">
      <c r="A1425" s="0" t="s">
        <v>94</v>
      </c>
      <c r="B1425" s="0" t="s">
        <v>95</v>
      </c>
      <c r="C1425" s="0" t="s">
        <v>81</v>
      </c>
      <c r="D1425" s="0" t="s">
        <v>157</v>
      </c>
      <c r="E1425" s="0" t="n">
        <v>30</v>
      </c>
      <c r="F1425" s="0" t="n">
        <v>3</v>
      </c>
      <c r="G1425" s="1"/>
      <c r="H1425" s="1"/>
      <c r="I1425" s="0" t="n">
        <f aca="false">32+15.1</f>
        <v>47.1</v>
      </c>
      <c r="J1425" s="0" t="n">
        <f aca="false">(I1425/32)*5</f>
        <v>7.359375</v>
      </c>
      <c r="L1425" s="0" t="n">
        <v>24</v>
      </c>
      <c r="M1425" s="0" t="n">
        <v>0</v>
      </c>
      <c r="N1425" s="0" t="n">
        <f aca="false">L1425</f>
        <v>24</v>
      </c>
      <c r="O1425" s="3" t="n">
        <f aca="false">LOOKUP(L1425,$AB$3:$AC$123)</f>
        <v>1.099</v>
      </c>
      <c r="P1425" s="3" t="n">
        <f aca="false">(O1425*(N1425/100)*(J1425/1000))*1000</f>
        <v>1.94110875</v>
      </c>
      <c r="Q1425" s="3"/>
      <c r="R1425" s="0" t="n">
        <v>2</v>
      </c>
      <c r="S1425" s="0" t="n">
        <v>4</v>
      </c>
      <c r="T1425" s="0" t="n">
        <f aca="false">(S1425/32)*5</f>
        <v>0.625</v>
      </c>
      <c r="V1425" s="0" t="n">
        <v>4</v>
      </c>
      <c r="W1425" s="0" t="n">
        <v>4</v>
      </c>
      <c r="X1425" s="3" t="n">
        <f aca="false">LOOKUP(V1425,$AB$3:$AC$123)</f>
        <v>1.0139</v>
      </c>
      <c r="Y1425" s="2" t="n">
        <f aca="false">(V1425*((W1425+T1425)/1000)*X1425)/((((W1425+T1425)/1000)*X1425)-((W1425/1000)*0.9982))</f>
        <v>26.9310648073368</v>
      </c>
      <c r="Z1425" s="3" t="n">
        <f aca="false">(X1425*(V1425/100)*((W1425+T1425)/1000))*1000</f>
        <v>0.1875715</v>
      </c>
    </row>
    <row r="1426" customFormat="false" ht="15" hidden="false" customHeight="false" outlineLevel="0" collapsed="false">
      <c r="A1426" s="0" t="s">
        <v>96</v>
      </c>
      <c r="B1426" s="0" t="s">
        <v>97</v>
      </c>
      <c r="C1426" s="0" t="s">
        <v>81</v>
      </c>
      <c r="D1426" s="0" t="s">
        <v>157</v>
      </c>
      <c r="E1426" s="0" t="n">
        <v>30</v>
      </c>
      <c r="F1426" s="0" t="n">
        <v>1</v>
      </c>
      <c r="G1426" s="1"/>
      <c r="H1426" s="1"/>
      <c r="I1426" s="0" t="n">
        <v>26</v>
      </c>
      <c r="J1426" s="0" t="n">
        <f aca="false">(I1426/32)*5</f>
        <v>4.0625</v>
      </c>
      <c r="L1426" s="0" t="n">
        <v>22</v>
      </c>
      <c r="M1426" s="0" t="n">
        <v>0</v>
      </c>
      <c r="N1426" s="0" t="n">
        <f aca="false">L1426</f>
        <v>22</v>
      </c>
      <c r="O1426" s="3" t="n">
        <f aca="false">LOOKUP(L1426,$AB$3:$AC$123)</f>
        <v>1.0899</v>
      </c>
      <c r="P1426" s="3" t="n">
        <f aca="false">(O1426*(N1426/100)*(J1426/1000))*1000</f>
        <v>0.974098125</v>
      </c>
      <c r="Q1426" s="3"/>
      <c r="R1426" s="0" t="n">
        <v>2</v>
      </c>
      <c r="S1426" s="0" t="n">
        <v>1.9</v>
      </c>
      <c r="T1426" s="0" t="n">
        <f aca="false">(S1426/32)*5</f>
        <v>0.296875</v>
      </c>
      <c r="V1426" s="0" t="n">
        <v>1.9</v>
      </c>
      <c r="W1426" s="0" t="n">
        <v>2</v>
      </c>
      <c r="X1426" s="3" t="n">
        <f aca="false">LOOKUP(V1426,$AB$3:$AC$123)</f>
        <v>1.00405</v>
      </c>
      <c r="Y1426" s="2" t="n">
        <f aca="false">(V1426*((W1426+T1426)/1000)*X1426)/((((W1426+T1426)/1000)*X1426)-((W1426/1000)*0.9982))</f>
        <v>14.1447947744726</v>
      </c>
      <c r="Z1426" s="3" t="n">
        <f aca="false">(X1426*(V1426/100)*((W1426+T1426)/1000))*1000</f>
        <v>0.04381736953125</v>
      </c>
    </row>
    <row r="1427" customFormat="false" ht="15" hidden="false" customHeight="false" outlineLevel="0" collapsed="false">
      <c r="A1427" s="0" t="s">
        <v>98</v>
      </c>
      <c r="B1427" s="0" t="s">
        <v>99</v>
      </c>
      <c r="C1427" s="0" t="s">
        <v>81</v>
      </c>
      <c r="D1427" s="0" t="s">
        <v>157</v>
      </c>
      <c r="E1427" s="0" t="n">
        <v>30</v>
      </c>
      <c r="F1427" s="0" t="n">
        <v>0</v>
      </c>
      <c r="G1427" s="1"/>
      <c r="H1427" s="1"/>
      <c r="I1427" s="0" t="n">
        <v>0</v>
      </c>
      <c r="J1427" s="0" t="n">
        <f aca="false">(I1427/32)*5</f>
        <v>0</v>
      </c>
      <c r="L1427" s="0" t="n">
        <v>0</v>
      </c>
      <c r="M1427" s="0" t="n">
        <v>0</v>
      </c>
      <c r="N1427" s="0" t="n">
        <f aca="false">L1427</f>
        <v>0</v>
      </c>
      <c r="O1427" s="3" t="n">
        <v>0</v>
      </c>
      <c r="P1427" s="3" t="n">
        <f aca="false">(O1427*(N1427/100)*(J1427/1000))*1000</f>
        <v>0</v>
      </c>
      <c r="Q1427" s="3"/>
      <c r="R1427" s="0" t="n">
        <v>2</v>
      </c>
      <c r="S1427" s="0" t="n">
        <v>4.9</v>
      </c>
      <c r="T1427" s="0" t="n">
        <f aca="false">(S1427/32)*5</f>
        <v>0.765625</v>
      </c>
      <c r="V1427" s="0" t="n">
        <v>4.9</v>
      </c>
      <c r="W1427" s="0" t="n">
        <v>4</v>
      </c>
      <c r="X1427" s="3" t="n">
        <f aca="false">LOOKUP(V1427,$AB$3:$AC$123)</f>
        <v>1.0159</v>
      </c>
      <c r="Y1427" s="2" t="n">
        <f aca="false">(V1427*((W1427+T1427)/1000)*X1427)/((((W1427+T1427)/1000)*X1427)-((W1427/1000)*0.9982))</f>
        <v>27.955333518688</v>
      </c>
      <c r="Z1427" s="3" t="n">
        <f aca="false">(X1427*(V1427/100)*((W1427+T1427)/1000))*1000</f>
        <v>0.2372285234375</v>
      </c>
    </row>
    <row r="1428" customFormat="false" ht="15" hidden="false" customHeight="false" outlineLevel="0" collapsed="false">
      <c r="A1428" s="0" t="s">
        <v>100</v>
      </c>
      <c r="B1428" s="0" t="s">
        <v>101</v>
      </c>
      <c r="C1428" s="0" t="s">
        <v>81</v>
      </c>
      <c r="D1428" s="0" t="s">
        <v>157</v>
      </c>
      <c r="E1428" s="0" t="n">
        <v>30</v>
      </c>
      <c r="F1428" s="0" t="n">
        <v>0</v>
      </c>
      <c r="G1428" s="1"/>
      <c r="H1428" s="1"/>
      <c r="I1428" s="0" t="n">
        <v>0</v>
      </c>
      <c r="J1428" s="0" t="n">
        <f aca="false">(I1428/32)*5</f>
        <v>0</v>
      </c>
      <c r="L1428" s="0" t="n">
        <v>0</v>
      </c>
      <c r="M1428" s="0" t="n">
        <v>0</v>
      </c>
      <c r="N1428" s="0" t="n">
        <f aca="false">L1428</f>
        <v>0</v>
      </c>
      <c r="O1428" s="3" t="n">
        <v>0</v>
      </c>
      <c r="P1428" s="3" t="n">
        <f aca="false">(O1428*(N1428/100)*(J1428/1000))*1000</f>
        <v>0</v>
      </c>
      <c r="Q1428" s="3"/>
      <c r="R1428" s="0" t="n">
        <v>3</v>
      </c>
      <c r="S1428" s="0" t="n">
        <v>6.2</v>
      </c>
      <c r="T1428" s="0" t="n">
        <f aca="false">(S1428/32)*5</f>
        <v>0.96875</v>
      </c>
      <c r="V1428" s="0" t="n">
        <v>6.2</v>
      </c>
      <c r="W1428" s="0" t="n">
        <v>4</v>
      </c>
      <c r="X1428" s="3" t="n">
        <f aca="false">LOOKUP(V1428,$AB$3:$AC$123)</f>
        <v>1.0218</v>
      </c>
      <c r="Y1428" s="2" t="n">
        <f aca="false">(V1428*((W1428+T1428)/1000)*X1428)/((((W1428+T1428)/1000)*X1428)-((W1428/1000)*0.9982))</f>
        <v>29.0313875134739</v>
      </c>
      <c r="Z1428" s="3" t="n">
        <f aca="false">(X1428*(V1428/100)*((W1428+T1428)/1000))*1000</f>
        <v>0.3147782625</v>
      </c>
    </row>
    <row r="1429" customFormat="false" ht="15" hidden="false" customHeight="false" outlineLevel="0" collapsed="false">
      <c r="A1429" s="0" t="s">
        <v>102</v>
      </c>
      <c r="B1429" s="0" t="s">
        <v>103</v>
      </c>
      <c r="C1429" s="0" t="s">
        <v>81</v>
      </c>
      <c r="D1429" s="0" t="s">
        <v>157</v>
      </c>
      <c r="E1429" s="0" t="n">
        <v>30</v>
      </c>
      <c r="F1429" s="0" t="n">
        <v>0</v>
      </c>
      <c r="G1429" s="1"/>
      <c r="H1429" s="1"/>
      <c r="I1429" s="0" t="n">
        <v>0</v>
      </c>
      <c r="J1429" s="0" t="n">
        <f aca="false">(I1429/32)*5</f>
        <v>0</v>
      </c>
      <c r="L1429" s="0" t="n">
        <v>0</v>
      </c>
      <c r="M1429" s="0" t="n">
        <v>0</v>
      </c>
      <c r="N1429" s="0" t="n">
        <f aca="false">L1429</f>
        <v>0</v>
      </c>
      <c r="O1429" s="3" t="n">
        <v>0</v>
      </c>
      <c r="P1429" s="3" t="n">
        <f aca="false">(O1429*(N1429/100)*(J1429/1000))*1000</f>
        <v>0</v>
      </c>
      <c r="Q1429" s="3"/>
      <c r="R1429" s="0" t="n">
        <v>3</v>
      </c>
      <c r="S1429" s="0" t="n">
        <v>5.6</v>
      </c>
      <c r="T1429" s="0" t="n">
        <f aca="false">(S1429/32)*5</f>
        <v>0.875</v>
      </c>
      <c r="V1429" s="0" t="n">
        <v>5.6</v>
      </c>
      <c r="W1429" s="0" t="n">
        <v>4</v>
      </c>
      <c r="X1429" s="3" t="n">
        <f aca="false">LOOKUP(V1429,$AB$3:$AC$123)</f>
        <v>1.01985</v>
      </c>
      <c r="Y1429" s="2" t="n">
        <f aca="false">(V1429*((W1429+T1429)/1000)*X1429)/((((W1429+T1429)/1000)*X1429)-((W1429/1000)*0.9982))</f>
        <v>28.4400344750535</v>
      </c>
      <c r="Z1429" s="3" t="n">
        <f aca="false">(X1429*(V1429/100)*((W1429+T1429)/1000))*1000</f>
        <v>0.27841905</v>
      </c>
    </row>
    <row r="1430" customFormat="false" ht="15" hidden="false" customHeight="false" outlineLevel="0" collapsed="false">
      <c r="A1430" s="0" t="s">
        <v>104</v>
      </c>
      <c r="B1430" s="0" t="s">
        <v>105</v>
      </c>
      <c r="C1430" s="0" t="s">
        <v>106</v>
      </c>
      <c r="D1430" s="0" t="s">
        <v>157</v>
      </c>
      <c r="E1430" s="0" t="n">
        <v>30</v>
      </c>
      <c r="F1430" s="0" t="n">
        <v>3</v>
      </c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0" t="n">
        <v>9</v>
      </c>
      <c r="S1430" s="1"/>
      <c r="T1430" s="1"/>
      <c r="U1430" s="1"/>
      <c r="V1430" s="1"/>
      <c r="W1430" s="1"/>
      <c r="X1430" s="1"/>
      <c r="Y1430" s="5"/>
      <c r="Z1430" s="1"/>
    </row>
    <row r="1431" customFormat="false" ht="15" hidden="false" customHeight="false" outlineLevel="0" collapsed="false">
      <c r="A1431" s="0" t="s">
        <v>107</v>
      </c>
      <c r="B1431" s="0" t="s">
        <v>37</v>
      </c>
      <c r="C1431" s="0" t="s">
        <v>106</v>
      </c>
      <c r="D1431" s="0" t="s">
        <v>157</v>
      </c>
      <c r="E1431" s="0" t="n">
        <v>30</v>
      </c>
      <c r="F1431" s="0" t="n">
        <v>0</v>
      </c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0" t="n">
        <v>7</v>
      </c>
      <c r="S1431" s="1"/>
      <c r="T1431" s="1"/>
      <c r="U1431" s="1"/>
      <c r="V1431" s="1"/>
      <c r="W1431" s="1"/>
      <c r="X1431" s="1"/>
      <c r="Y1431" s="5"/>
      <c r="Z1431" s="1"/>
    </row>
    <row r="1432" customFormat="false" ht="15" hidden="false" customHeight="false" outlineLevel="0" collapsed="false">
      <c r="A1432" s="0" t="s">
        <v>108</v>
      </c>
      <c r="B1432" s="0" t="s">
        <v>109</v>
      </c>
      <c r="C1432" s="0" t="s">
        <v>106</v>
      </c>
      <c r="D1432" s="0" t="s">
        <v>157</v>
      </c>
      <c r="E1432" s="0" t="n">
        <v>30</v>
      </c>
      <c r="F1432" s="0" t="n">
        <v>0</v>
      </c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0" t="n">
        <v>12</v>
      </c>
      <c r="S1432" s="1"/>
      <c r="T1432" s="1"/>
      <c r="U1432" s="1"/>
      <c r="V1432" s="1"/>
      <c r="W1432" s="1"/>
      <c r="X1432" s="1"/>
      <c r="Y1432" s="5"/>
      <c r="Z1432" s="1"/>
    </row>
    <row r="1433" customFormat="false" ht="15" hidden="false" customHeight="false" outlineLevel="0" collapsed="false">
      <c r="A1433" s="0" t="s">
        <v>110</v>
      </c>
      <c r="B1433" s="0" t="s">
        <v>111</v>
      </c>
      <c r="C1433" s="0" t="s">
        <v>106</v>
      </c>
      <c r="D1433" s="0" t="s">
        <v>157</v>
      </c>
      <c r="E1433" s="0" t="n">
        <v>30</v>
      </c>
      <c r="F1433" s="0" t="n">
        <v>0</v>
      </c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0" t="n">
        <v>9</v>
      </c>
      <c r="S1433" s="1"/>
      <c r="T1433" s="1"/>
      <c r="U1433" s="1"/>
      <c r="V1433" s="1"/>
      <c r="W1433" s="1"/>
      <c r="X1433" s="1"/>
      <c r="Y1433" s="5"/>
      <c r="Z1433" s="1"/>
    </row>
    <row r="1434" customFormat="false" ht="15" hidden="false" customHeight="false" outlineLevel="0" collapsed="false">
      <c r="A1434" s="0" t="s">
        <v>112</v>
      </c>
      <c r="B1434" s="0" t="s">
        <v>113</v>
      </c>
      <c r="C1434" s="0" t="s">
        <v>106</v>
      </c>
      <c r="D1434" s="0" t="s">
        <v>157</v>
      </c>
      <c r="E1434" s="0" t="n">
        <v>30</v>
      </c>
      <c r="F1434" s="0" t="n">
        <v>1</v>
      </c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0" t="n">
        <v>11</v>
      </c>
      <c r="S1434" s="1"/>
      <c r="T1434" s="1"/>
      <c r="U1434" s="1"/>
      <c r="V1434" s="1"/>
      <c r="W1434" s="1"/>
      <c r="X1434" s="1"/>
      <c r="Y1434" s="5"/>
      <c r="Z1434" s="1"/>
    </row>
    <row r="1435" customFormat="false" ht="15" hidden="false" customHeight="false" outlineLevel="0" collapsed="false">
      <c r="A1435" s="0" t="s">
        <v>114</v>
      </c>
      <c r="B1435" s="0" t="s">
        <v>115</v>
      </c>
      <c r="C1435" s="0" t="s">
        <v>106</v>
      </c>
      <c r="D1435" s="0" t="s">
        <v>157</v>
      </c>
      <c r="E1435" s="0" t="n">
        <v>30</v>
      </c>
      <c r="F1435" s="0" t="n">
        <v>0</v>
      </c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0" t="n">
        <v>9</v>
      </c>
      <c r="S1435" s="1"/>
      <c r="T1435" s="1"/>
      <c r="U1435" s="1"/>
      <c r="V1435" s="1"/>
      <c r="W1435" s="1"/>
      <c r="X1435" s="1"/>
      <c r="Y1435" s="5"/>
      <c r="Z1435" s="1"/>
    </row>
    <row r="1436" customFormat="false" ht="15" hidden="false" customHeight="false" outlineLevel="0" collapsed="false">
      <c r="A1436" s="0" t="s">
        <v>116</v>
      </c>
      <c r="B1436" s="0" t="s">
        <v>117</v>
      </c>
      <c r="C1436" s="0" t="s">
        <v>106</v>
      </c>
      <c r="D1436" s="0" t="s">
        <v>157</v>
      </c>
      <c r="E1436" s="0" t="n">
        <v>30</v>
      </c>
      <c r="F1436" s="0" t="n">
        <v>1</v>
      </c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0" t="n">
        <v>6</v>
      </c>
      <c r="S1436" s="1"/>
      <c r="T1436" s="1"/>
      <c r="U1436" s="1"/>
      <c r="V1436" s="1"/>
      <c r="W1436" s="1"/>
      <c r="X1436" s="1"/>
      <c r="Y1436" s="5"/>
      <c r="Z1436" s="1"/>
    </row>
    <row r="1437" customFormat="false" ht="15" hidden="false" customHeight="false" outlineLevel="0" collapsed="false">
      <c r="A1437" s="0" t="s">
        <v>118</v>
      </c>
      <c r="B1437" s="0" t="s">
        <v>119</v>
      </c>
      <c r="C1437" s="0" t="s">
        <v>106</v>
      </c>
      <c r="D1437" s="0" t="s">
        <v>157</v>
      </c>
      <c r="E1437" s="0" t="n">
        <v>30</v>
      </c>
      <c r="F1437" s="0" t="n">
        <v>1</v>
      </c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0" t="n">
        <v>15</v>
      </c>
      <c r="S1437" s="1"/>
      <c r="T1437" s="1"/>
      <c r="U1437" s="1"/>
      <c r="V1437" s="1"/>
      <c r="W1437" s="1"/>
      <c r="X1437" s="1"/>
      <c r="Y1437" s="5"/>
      <c r="Z1437" s="1"/>
    </row>
    <row r="1438" customFormat="false" ht="15" hidden="false" customHeight="false" outlineLevel="0" collapsed="false">
      <c r="A1438" s="0" t="s">
        <v>120</v>
      </c>
      <c r="B1438" s="0" t="s">
        <v>121</v>
      </c>
      <c r="C1438" s="0" t="s">
        <v>106</v>
      </c>
      <c r="D1438" s="0" t="s">
        <v>157</v>
      </c>
      <c r="E1438" s="0" t="n">
        <v>30</v>
      </c>
      <c r="F1438" s="0" t="n">
        <v>1</v>
      </c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0" t="n">
        <v>16</v>
      </c>
      <c r="S1438" s="1"/>
      <c r="T1438" s="1"/>
      <c r="U1438" s="1"/>
      <c r="V1438" s="1"/>
      <c r="W1438" s="1"/>
      <c r="X1438" s="1"/>
      <c r="Y1438" s="5"/>
      <c r="Z1438" s="1"/>
    </row>
    <row r="1439" customFormat="false" ht="15" hidden="false" customHeight="false" outlineLevel="0" collapsed="false">
      <c r="A1439" s="0" t="s">
        <v>122</v>
      </c>
      <c r="B1439" s="0" t="s">
        <v>123</v>
      </c>
      <c r="C1439" s="0" t="s">
        <v>106</v>
      </c>
      <c r="D1439" s="0" t="s">
        <v>157</v>
      </c>
      <c r="E1439" s="0" t="n">
        <v>30</v>
      </c>
      <c r="F1439" s="0" t="n">
        <v>1</v>
      </c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0" t="n">
        <v>10</v>
      </c>
      <c r="S1439" s="1"/>
      <c r="T1439" s="1"/>
      <c r="U1439" s="1"/>
      <c r="V1439" s="1"/>
      <c r="W1439" s="1"/>
      <c r="X1439" s="1"/>
      <c r="Y1439" s="5"/>
      <c r="Z1439" s="1"/>
    </row>
    <row r="1440" customFormat="false" ht="15" hidden="false" customHeight="false" outlineLevel="0" collapsed="false">
      <c r="A1440" s="0" t="s">
        <v>124</v>
      </c>
      <c r="B1440" s="0" t="s">
        <v>125</v>
      </c>
      <c r="C1440" s="0" t="s">
        <v>106</v>
      </c>
      <c r="D1440" s="0" t="s">
        <v>157</v>
      </c>
      <c r="E1440" s="0" t="n">
        <v>30</v>
      </c>
      <c r="F1440" s="0" t="n">
        <v>1</v>
      </c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0" t="n">
        <v>12</v>
      </c>
      <c r="S1440" s="1"/>
      <c r="T1440" s="1"/>
      <c r="U1440" s="1"/>
      <c r="V1440" s="1"/>
      <c r="W1440" s="1"/>
      <c r="X1440" s="1"/>
      <c r="Y1440" s="5"/>
      <c r="Z1440" s="1"/>
    </row>
    <row r="1441" customFormat="false" ht="15" hidden="false" customHeight="false" outlineLevel="0" collapsed="false">
      <c r="A1441" s="0" t="s">
        <v>126</v>
      </c>
      <c r="B1441" s="0" t="s">
        <v>127</v>
      </c>
      <c r="C1441" s="0" t="s">
        <v>106</v>
      </c>
      <c r="D1441" s="0" t="s">
        <v>157</v>
      </c>
      <c r="E1441" s="0" t="n">
        <v>30</v>
      </c>
      <c r="F1441" s="0" t="n">
        <v>0</v>
      </c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0" t="n">
        <v>11</v>
      </c>
      <c r="S1441" s="1"/>
      <c r="T1441" s="1"/>
      <c r="U1441" s="1"/>
      <c r="V1441" s="1"/>
      <c r="W1441" s="1"/>
      <c r="X1441" s="1"/>
      <c r="Y1441" s="5"/>
      <c r="Z1441" s="1"/>
    </row>
    <row r="1442" customFormat="false" ht="15" hidden="false" customHeight="false" outlineLevel="0" collapsed="false">
      <c r="A1442" s="0" t="s">
        <v>26</v>
      </c>
      <c r="B1442" s="0" t="s">
        <v>27</v>
      </c>
      <c r="C1442" s="0" t="s">
        <v>28</v>
      </c>
      <c r="D1442" s="0" t="s">
        <v>158</v>
      </c>
      <c r="E1442" s="0" t="n">
        <v>31</v>
      </c>
      <c r="F1442" s="0" t="n">
        <v>0</v>
      </c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0" t="n">
        <v>3</v>
      </c>
      <c r="S1442" s="0" t="n">
        <v>3.3</v>
      </c>
      <c r="T1442" s="0" t="n">
        <f aca="false">(S1442/32)*5</f>
        <v>0.515625</v>
      </c>
      <c r="V1442" s="0" t="n">
        <v>15</v>
      </c>
      <c r="W1442" s="0" t="n">
        <v>4</v>
      </c>
      <c r="X1442" s="3" t="n">
        <f aca="false">LOOKUP(V1442,$AB$3:$AC$123)</f>
        <v>1.0592</v>
      </c>
      <c r="Y1442" s="2" t="n">
        <f aca="false">(V1442*((W1442+T1442)/1000)*X1442)/((((W1442+T1442)/1000)*X1442)-((W1442/1000)*0.9982))</f>
        <v>90.7982661519965</v>
      </c>
      <c r="Z1442" s="3" t="n">
        <f aca="false">(X1442*(V1442/100)*((W1442+T1442)/1000))*1000</f>
        <v>0.7174425</v>
      </c>
    </row>
    <row r="1443" customFormat="false" ht="15" hidden="false" customHeight="false" outlineLevel="0" collapsed="false">
      <c r="A1443" s="0" t="s">
        <v>32</v>
      </c>
      <c r="B1443" s="0" t="s">
        <v>33</v>
      </c>
      <c r="C1443" s="0" t="s">
        <v>28</v>
      </c>
      <c r="D1443" s="0" t="s">
        <v>158</v>
      </c>
      <c r="E1443" s="0" t="n">
        <v>31</v>
      </c>
      <c r="F1443" s="0" t="n">
        <v>1</v>
      </c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0" t="n">
        <v>6</v>
      </c>
      <c r="S1443" s="0" t="n">
        <v>15.7</v>
      </c>
      <c r="T1443" s="0" t="n">
        <f aca="false">(S1443/32)*5</f>
        <v>2.453125</v>
      </c>
      <c r="V1443" s="0" t="n">
        <v>29.5</v>
      </c>
      <c r="W1443" s="0" t="n">
        <v>4</v>
      </c>
      <c r="X1443" s="3" t="n">
        <f aca="false">LOOKUP(V1443,$AB$3:$AC$123)</f>
        <v>1.124625</v>
      </c>
      <c r="Y1443" s="2" t="n">
        <f aca="false">(V1443*((W1443+T1443)/1000)*X1443)/((((W1443+T1443)/1000)*X1443)-((W1443/1000)*0.9982))</f>
        <v>65.5808549524203</v>
      </c>
      <c r="Z1443" s="3" t="n">
        <f aca="false">(X1443*(V1443/100)*((W1443+T1443)/1000))*1000</f>
        <v>2.14091698242187</v>
      </c>
    </row>
    <row r="1444" customFormat="false" ht="15" hidden="false" customHeight="false" outlineLevel="0" collapsed="false">
      <c r="A1444" s="0" t="s">
        <v>34</v>
      </c>
      <c r="B1444" s="0" t="s">
        <v>35</v>
      </c>
      <c r="C1444" s="0" t="s">
        <v>28</v>
      </c>
      <c r="D1444" s="0" t="s">
        <v>158</v>
      </c>
      <c r="E1444" s="0" t="n">
        <v>31</v>
      </c>
      <c r="F1444" s="0" t="n">
        <v>2</v>
      </c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0" t="n">
        <v>3</v>
      </c>
      <c r="S1444" s="0" t="n">
        <v>8.7</v>
      </c>
      <c r="T1444" s="0" t="n">
        <f aca="false">(S1444/32)*5</f>
        <v>1.359375</v>
      </c>
      <c r="V1444" s="0" t="n">
        <v>17.5</v>
      </c>
      <c r="W1444" s="0" t="n">
        <v>4</v>
      </c>
      <c r="X1444" s="3" t="n">
        <f aca="false">LOOKUP(V1444,$AB$3:$AC$123)</f>
        <v>1.07</v>
      </c>
      <c r="Y1444" s="2" t="n">
        <f aca="false">(V1444*((W1444+T1444)/1000)*X1444)/((((W1444+T1444)/1000)*X1444)-((W1444/1000)*0.9982))</f>
        <v>57.6175554494989</v>
      </c>
      <c r="Z1444" s="3" t="n">
        <f aca="false">(X1444*(V1444/100)*((W1444+T1444)/1000))*1000</f>
        <v>1.00354296875</v>
      </c>
    </row>
    <row r="1445" customFormat="false" ht="15" hidden="false" customHeight="false" outlineLevel="0" collapsed="false">
      <c r="A1445" s="0" t="s">
        <v>36</v>
      </c>
      <c r="B1445" s="0" t="s">
        <v>37</v>
      </c>
      <c r="C1445" s="0" t="s">
        <v>28</v>
      </c>
      <c r="D1445" s="0" t="s">
        <v>158</v>
      </c>
      <c r="E1445" s="0" t="n">
        <v>31</v>
      </c>
      <c r="F1445" s="0" t="n">
        <v>0</v>
      </c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0" t="n">
        <v>3</v>
      </c>
      <c r="S1445" s="0" t="n">
        <v>8.5</v>
      </c>
      <c r="T1445" s="0" t="n">
        <f aca="false">(S1445/32)*5</f>
        <v>1.328125</v>
      </c>
      <c r="V1445" s="0" t="n">
        <v>20</v>
      </c>
      <c r="W1445" s="0" t="n">
        <v>4</v>
      </c>
      <c r="X1445" s="3" t="n">
        <f aca="false">LOOKUP(V1445,$AB$3:$AC$123)</f>
        <v>1.081</v>
      </c>
      <c r="Y1445" s="2" t="n">
        <f aca="false">(V1445*((W1445+T1445)/1000)*X1445)/((((W1445+T1445)/1000)*X1445)-((W1445/1000)*0.9982))</f>
        <v>65.1954602774275</v>
      </c>
      <c r="Z1445" s="3" t="n">
        <f aca="false">(X1445*(V1445/100)*((W1445+T1445)/1000))*1000</f>
        <v>1.151940625</v>
      </c>
    </row>
    <row r="1446" customFormat="false" ht="15" hidden="false" customHeight="false" outlineLevel="0" collapsed="false">
      <c r="A1446" s="0" t="s">
        <v>38</v>
      </c>
      <c r="B1446" s="0" t="s">
        <v>39</v>
      </c>
      <c r="C1446" s="0" t="s">
        <v>28</v>
      </c>
      <c r="D1446" s="0" t="s">
        <v>158</v>
      </c>
      <c r="E1446" s="0" t="n">
        <v>31</v>
      </c>
      <c r="F1446" s="0" t="n">
        <v>1</v>
      </c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0" t="n">
        <v>4</v>
      </c>
      <c r="S1446" s="0" t="n">
        <v>11.4</v>
      </c>
      <c r="T1446" s="0" t="n">
        <f aca="false">(S1446/32)*5</f>
        <v>1.78125</v>
      </c>
      <c r="V1446" s="0" t="n">
        <v>23</v>
      </c>
      <c r="W1446" s="0" t="n">
        <v>4</v>
      </c>
      <c r="X1446" s="3" t="n">
        <f aca="false">LOOKUP(V1446,$AB$3:$AC$123)</f>
        <v>1.09445</v>
      </c>
      <c r="Y1446" s="2" t="n">
        <f aca="false">(V1446*((W1446+T1446)/1000)*X1446)/((((W1446+T1446)/1000)*X1446)-((W1446/1000)*0.9982))</f>
        <v>62.3381153397458</v>
      </c>
      <c r="Z1446" s="3" t="n">
        <f aca="false">(X1446*(V1446/100)*((W1446+T1446)/1000))*1000</f>
        <v>1.455276484375</v>
      </c>
    </row>
    <row r="1447" customFormat="false" ht="15" hidden="false" customHeight="false" outlineLevel="0" collapsed="false">
      <c r="A1447" s="0" t="s">
        <v>40</v>
      </c>
      <c r="B1447" s="0" t="s">
        <v>41</v>
      </c>
      <c r="C1447" s="0" t="s">
        <v>28</v>
      </c>
      <c r="D1447" s="0" t="s">
        <v>158</v>
      </c>
      <c r="E1447" s="0" t="n">
        <v>31</v>
      </c>
      <c r="F1447" s="0" t="n">
        <v>3</v>
      </c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0" t="n">
        <v>1</v>
      </c>
      <c r="S1447" s="0" t="n">
        <v>1.9</v>
      </c>
      <c r="T1447" s="0" t="n">
        <f aca="false">(S1447/32)*5</f>
        <v>0.296875</v>
      </c>
      <c r="V1447" s="0" t="n">
        <v>6</v>
      </c>
      <c r="W1447" s="0" t="n">
        <v>2</v>
      </c>
      <c r="X1447" s="3" t="n">
        <f aca="false">LOOKUP(V1447,$AB$3:$AC$123)</f>
        <v>1.0218</v>
      </c>
      <c r="Y1447" s="2" t="n">
        <f aca="false">(V1447*((W1447+T1447)/1000)*X1447)/((((W1447+T1447)/1000)*X1447)-((W1447/1000)*0.9982))</f>
        <v>40.170608424337</v>
      </c>
      <c r="Z1447" s="3" t="n">
        <f aca="false">(X1447*(V1447/100)*((W1447+T1447)/1000))*1000</f>
        <v>0.1408168125</v>
      </c>
    </row>
    <row r="1448" customFormat="false" ht="15" hidden="false" customHeight="false" outlineLevel="0" collapsed="false">
      <c r="A1448" s="0" t="s">
        <v>42</v>
      </c>
      <c r="B1448" s="0" t="s">
        <v>43</v>
      </c>
      <c r="C1448" s="0" t="s">
        <v>28</v>
      </c>
      <c r="D1448" s="0" t="s">
        <v>158</v>
      </c>
      <c r="E1448" s="0" t="n">
        <v>31</v>
      </c>
      <c r="F1448" s="0" t="n">
        <v>2</v>
      </c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0" t="n">
        <v>2</v>
      </c>
      <c r="S1448" s="0" t="n">
        <v>8.8</v>
      </c>
      <c r="T1448" s="0" t="n">
        <f aca="false">(S1448/32)*5</f>
        <v>1.375</v>
      </c>
      <c r="V1448" s="0" t="n">
        <v>12</v>
      </c>
      <c r="W1448" s="0" t="n">
        <v>4</v>
      </c>
      <c r="X1448" s="3" t="n">
        <f aca="false">LOOKUP(V1448,$AB$3:$AC$123)</f>
        <v>1.0465</v>
      </c>
      <c r="Y1448" s="2" t="n">
        <f aca="false">(V1448*((W1448+T1448)/1000)*X1448)/((((W1448+T1448)/1000)*X1448)-((W1448/1000)*0.9982))</f>
        <v>41.3563501849569</v>
      </c>
      <c r="Z1448" s="3" t="n">
        <f aca="false">(X1448*(V1448/100)*((W1448+T1448)/1000))*1000</f>
        <v>0.6749925</v>
      </c>
    </row>
    <row r="1449" customFormat="false" ht="15" hidden="false" customHeight="false" outlineLevel="0" collapsed="false">
      <c r="A1449" s="0" t="s">
        <v>44</v>
      </c>
      <c r="B1449" s="0" t="s">
        <v>45</v>
      </c>
      <c r="C1449" s="0" t="s">
        <v>28</v>
      </c>
      <c r="D1449" s="0" t="s">
        <v>158</v>
      </c>
      <c r="E1449" s="0" t="n">
        <v>31</v>
      </c>
      <c r="F1449" s="0" t="n">
        <v>1</v>
      </c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0" t="n">
        <v>3</v>
      </c>
      <c r="S1449" s="0" t="n">
        <v>6.1</v>
      </c>
      <c r="T1449" s="0" t="n">
        <f aca="false">(S1449/32)*5</f>
        <v>0.953125</v>
      </c>
      <c r="V1449" s="0" t="n">
        <v>12.5</v>
      </c>
      <c r="W1449" s="0" t="n">
        <v>4</v>
      </c>
      <c r="X1449" s="3" t="n">
        <f aca="false">LOOKUP(V1449,$AB$3:$AC$123)</f>
        <v>1.0486</v>
      </c>
      <c r="Y1449" s="2" t="n">
        <f aca="false">(V1449*((W1449+T1449)/1000)*X1449)/((((W1449+T1449)/1000)*X1449)-((W1449/1000)*0.9982))</f>
        <v>54.0554138967307</v>
      </c>
      <c r="Z1449" s="3" t="n">
        <f aca="false">(X1449*(V1449/100)*((W1449+T1449)/1000))*1000</f>
        <v>0.649230859375</v>
      </c>
    </row>
    <row r="1450" customFormat="false" ht="15" hidden="false" customHeight="false" outlineLevel="0" collapsed="false">
      <c r="A1450" s="0" t="s">
        <v>46</v>
      </c>
      <c r="B1450" s="0" t="s">
        <v>47</v>
      </c>
      <c r="C1450" s="0" t="s">
        <v>28</v>
      </c>
      <c r="D1450" s="0" t="s">
        <v>158</v>
      </c>
      <c r="E1450" s="0" t="n">
        <v>31</v>
      </c>
      <c r="F1450" s="0" t="n">
        <v>1</v>
      </c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0" t="n">
        <v>3</v>
      </c>
      <c r="S1450" s="0" t="n">
        <v>3</v>
      </c>
      <c r="T1450" s="0" t="n">
        <f aca="false">(S1450/32)*5</f>
        <v>0.46875</v>
      </c>
      <c r="V1450" s="0" t="n">
        <v>3.5</v>
      </c>
      <c r="W1450" s="0" t="n">
        <v>4</v>
      </c>
      <c r="X1450" s="3" t="n">
        <f aca="false">LOOKUP(V1450,$AB$3:$AC$123)</f>
        <v>1.0119</v>
      </c>
      <c r="Y1450" s="2" t="n">
        <f aca="false">(V1450*((W1450+T1450)/1000)*X1450)/((((W1450+T1450)/1000)*X1450)-((W1450/1000)*0.9982))</f>
        <v>29.9109945015681</v>
      </c>
      <c r="Z1450" s="3" t="n">
        <f aca="false">(X1450*(V1450/100)*((W1450+T1450)/1000))*1000</f>
        <v>0.158267484375</v>
      </c>
    </row>
    <row r="1451" customFormat="false" ht="15" hidden="false" customHeight="false" outlineLevel="0" collapsed="false">
      <c r="A1451" s="0" t="s">
        <v>48</v>
      </c>
      <c r="B1451" s="0" t="s">
        <v>49</v>
      </c>
      <c r="C1451" s="0" t="s">
        <v>28</v>
      </c>
      <c r="D1451" s="0" t="s">
        <v>158</v>
      </c>
      <c r="E1451" s="0" t="n">
        <v>31</v>
      </c>
      <c r="F1451" s="0" t="n">
        <v>0</v>
      </c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0" t="n">
        <v>1</v>
      </c>
      <c r="S1451" s="0" t="n">
        <v>1.9</v>
      </c>
      <c r="T1451" s="0" t="n">
        <f aca="false">(S1451/32)*5</f>
        <v>0.296875</v>
      </c>
      <c r="V1451" s="0" t="n">
        <v>3</v>
      </c>
      <c r="W1451" s="0" t="n">
        <v>2</v>
      </c>
      <c r="X1451" s="3" t="n">
        <f aca="false">LOOKUP(V1451,$AB$3:$AC$123)</f>
        <v>1.0099</v>
      </c>
      <c r="Y1451" s="2" t="n">
        <f aca="false">(V1451*((W1451+T1451)/1000)*X1451)/((((W1451+T1451)/1000)*X1451)-((W1451/1000)*0.9982))</f>
        <v>21.5301343440155</v>
      </c>
      <c r="Z1451" s="3" t="n">
        <f aca="false">(X1451*(V1451/100)*((W1451+T1451)/1000))*1000</f>
        <v>0.069588421875</v>
      </c>
    </row>
    <row r="1452" customFormat="false" ht="15" hidden="false" customHeight="false" outlineLevel="0" collapsed="false">
      <c r="A1452" s="0" t="s">
        <v>50</v>
      </c>
      <c r="B1452" s="0" t="s">
        <v>51</v>
      </c>
      <c r="C1452" s="0" t="s">
        <v>28</v>
      </c>
      <c r="D1452" s="0" t="s">
        <v>158</v>
      </c>
      <c r="E1452" s="0" t="n">
        <v>31</v>
      </c>
      <c r="F1452" s="0" t="n">
        <v>0</v>
      </c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0" t="n">
        <v>1</v>
      </c>
      <c r="S1452" s="0" t="n">
        <v>2.6</v>
      </c>
      <c r="T1452" s="0" t="n">
        <f aca="false">(S1452/32)*5</f>
        <v>0.40625</v>
      </c>
      <c r="V1452" s="0" t="n">
        <v>1.5</v>
      </c>
      <c r="W1452" s="0" t="n">
        <v>2</v>
      </c>
      <c r="X1452" s="3" t="n">
        <f aca="false">LOOKUP(V1452,$AB$3:$AC$123)</f>
        <v>1.00405</v>
      </c>
      <c r="Y1452" s="2" t="n">
        <f aca="false">(V1452*((W1452+T1452)/1000)*X1452)/((((W1452+T1452)/1000)*X1452)-((W1452/1000)*0.9982))</f>
        <v>8.63687667804917</v>
      </c>
      <c r="Z1452" s="3" t="n">
        <f aca="false">(X1452*(V1452/100)*((W1452+T1452)/1000))*1000</f>
        <v>0.0362399296875</v>
      </c>
    </row>
    <row r="1453" customFormat="false" ht="15" hidden="false" customHeight="false" outlineLevel="0" collapsed="false">
      <c r="A1453" s="0" t="s">
        <v>52</v>
      </c>
      <c r="B1453" s="0" t="s">
        <v>53</v>
      </c>
      <c r="C1453" s="0" t="s">
        <v>28</v>
      </c>
      <c r="D1453" s="0" t="s">
        <v>158</v>
      </c>
      <c r="E1453" s="0" t="n">
        <v>31</v>
      </c>
      <c r="F1453" s="0" t="n">
        <v>0</v>
      </c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0" t="n">
        <v>2</v>
      </c>
      <c r="S1453" s="0" t="n">
        <v>7</v>
      </c>
      <c r="T1453" s="0" t="n">
        <f aca="false">(S1453/32)*5</f>
        <v>1.09375</v>
      </c>
      <c r="V1453" s="0" t="n">
        <v>15</v>
      </c>
      <c r="W1453" s="0" t="n">
        <v>4</v>
      </c>
      <c r="X1453" s="3" t="n">
        <f aca="false">LOOKUP(V1453,$AB$3:$AC$123)</f>
        <v>1.0592</v>
      </c>
      <c r="Y1453" s="2" t="n">
        <f aca="false">(V1453*((W1453+T1453)/1000)*X1453)/((((W1453+T1453)/1000)*X1453)-((W1453/1000)*0.9982))</f>
        <v>57.703743315508</v>
      </c>
      <c r="Z1453" s="3" t="n">
        <f aca="false">(X1453*(V1453/100)*((W1453+T1453)/1000))*1000</f>
        <v>0.809295</v>
      </c>
    </row>
    <row r="1454" customFormat="false" ht="15" hidden="false" customHeight="false" outlineLevel="0" collapsed="false">
      <c r="A1454" s="0" t="s">
        <v>54</v>
      </c>
      <c r="B1454" s="0" t="s">
        <v>55</v>
      </c>
      <c r="C1454" s="0" t="s">
        <v>56</v>
      </c>
      <c r="D1454" s="0" t="s">
        <v>158</v>
      </c>
      <c r="E1454" s="0" t="n">
        <v>31</v>
      </c>
      <c r="F1454" s="0" t="n">
        <v>0</v>
      </c>
      <c r="G1454" s="1"/>
      <c r="H1454" s="1"/>
      <c r="I1454" s="0" t="n">
        <v>0</v>
      </c>
      <c r="J1454" s="0" t="n">
        <f aca="false">(I1454/32)*5</f>
        <v>0</v>
      </c>
      <c r="L1454" s="0" t="n">
        <v>0</v>
      </c>
      <c r="M1454" s="0" t="n">
        <v>0</v>
      </c>
      <c r="N1454" s="0" t="n">
        <f aca="false">L1454</f>
        <v>0</v>
      </c>
      <c r="O1454" s="3" t="n">
        <v>0</v>
      </c>
      <c r="P1454" s="3" t="n">
        <f aca="false">(O1454*(N1454/100)*(J1454/1000))*1000</f>
        <v>0</v>
      </c>
      <c r="Q1454" s="3"/>
      <c r="R1454" s="1"/>
      <c r="S1454" s="1"/>
      <c r="T1454" s="1"/>
      <c r="U1454" s="1"/>
      <c r="V1454" s="1"/>
      <c r="W1454" s="1"/>
      <c r="X1454" s="1"/>
      <c r="Y1454" s="5"/>
      <c r="Z1454" s="1"/>
    </row>
    <row r="1455" customFormat="false" ht="15" hidden="false" customHeight="false" outlineLevel="0" collapsed="false">
      <c r="A1455" s="0" t="s">
        <v>57</v>
      </c>
      <c r="B1455" s="0" t="s">
        <v>58</v>
      </c>
      <c r="C1455" s="0" t="s">
        <v>56</v>
      </c>
      <c r="D1455" s="0" t="s">
        <v>158</v>
      </c>
      <c r="E1455" s="0" t="n">
        <v>31</v>
      </c>
      <c r="F1455" s="0" t="n">
        <v>0</v>
      </c>
      <c r="G1455" s="1"/>
      <c r="H1455" s="1"/>
      <c r="I1455" s="0" t="n">
        <v>0</v>
      </c>
      <c r="J1455" s="0" t="n">
        <f aca="false">(I1455/32)*5</f>
        <v>0</v>
      </c>
      <c r="L1455" s="0" t="n">
        <v>0</v>
      </c>
      <c r="M1455" s="0" t="n">
        <v>0</v>
      </c>
      <c r="N1455" s="0" t="n">
        <f aca="false">L1455</f>
        <v>0</v>
      </c>
      <c r="O1455" s="3" t="n">
        <v>0</v>
      </c>
      <c r="P1455" s="3" t="n">
        <f aca="false">(O1455*(N1455/100)*(J1455/1000))*1000</f>
        <v>0</v>
      </c>
      <c r="Q1455" s="3"/>
      <c r="R1455" s="1"/>
      <c r="S1455" s="1"/>
      <c r="T1455" s="1"/>
      <c r="U1455" s="1"/>
      <c r="V1455" s="1"/>
      <c r="W1455" s="1"/>
      <c r="X1455" s="1"/>
      <c r="Y1455" s="5"/>
      <c r="Z1455" s="1"/>
    </row>
    <row r="1456" customFormat="false" ht="15" hidden="false" customHeight="false" outlineLevel="0" collapsed="false">
      <c r="A1456" s="0" t="s">
        <v>59</v>
      </c>
      <c r="B1456" s="0" t="s">
        <v>60</v>
      </c>
      <c r="C1456" s="0" t="s">
        <v>56</v>
      </c>
      <c r="D1456" s="0" t="s">
        <v>158</v>
      </c>
      <c r="E1456" s="0" t="n">
        <v>31</v>
      </c>
      <c r="F1456" s="0" t="n">
        <v>2</v>
      </c>
      <c r="G1456" s="1"/>
      <c r="H1456" s="1"/>
      <c r="I1456" s="0" t="n">
        <v>29.9</v>
      </c>
      <c r="J1456" s="0" t="n">
        <f aca="false">(I1456/32)*5</f>
        <v>4.671875</v>
      </c>
      <c r="L1456" s="0" t="n">
        <v>22.5</v>
      </c>
      <c r="M1456" s="0" t="n">
        <v>0</v>
      </c>
      <c r="N1456" s="0" t="n">
        <f aca="false">L1456</f>
        <v>22.5</v>
      </c>
      <c r="O1456" s="3" t="n">
        <f aca="false">LOOKUP(L1456,$AB$3:$AC$123)</f>
        <v>1.092175</v>
      </c>
      <c r="P1456" s="3" t="n">
        <f aca="false">(O1456*(N1456/100)*(J1456/1000))*1000</f>
        <v>1.14806364257813</v>
      </c>
      <c r="Q1456" s="3"/>
      <c r="R1456" s="1"/>
      <c r="S1456" s="1"/>
      <c r="T1456" s="1"/>
      <c r="U1456" s="1"/>
      <c r="V1456" s="1"/>
      <c r="W1456" s="1"/>
      <c r="X1456" s="1"/>
      <c r="Y1456" s="5"/>
      <c r="Z1456" s="1"/>
    </row>
    <row r="1457" customFormat="false" ht="15" hidden="false" customHeight="false" outlineLevel="0" collapsed="false">
      <c r="A1457" s="0" t="s">
        <v>61</v>
      </c>
      <c r="B1457" s="0" t="s">
        <v>62</v>
      </c>
      <c r="C1457" s="0" t="s">
        <v>56</v>
      </c>
      <c r="D1457" s="0" t="s">
        <v>158</v>
      </c>
      <c r="E1457" s="0" t="n">
        <v>31</v>
      </c>
      <c r="F1457" s="0" t="n">
        <v>3</v>
      </c>
      <c r="G1457" s="1"/>
      <c r="H1457" s="1"/>
      <c r="I1457" s="0" t="n">
        <f aca="false">32+25.7</f>
        <v>57.7</v>
      </c>
      <c r="J1457" s="0" t="n">
        <f aca="false">(I1457/32)*5</f>
        <v>9.015625</v>
      </c>
      <c r="L1457" s="0" t="n">
        <v>22</v>
      </c>
      <c r="M1457" s="0" t="n">
        <v>0</v>
      </c>
      <c r="N1457" s="0" t="n">
        <f aca="false">L1457</f>
        <v>22</v>
      </c>
      <c r="O1457" s="3" t="n">
        <f aca="false">LOOKUP(L1457,$AB$3:$AC$123)</f>
        <v>1.0899</v>
      </c>
      <c r="P1457" s="3" t="n">
        <f aca="false">(O1457*(N1457/100)*(J1457/1000))*1000</f>
        <v>2.16174853125</v>
      </c>
      <c r="Q1457" s="3"/>
      <c r="R1457" s="1"/>
      <c r="S1457" s="1"/>
      <c r="T1457" s="1"/>
      <c r="U1457" s="1"/>
      <c r="V1457" s="1"/>
      <c r="W1457" s="1"/>
      <c r="X1457" s="1"/>
      <c r="Y1457" s="5"/>
      <c r="Z1457" s="1"/>
    </row>
    <row r="1458" customFormat="false" ht="15" hidden="false" customHeight="false" outlineLevel="0" collapsed="false">
      <c r="A1458" s="0" t="s">
        <v>63</v>
      </c>
      <c r="B1458" s="0" t="s">
        <v>64</v>
      </c>
      <c r="C1458" s="0" t="s">
        <v>56</v>
      </c>
      <c r="D1458" s="0" t="s">
        <v>158</v>
      </c>
      <c r="E1458" s="0" t="n">
        <v>31</v>
      </c>
      <c r="F1458" s="0" t="n">
        <v>1</v>
      </c>
      <c r="G1458" s="1"/>
      <c r="H1458" s="1"/>
      <c r="I1458" s="0" t="n">
        <f aca="false">32+4.3</f>
        <v>36.3</v>
      </c>
      <c r="J1458" s="0" t="n">
        <f aca="false">(I1458/32)*5</f>
        <v>5.671875</v>
      </c>
      <c r="L1458" s="0" t="n">
        <v>22</v>
      </c>
      <c r="M1458" s="0" t="n">
        <v>0</v>
      </c>
      <c r="N1458" s="0" t="n">
        <f aca="false">L1458</f>
        <v>22</v>
      </c>
      <c r="O1458" s="3" t="n">
        <f aca="false">LOOKUP(L1458,$AB$3:$AC$123)</f>
        <v>1.0899</v>
      </c>
      <c r="P1458" s="3" t="n">
        <f aca="false">(O1458*(N1458/100)*(J1458/1000))*1000</f>
        <v>1.35999084375</v>
      </c>
      <c r="Q1458" s="3"/>
      <c r="R1458" s="1"/>
      <c r="S1458" s="1"/>
      <c r="T1458" s="1"/>
      <c r="U1458" s="1"/>
      <c r="V1458" s="1"/>
      <c r="W1458" s="1"/>
      <c r="X1458" s="1"/>
      <c r="Y1458" s="5"/>
      <c r="Z1458" s="1"/>
    </row>
    <row r="1459" customFormat="false" ht="15" hidden="false" customHeight="false" outlineLevel="0" collapsed="false">
      <c r="A1459" s="0" t="s">
        <v>65</v>
      </c>
      <c r="B1459" s="0" t="s">
        <v>66</v>
      </c>
      <c r="C1459" s="0" t="s">
        <v>56</v>
      </c>
      <c r="D1459" s="0" t="s">
        <v>158</v>
      </c>
      <c r="E1459" s="0" t="n">
        <v>31</v>
      </c>
      <c r="F1459" s="0" t="n">
        <v>3</v>
      </c>
      <c r="G1459" s="1"/>
      <c r="H1459" s="1"/>
      <c r="I1459" s="0" t="n">
        <v>29</v>
      </c>
      <c r="J1459" s="0" t="n">
        <f aca="false">(I1459/32)*5</f>
        <v>4.53125</v>
      </c>
      <c r="L1459" s="0" t="n">
        <v>20</v>
      </c>
      <c r="M1459" s="0" t="n">
        <v>0</v>
      </c>
      <c r="N1459" s="0" t="n">
        <f aca="false">L1459</f>
        <v>20</v>
      </c>
      <c r="O1459" s="3" t="n">
        <f aca="false">LOOKUP(L1459,$AB$3:$AC$123)</f>
        <v>1.081</v>
      </c>
      <c r="P1459" s="3" t="n">
        <f aca="false">(O1459*(N1459/100)*(J1459/1000))*1000</f>
        <v>0.97965625</v>
      </c>
      <c r="Q1459" s="3"/>
      <c r="R1459" s="1"/>
      <c r="S1459" s="1"/>
      <c r="T1459" s="1"/>
      <c r="U1459" s="1"/>
      <c r="V1459" s="1"/>
      <c r="W1459" s="1"/>
      <c r="X1459" s="1"/>
      <c r="Y1459" s="5"/>
      <c r="Z1459" s="1"/>
    </row>
    <row r="1460" customFormat="false" ht="15" hidden="false" customHeight="false" outlineLevel="0" collapsed="false">
      <c r="A1460" s="0" t="s">
        <v>67</v>
      </c>
      <c r="B1460" s="0" t="s">
        <v>68</v>
      </c>
      <c r="C1460" s="0" t="s">
        <v>56</v>
      </c>
      <c r="D1460" s="0" t="s">
        <v>158</v>
      </c>
      <c r="E1460" s="0" t="n">
        <v>31</v>
      </c>
      <c r="F1460" s="0" t="n">
        <v>1</v>
      </c>
      <c r="G1460" s="1"/>
      <c r="H1460" s="1"/>
      <c r="I1460" s="0" t="n">
        <v>47</v>
      </c>
      <c r="J1460" s="0" t="n">
        <f aca="false">(I1460/32)*5</f>
        <v>7.34375</v>
      </c>
      <c r="L1460" s="0" t="n">
        <v>23.5</v>
      </c>
      <c r="M1460" s="0" t="n">
        <v>0</v>
      </c>
      <c r="N1460" s="0" t="n">
        <f aca="false">L1460</f>
        <v>23.5</v>
      </c>
      <c r="O1460" s="3" t="n">
        <f aca="false">LOOKUP(L1460,$AB$3:$AC$123)</f>
        <v>1.096725</v>
      </c>
      <c r="P1460" s="3" t="n">
        <f aca="false">(O1460*(N1460/100)*(J1460/1000))*1000</f>
        <v>1.89270744140625</v>
      </c>
      <c r="Q1460" s="3"/>
      <c r="R1460" s="1"/>
      <c r="S1460" s="1"/>
      <c r="T1460" s="1"/>
      <c r="U1460" s="1"/>
      <c r="V1460" s="1"/>
      <c r="W1460" s="1"/>
      <c r="X1460" s="1"/>
      <c r="Y1460" s="5"/>
      <c r="Z1460" s="1"/>
    </row>
    <row r="1461" customFormat="false" ht="15" hidden="false" customHeight="false" outlineLevel="0" collapsed="false">
      <c r="A1461" s="0" t="s">
        <v>69</v>
      </c>
      <c r="B1461" s="0" t="s">
        <v>70</v>
      </c>
      <c r="C1461" s="0" t="s">
        <v>56</v>
      </c>
      <c r="D1461" s="0" t="s">
        <v>158</v>
      </c>
      <c r="E1461" s="0" t="n">
        <v>31</v>
      </c>
      <c r="F1461" s="0" t="n">
        <v>2</v>
      </c>
      <c r="G1461" s="1"/>
      <c r="H1461" s="1"/>
      <c r="I1461" s="0" t="n">
        <f aca="false">32*5+9.8</f>
        <v>169.8</v>
      </c>
      <c r="J1461" s="0" t="n">
        <f aca="false">(I1461/32)*5</f>
        <v>26.53125</v>
      </c>
      <c r="L1461" s="0" t="n">
        <v>21</v>
      </c>
      <c r="M1461" s="0" t="n">
        <v>0</v>
      </c>
      <c r="N1461" s="0" t="n">
        <f aca="false">L1461</f>
        <v>21</v>
      </c>
      <c r="O1461" s="3" t="n">
        <f aca="false">LOOKUP(L1461,$AB$3:$AC$123)</f>
        <v>1.08545</v>
      </c>
      <c r="P1461" s="3" t="n">
        <f aca="false">(O1461*(N1461/100)*(J1461/1000))*1000</f>
        <v>6.047652515625</v>
      </c>
      <c r="Q1461" s="3"/>
      <c r="R1461" s="1"/>
      <c r="S1461" s="1"/>
      <c r="T1461" s="1"/>
      <c r="U1461" s="1"/>
      <c r="V1461" s="1"/>
      <c r="W1461" s="1"/>
      <c r="X1461" s="1"/>
      <c r="Y1461" s="5"/>
      <c r="Z1461" s="1"/>
    </row>
    <row r="1462" customFormat="false" ht="15" hidden="false" customHeight="false" outlineLevel="0" collapsed="false">
      <c r="A1462" s="0" t="s">
        <v>71</v>
      </c>
      <c r="B1462" s="0" t="s">
        <v>72</v>
      </c>
      <c r="C1462" s="0" t="s">
        <v>56</v>
      </c>
      <c r="D1462" s="0" t="s">
        <v>158</v>
      </c>
      <c r="E1462" s="0" t="n">
        <v>31</v>
      </c>
      <c r="F1462" s="0" t="n">
        <v>1</v>
      </c>
      <c r="G1462" s="1"/>
      <c r="H1462" s="1"/>
      <c r="I1462" s="0" t="n">
        <v>43</v>
      </c>
      <c r="J1462" s="0" t="n">
        <f aca="false">(I1462/32)*5</f>
        <v>6.71875</v>
      </c>
      <c r="L1462" s="0" t="n">
        <v>22</v>
      </c>
      <c r="M1462" s="0" t="n">
        <v>0</v>
      </c>
      <c r="N1462" s="0" t="n">
        <f aca="false">L1462</f>
        <v>22</v>
      </c>
      <c r="O1462" s="3" t="n">
        <f aca="false">LOOKUP(L1462,$AB$3:$AC$123)</f>
        <v>1.0899</v>
      </c>
      <c r="P1462" s="3" t="n">
        <f aca="false">(O1462*(N1462/100)*(J1462/1000))*1000</f>
        <v>1.6110084375</v>
      </c>
      <c r="Q1462" s="3"/>
      <c r="R1462" s="1"/>
      <c r="S1462" s="1"/>
      <c r="T1462" s="1"/>
      <c r="U1462" s="1"/>
      <c r="V1462" s="1"/>
      <c r="W1462" s="1"/>
      <c r="X1462" s="1"/>
      <c r="Y1462" s="5"/>
      <c r="Z1462" s="1"/>
    </row>
    <row r="1463" customFormat="false" ht="15" hidden="false" customHeight="false" outlineLevel="0" collapsed="false">
      <c r="A1463" s="0" t="s">
        <v>73</v>
      </c>
      <c r="B1463" s="0" t="s">
        <v>74</v>
      </c>
      <c r="C1463" s="0" t="s">
        <v>56</v>
      </c>
      <c r="D1463" s="0" t="s">
        <v>158</v>
      </c>
      <c r="E1463" s="0" t="n">
        <v>31</v>
      </c>
      <c r="F1463" s="0" t="n">
        <v>2</v>
      </c>
      <c r="G1463" s="1"/>
      <c r="H1463" s="1"/>
      <c r="I1463" s="0" t="n">
        <f aca="false">32*3+15.1</f>
        <v>111.1</v>
      </c>
      <c r="J1463" s="0" t="n">
        <f aca="false">(I1463/32)*5</f>
        <v>17.359375</v>
      </c>
      <c r="L1463" s="0" t="n">
        <v>21.5</v>
      </c>
      <c r="M1463" s="0" t="n">
        <v>0</v>
      </c>
      <c r="N1463" s="0" t="n">
        <f aca="false">L1463</f>
        <v>21.5</v>
      </c>
      <c r="O1463" s="3" t="n">
        <f aca="false">LOOKUP(L1463,$AB$3:$AC$123)</f>
        <v>1.087675</v>
      </c>
      <c r="P1463" s="3" t="n">
        <f aca="false">(O1463*(N1463/100)*(J1463/1000))*1000</f>
        <v>4.05949201367188</v>
      </c>
      <c r="Q1463" s="3"/>
      <c r="R1463" s="1"/>
      <c r="S1463" s="1"/>
      <c r="T1463" s="1"/>
      <c r="U1463" s="1"/>
      <c r="V1463" s="1"/>
      <c r="W1463" s="1"/>
      <c r="X1463" s="1"/>
      <c r="Y1463" s="5"/>
      <c r="Z1463" s="1"/>
    </row>
    <row r="1464" customFormat="false" ht="15" hidden="false" customHeight="false" outlineLevel="0" collapsed="false">
      <c r="A1464" s="0" t="s">
        <v>75</v>
      </c>
      <c r="B1464" s="0" t="s">
        <v>76</v>
      </c>
      <c r="C1464" s="0" t="s">
        <v>56</v>
      </c>
      <c r="D1464" s="0" t="s">
        <v>158</v>
      </c>
      <c r="E1464" s="0" t="n">
        <v>31</v>
      </c>
      <c r="F1464" s="0" t="n">
        <v>1</v>
      </c>
      <c r="G1464" s="1"/>
      <c r="H1464" s="1"/>
      <c r="I1464" s="0" t="n">
        <v>37.6</v>
      </c>
      <c r="J1464" s="0" t="n">
        <f aca="false">(I1464/32)*5</f>
        <v>5.875</v>
      </c>
      <c r="L1464" s="0" t="n">
        <v>20.5</v>
      </c>
      <c r="M1464" s="0" t="n">
        <v>0</v>
      </c>
      <c r="N1464" s="0" t="n">
        <f aca="false">L1464</f>
        <v>20.5</v>
      </c>
      <c r="O1464" s="3" t="n">
        <f aca="false">LOOKUP(L1464,$AB$3:$AC$123)</f>
        <v>1.083225</v>
      </c>
      <c r="P1464" s="3" t="n">
        <f aca="false">(O1464*(N1464/100)*(J1464/1000))*1000</f>
        <v>1.304609109375</v>
      </c>
      <c r="Q1464" s="3"/>
      <c r="R1464" s="1"/>
      <c r="S1464" s="1"/>
      <c r="T1464" s="1"/>
      <c r="U1464" s="1"/>
      <c r="V1464" s="1"/>
      <c r="W1464" s="1"/>
      <c r="X1464" s="1"/>
      <c r="Y1464" s="5"/>
      <c r="Z1464" s="1"/>
    </row>
    <row r="1465" customFormat="false" ht="15" hidden="false" customHeight="false" outlineLevel="0" collapsed="false">
      <c r="A1465" s="0" t="s">
        <v>77</v>
      </c>
      <c r="B1465" s="0" t="s">
        <v>78</v>
      </c>
      <c r="C1465" s="0" t="s">
        <v>56</v>
      </c>
      <c r="D1465" s="0" t="s">
        <v>158</v>
      </c>
      <c r="E1465" s="0" t="n">
        <v>31</v>
      </c>
      <c r="F1465" s="0" t="n">
        <v>1</v>
      </c>
      <c r="G1465" s="1"/>
      <c r="H1465" s="1"/>
      <c r="I1465" s="0" t="n">
        <v>43</v>
      </c>
      <c r="J1465" s="0" t="n">
        <f aca="false">(I1465/32)*5</f>
        <v>6.71875</v>
      </c>
      <c r="L1465" s="0" t="n">
        <v>19</v>
      </c>
      <c r="M1465" s="0" t="n">
        <v>0</v>
      </c>
      <c r="N1465" s="0" t="n">
        <f aca="false">L1465</f>
        <v>19</v>
      </c>
      <c r="O1465" s="3" t="n">
        <f aca="false">LOOKUP(L1465,$AB$3:$AC$123)</f>
        <v>1.0765</v>
      </c>
      <c r="P1465" s="3" t="n">
        <f aca="false">(O1465*(N1465/100)*(J1465/1000))*1000</f>
        <v>1.37421953125</v>
      </c>
      <c r="Q1465" s="3"/>
      <c r="R1465" s="1"/>
      <c r="S1465" s="1"/>
      <c r="T1465" s="1"/>
      <c r="U1465" s="1"/>
      <c r="V1465" s="1"/>
      <c r="W1465" s="1"/>
      <c r="X1465" s="1"/>
      <c r="Y1465" s="5"/>
      <c r="Z1465" s="1"/>
    </row>
    <row r="1466" customFormat="false" ht="15" hidden="false" customHeight="false" outlineLevel="0" collapsed="false">
      <c r="A1466" s="0" t="s">
        <v>79</v>
      </c>
      <c r="B1466" s="0" t="s">
        <v>80</v>
      </c>
      <c r="C1466" s="0" t="s">
        <v>81</v>
      </c>
      <c r="D1466" s="0" t="s">
        <v>158</v>
      </c>
      <c r="E1466" s="0" t="n">
        <v>31</v>
      </c>
      <c r="F1466" s="0" t="n">
        <v>0</v>
      </c>
      <c r="G1466" s="1"/>
      <c r="H1466" s="1"/>
      <c r="I1466" s="0" t="n">
        <v>0</v>
      </c>
      <c r="J1466" s="0" t="n">
        <f aca="false">(I1466/32)*5</f>
        <v>0</v>
      </c>
      <c r="L1466" s="0" t="n">
        <v>0</v>
      </c>
      <c r="M1466" s="0" t="n">
        <v>0</v>
      </c>
      <c r="N1466" s="0" t="n">
        <f aca="false">L1466</f>
        <v>0</v>
      </c>
      <c r="O1466" s="3" t="n">
        <v>0</v>
      </c>
      <c r="P1466" s="3" t="n">
        <f aca="false">(O1466*(N1466/100)*(J1466/1000))*1000</f>
        <v>0</v>
      </c>
      <c r="Q1466" s="3"/>
      <c r="R1466" s="0" t="n">
        <v>2</v>
      </c>
      <c r="S1466" s="0" t="n">
        <v>2.3</v>
      </c>
      <c r="T1466" s="0" t="n">
        <f aca="false">(S1466/32)*5</f>
        <v>0.359375</v>
      </c>
      <c r="V1466" s="0" t="n">
        <v>6</v>
      </c>
      <c r="W1466" s="0" t="n">
        <v>4</v>
      </c>
      <c r="X1466" s="3" t="n">
        <f aca="false">LOOKUP(V1466,$AB$3:$AC$123)</f>
        <v>1.0218</v>
      </c>
      <c r="Y1466" s="2" t="n">
        <f aca="false">(V1466*((W1466+T1466)/1000)*X1466)/((((W1466+T1466)/1000)*X1466)-((W1466/1000)*0.9982))</f>
        <v>57.8984260230849</v>
      </c>
      <c r="Z1466" s="3" t="n">
        <f aca="false">(X1466*(V1466/100)*((W1466+T1466)/1000))*1000</f>
        <v>0.2672645625</v>
      </c>
    </row>
    <row r="1467" customFormat="false" ht="15" hidden="false" customHeight="false" outlineLevel="0" collapsed="false">
      <c r="A1467" s="0" t="s">
        <v>82</v>
      </c>
      <c r="B1467" s="0" t="s">
        <v>83</v>
      </c>
      <c r="C1467" s="0" t="s">
        <v>81</v>
      </c>
      <c r="D1467" s="0" t="s">
        <v>158</v>
      </c>
      <c r="E1467" s="0" t="n">
        <v>31</v>
      </c>
      <c r="F1467" s="0" t="n">
        <v>0</v>
      </c>
      <c r="G1467" s="1"/>
      <c r="H1467" s="1"/>
      <c r="I1467" s="0" t="n">
        <v>0</v>
      </c>
      <c r="J1467" s="0" t="n">
        <f aca="false">(I1467/32)*5</f>
        <v>0</v>
      </c>
      <c r="L1467" s="0" t="n">
        <v>0</v>
      </c>
      <c r="M1467" s="0" t="n">
        <v>0</v>
      </c>
      <c r="N1467" s="0" t="n">
        <f aca="false">L1467</f>
        <v>0</v>
      </c>
      <c r="O1467" s="3" t="n">
        <v>0</v>
      </c>
      <c r="P1467" s="3" t="n">
        <f aca="false">(O1467*(N1467/100)*(J1467/1000))*1000</f>
        <v>0</v>
      </c>
      <c r="Q1467" s="3"/>
      <c r="R1467" s="0" t="n">
        <v>3</v>
      </c>
      <c r="S1467" s="0" t="n">
        <v>5.5</v>
      </c>
      <c r="T1467" s="0" t="n">
        <f aca="false">(S1467/32)*5</f>
        <v>0.859375</v>
      </c>
      <c r="V1467" s="0" t="n">
        <v>13</v>
      </c>
      <c r="W1467" s="0" t="n">
        <v>4</v>
      </c>
      <c r="X1467" s="3" t="n">
        <f aca="false">LOOKUP(V1467,$AB$3:$AC$123)</f>
        <v>1.0507</v>
      </c>
      <c r="Y1467" s="2" t="n">
        <f aca="false">(V1467*((W1467+T1467)/1000)*X1467)/((((W1467+T1467)/1000)*X1467)-((W1467/1000)*0.9982))</f>
        <v>59.6387695936318</v>
      </c>
      <c r="Z1467" s="3" t="n">
        <f aca="false">(X1467*(V1467/100)*((W1467+T1467)/1000))*1000</f>
        <v>0.663746890625</v>
      </c>
    </row>
    <row r="1468" customFormat="false" ht="15" hidden="false" customHeight="false" outlineLevel="0" collapsed="false">
      <c r="A1468" s="0" t="s">
        <v>84</v>
      </c>
      <c r="B1468" s="0" t="s">
        <v>85</v>
      </c>
      <c r="C1468" s="0" t="s">
        <v>81</v>
      </c>
      <c r="D1468" s="0" t="s">
        <v>158</v>
      </c>
      <c r="E1468" s="0" t="n">
        <v>31</v>
      </c>
      <c r="F1468" s="0" t="n">
        <v>3</v>
      </c>
      <c r="G1468" s="1"/>
      <c r="H1468" s="1"/>
      <c r="I1468" s="0" t="n">
        <v>25.7</v>
      </c>
      <c r="J1468" s="0" t="n">
        <f aca="false">(I1468/32)*5</f>
        <v>4.015625</v>
      </c>
      <c r="L1468" s="0" t="n">
        <v>22</v>
      </c>
      <c r="M1468" s="0" t="n">
        <v>0</v>
      </c>
      <c r="N1468" s="0" t="n">
        <f aca="false">L1468</f>
        <v>22</v>
      </c>
      <c r="O1468" s="3" t="n">
        <f aca="false">LOOKUP(L1468,$AB$3:$AC$123)</f>
        <v>1.0899</v>
      </c>
      <c r="P1468" s="3" t="n">
        <f aca="false">(O1468*(N1468/100)*(J1468/1000))*1000</f>
        <v>0.96285853125</v>
      </c>
      <c r="Q1468" s="3"/>
      <c r="R1468" s="0" t="n">
        <v>4</v>
      </c>
      <c r="S1468" s="0" t="n">
        <v>10.7</v>
      </c>
      <c r="T1468" s="0" t="n">
        <f aca="false">(S1468/32)*5</f>
        <v>1.671875</v>
      </c>
      <c r="V1468" s="0" t="n">
        <v>17</v>
      </c>
      <c r="W1468" s="0" t="n">
        <v>4</v>
      </c>
      <c r="X1468" s="3" t="n">
        <f aca="false">LOOKUP(V1468,$AB$3:$AC$123)</f>
        <v>1.0678</v>
      </c>
      <c r="Y1468" s="2" t="n">
        <f aca="false">(V1468*((W1468+T1468)/1000)*X1468)/((((W1468+T1468)/1000)*X1468)-((W1468/1000)*0.9982))</f>
        <v>49.892360390756</v>
      </c>
      <c r="Z1468" s="3" t="n">
        <f aca="false">(X1468*(V1468/100)*((W1468+T1468)/1000))*1000</f>
        <v>1.02959278125</v>
      </c>
    </row>
    <row r="1469" customFormat="false" ht="15" hidden="false" customHeight="false" outlineLevel="0" collapsed="false">
      <c r="A1469" s="0" t="s">
        <v>86</v>
      </c>
      <c r="B1469" s="0" t="s">
        <v>87</v>
      </c>
      <c r="C1469" s="0" t="s">
        <v>81</v>
      </c>
      <c r="D1469" s="0" t="s">
        <v>158</v>
      </c>
      <c r="E1469" s="0" t="n">
        <v>31</v>
      </c>
      <c r="F1469" s="0" t="n">
        <v>1</v>
      </c>
      <c r="G1469" s="1"/>
      <c r="H1469" s="1"/>
      <c r="I1469" s="0" t="n">
        <v>14.3</v>
      </c>
      <c r="J1469" s="0" t="n">
        <f aca="false">(I1469/32)*5</f>
        <v>2.234375</v>
      </c>
      <c r="L1469" s="0" t="n">
        <v>23.5</v>
      </c>
      <c r="M1469" s="0" t="n">
        <v>0</v>
      </c>
      <c r="N1469" s="0" t="n">
        <f aca="false">L1469</f>
        <v>23.5</v>
      </c>
      <c r="O1469" s="3" t="n">
        <f aca="false">LOOKUP(L1469,$AB$3:$AC$123)</f>
        <v>1.096725</v>
      </c>
      <c r="P1469" s="3" t="n">
        <f aca="false">(O1469*(N1469/100)*(J1469/1000))*1000</f>
        <v>0.575866306640625</v>
      </c>
      <c r="Q1469" s="3"/>
      <c r="R1469" s="0" t="n">
        <v>4</v>
      </c>
      <c r="S1469" s="0" t="n">
        <v>11.7</v>
      </c>
      <c r="T1469" s="0" t="n">
        <f aca="false">(S1469/32)*5</f>
        <v>1.828125</v>
      </c>
      <c r="V1469" s="0" t="n">
        <v>41</v>
      </c>
      <c r="W1469" s="0" t="n">
        <v>4</v>
      </c>
      <c r="X1469" s="3" t="n">
        <f aca="false">LOOKUP(V1469,$AB$3:$AC$123)</f>
        <v>1.1816</v>
      </c>
      <c r="Y1469" s="2" t="n">
        <f aca="false">(V1469*((W1469+T1469)/1000)*X1469)/((((W1469+T1469)/1000)*X1469)-((W1469/1000)*0.9982))</f>
        <v>97.5725862538176</v>
      </c>
      <c r="Z1469" s="3" t="n">
        <f aca="false">(X1469*(V1469/100)*((W1469+T1469)/1000))*1000</f>
        <v>2.823470125</v>
      </c>
    </row>
    <row r="1470" customFormat="false" ht="15" hidden="false" customHeight="false" outlineLevel="0" collapsed="false">
      <c r="A1470" s="0" t="s">
        <v>88</v>
      </c>
      <c r="B1470" s="0" t="s">
        <v>89</v>
      </c>
      <c r="C1470" s="0" t="s">
        <v>81</v>
      </c>
      <c r="D1470" s="0" t="s">
        <v>158</v>
      </c>
      <c r="E1470" s="0" t="n">
        <v>31</v>
      </c>
      <c r="F1470" s="0" t="n">
        <v>1</v>
      </c>
      <c r="G1470" s="1"/>
      <c r="H1470" s="1"/>
      <c r="I1470" s="0" t="n">
        <v>23.3</v>
      </c>
      <c r="J1470" s="0" t="n">
        <f aca="false">(I1470/32)*5</f>
        <v>3.640625</v>
      </c>
      <c r="L1470" s="0" t="n">
        <v>22.5</v>
      </c>
      <c r="M1470" s="0" t="n">
        <v>0</v>
      </c>
      <c r="N1470" s="0" t="n">
        <f aca="false">L1470</f>
        <v>22.5</v>
      </c>
      <c r="O1470" s="3" t="n">
        <f aca="false">LOOKUP(L1470,$AB$3:$AC$123)</f>
        <v>1.092175</v>
      </c>
      <c r="P1470" s="3" t="n">
        <f aca="false">(O1470*(N1470/100)*(J1470/1000))*1000</f>
        <v>0.894644912109375</v>
      </c>
      <c r="Q1470" s="3"/>
      <c r="R1470" s="0" t="n">
        <v>2</v>
      </c>
      <c r="S1470" s="0" t="n">
        <v>2.3</v>
      </c>
      <c r="T1470" s="0" t="n">
        <f aca="false">(S1470/32)*5</f>
        <v>0.359375</v>
      </c>
      <c r="V1470" s="0" t="n">
        <v>5</v>
      </c>
      <c r="W1470" s="0" t="n">
        <v>4</v>
      </c>
      <c r="X1470" s="3" t="n">
        <f aca="false">LOOKUP(V1470,$AB$3:$AC$123)</f>
        <v>1.0179</v>
      </c>
      <c r="Y1470" s="2" t="n">
        <f aca="false">(V1470*((W1470+T1470)/1000)*X1470)/((((W1470+T1470)/1000)*X1470)-((W1470/1000)*0.9982))</f>
        <v>49.9024948251443</v>
      </c>
      <c r="Z1470" s="3" t="n">
        <f aca="false">(X1470*(V1470/100)*((W1470+T1470)/1000))*1000</f>
        <v>0.221870390625</v>
      </c>
    </row>
    <row r="1471" customFormat="false" ht="15" hidden="false" customHeight="false" outlineLevel="0" collapsed="false">
      <c r="A1471" s="0" t="s">
        <v>90</v>
      </c>
      <c r="B1471" s="0" t="s">
        <v>91</v>
      </c>
      <c r="C1471" s="0" t="s">
        <v>81</v>
      </c>
      <c r="D1471" s="0" t="s">
        <v>158</v>
      </c>
      <c r="E1471" s="0" t="n">
        <v>31</v>
      </c>
      <c r="F1471" s="0" t="n">
        <v>1</v>
      </c>
      <c r="G1471" s="1"/>
      <c r="H1471" s="1"/>
      <c r="I1471" s="0" t="n">
        <v>20.5</v>
      </c>
      <c r="J1471" s="0" t="n">
        <f aca="false">(I1471/32)*5</f>
        <v>3.203125</v>
      </c>
      <c r="L1471" s="0" t="n">
        <v>21</v>
      </c>
      <c r="M1471" s="0" t="n">
        <v>0</v>
      </c>
      <c r="N1471" s="0" t="n">
        <f aca="false">L1471</f>
        <v>21</v>
      </c>
      <c r="O1471" s="3" t="n">
        <f aca="false">LOOKUP(L1471,$AB$3:$AC$123)</f>
        <v>1.08545</v>
      </c>
      <c r="P1471" s="3" t="n">
        <f aca="false">(O1471*(N1471/100)*(J1471/1000))*1000</f>
        <v>0.7301347265625</v>
      </c>
      <c r="Q1471" s="3"/>
      <c r="R1471" s="0" t="n">
        <v>2</v>
      </c>
      <c r="S1471" s="0" t="n">
        <v>5.2</v>
      </c>
      <c r="T1471" s="0" t="n">
        <f aca="false">(S1471/32)*5</f>
        <v>0.8125</v>
      </c>
      <c r="V1471" s="0" t="n">
        <v>11</v>
      </c>
      <c r="W1471" s="0" t="n">
        <v>4</v>
      </c>
      <c r="X1471" s="3" t="n">
        <f aca="false">LOOKUP(V1471,$AB$3:$AC$123)</f>
        <v>1.0423</v>
      </c>
      <c r="Y1471" s="2" t="n">
        <f aca="false">(V1471*((W1471+T1471)/1000)*X1471)/((((W1471+T1471)/1000)*X1471)-((W1471/1000)*0.9982))</f>
        <v>53.9220573773997</v>
      </c>
      <c r="Z1471" s="3" t="n">
        <f aca="false">(X1471*(V1471/100)*((W1471+T1471)/1000))*1000</f>
        <v>0.5517675625</v>
      </c>
    </row>
    <row r="1472" customFormat="false" ht="15" hidden="false" customHeight="false" outlineLevel="0" collapsed="false">
      <c r="A1472" s="0" t="s">
        <v>92</v>
      </c>
      <c r="B1472" s="0" t="s">
        <v>93</v>
      </c>
      <c r="C1472" s="0" t="s">
        <v>81</v>
      </c>
      <c r="D1472" s="0" t="s">
        <v>158</v>
      </c>
      <c r="E1472" s="0" t="n">
        <v>31</v>
      </c>
      <c r="F1472" s="0" t="n">
        <v>2</v>
      </c>
      <c r="G1472" s="1"/>
      <c r="H1472" s="1"/>
      <c r="I1472" s="0" t="n">
        <f aca="false">32*3+8.6</f>
        <v>104.6</v>
      </c>
      <c r="J1472" s="0" t="n">
        <f aca="false">(I1472/32)*5</f>
        <v>16.34375</v>
      </c>
      <c r="L1472" s="0" t="n">
        <v>21</v>
      </c>
      <c r="M1472" s="0" t="n">
        <v>0</v>
      </c>
      <c r="N1472" s="0" t="n">
        <f aca="false">L1472</f>
        <v>21</v>
      </c>
      <c r="O1472" s="3" t="n">
        <f aca="false">LOOKUP(L1472,$AB$3:$AC$123)</f>
        <v>1.08545</v>
      </c>
      <c r="P1472" s="3" t="n">
        <f aca="false">(O1472*(N1472/100)*(J1472/1000))*1000</f>
        <v>3.725467921875</v>
      </c>
      <c r="Q1472" s="3"/>
      <c r="R1472" s="0" t="n">
        <v>3</v>
      </c>
      <c r="S1472" s="0" t="n">
        <v>5.2</v>
      </c>
      <c r="T1472" s="0" t="n">
        <f aca="false">(S1472/32)*5</f>
        <v>0.8125</v>
      </c>
      <c r="V1472" s="0" t="n">
        <v>9</v>
      </c>
      <c r="W1472" s="0" t="n">
        <v>4</v>
      </c>
      <c r="X1472" s="3" t="n">
        <f aca="false">LOOKUP(V1472,$AB$3:$AC$123)</f>
        <v>1.0341</v>
      </c>
      <c r="Y1472" s="2" t="n">
        <f aca="false">(V1472*((W1472+T1472)/1000)*X1472)/((((W1472+T1472)/1000)*X1472)-((W1472/1000)*0.9982))</f>
        <v>45.5267043180505</v>
      </c>
      <c r="Z1472" s="3" t="n">
        <f aca="false">(X1472*(V1472/100)*((W1472+T1472)/1000))*1000</f>
        <v>0.4478945625</v>
      </c>
    </row>
    <row r="1473" customFormat="false" ht="15" hidden="false" customHeight="false" outlineLevel="0" collapsed="false">
      <c r="A1473" s="0" t="s">
        <v>94</v>
      </c>
      <c r="B1473" s="0" t="s">
        <v>95</v>
      </c>
      <c r="C1473" s="0" t="s">
        <v>81</v>
      </c>
      <c r="D1473" s="0" t="s">
        <v>158</v>
      </c>
      <c r="E1473" s="0" t="n">
        <v>31</v>
      </c>
      <c r="F1473" s="0" t="n">
        <v>1</v>
      </c>
      <c r="G1473" s="1"/>
      <c r="H1473" s="1"/>
      <c r="I1473" s="0" t="n">
        <f aca="false">32+8.6</f>
        <v>40.6</v>
      </c>
      <c r="J1473" s="0" t="n">
        <f aca="false">(I1473/32)*5</f>
        <v>6.34375</v>
      </c>
      <c r="L1473" s="0" t="n">
        <v>18</v>
      </c>
      <c r="M1473" s="0" t="n">
        <v>0</v>
      </c>
      <c r="N1473" s="0" t="n">
        <f aca="false">L1473</f>
        <v>18</v>
      </c>
      <c r="O1473" s="3" t="n">
        <f aca="false">LOOKUP(L1473,$AB$3:$AC$123)</f>
        <v>1.0722</v>
      </c>
      <c r="P1473" s="3" t="n">
        <f aca="false">(O1473*(N1473/100)*(J1473/1000))*1000</f>
        <v>1.224318375</v>
      </c>
      <c r="Q1473" s="3"/>
      <c r="R1473" s="0" t="n">
        <v>4</v>
      </c>
      <c r="S1473" s="0" t="n">
        <v>12.9</v>
      </c>
      <c r="T1473" s="0" t="n">
        <f aca="false">(S1473/32)*5</f>
        <v>2.015625</v>
      </c>
      <c r="V1473" s="0" t="n">
        <v>16</v>
      </c>
      <c r="W1473" s="0" t="n">
        <v>4</v>
      </c>
      <c r="X1473" s="3" t="n">
        <f aca="false">LOOKUP(V1473,$AB$3:$AC$123)</f>
        <v>1.0635</v>
      </c>
      <c r="Y1473" s="2" t="n">
        <f aca="false">(V1473*((W1473+T1473)/1000)*X1473)/((((W1473+T1473)/1000)*X1473)-((W1473/1000)*0.9982))</f>
        <v>42.5653457285929</v>
      </c>
      <c r="Z1473" s="3" t="n">
        <f aca="false">(X1473*(V1473/100)*((W1473+T1473)/1000))*1000</f>
        <v>1.02361875</v>
      </c>
    </row>
    <row r="1474" customFormat="false" ht="15" hidden="false" customHeight="false" outlineLevel="0" collapsed="false">
      <c r="A1474" s="0" t="s">
        <v>96</v>
      </c>
      <c r="B1474" s="0" t="s">
        <v>97</v>
      </c>
      <c r="C1474" s="0" t="s">
        <v>81</v>
      </c>
      <c r="D1474" s="0" t="s">
        <v>158</v>
      </c>
      <c r="E1474" s="0" t="n">
        <v>31</v>
      </c>
      <c r="F1474" s="0" t="n">
        <v>0</v>
      </c>
      <c r="G1474" s="1"/>
      <c r="H1474" s="1"/>
      <c r="I1474" s="0" t="n">
        <v>0</v>
      </c>
      <c r="J1474" s="0" t="n">
        <f aca="false">(I1474/32)*5</f>
        <v>0</v>
      </c>
      <c r="L1474" s="0" t="n">
        <v>0</v>
      </c>
      <c r="M1474" s="0" t="n">
        <v>0</v>
      </c>
      <c r="N1474" s="0" t="n">
        <f aca="false">L1474</f>
        <v>0</v>
      </c>
      <c r="O1474" s="3" t="n">
        <f aca="false">LOOKUP(L1474,$AB$3:$AC$123)</f>
        <v>0.9982</v>
      </c>
      <c r="P1474" s="3" t="n">
        <f aca="false">(O1474*(N1474/100)*(J1474/1000))*1000</f>
        <v>0</v>
      </c>
      <c r="Q1474" s="3"/>
      <c r="R1474" s="0" t="n">
        <v>1</v>
      </c>
      <c r="S1474" s="0" t="n">
        <v>2.1</v>
      </c>
      <c r="T1474" s="0" t="n">
        <f aca="false">(S1474/32)*5</f>
        <v>0.328125</v>
      </c>
      <c r="V1474" s="0" t="n">
        <v>0.5</v>
      </c>
      <c r="W1474" s="0" t="n">
        <v>2</v>
      </c>
      <c r="X1474" s="3" t="n">
        <f aca="false">LOOKUP(V1474,$AB$3:$AC$123)</f>
        <v>1.00015</v>
      </c>
      <c r="Y1474" s="2" t="n">
        <f aca="false">(V1474*((W1474+T1474)/1000)*X1474)/((((W1474+T1474)/1000)*X1474)-((W1474/1000)*0.9982))</f>
        <v>3.50595452353225</v>
      </c>
      <c r="Z1474" s="3" t="n">
        <f aca="false">(X1474*(V1474/100)*((W1474+T1474)/1000))*1000</f>
        <v>0.01164237109375</v>
      </c>
    </row>
    <row r="1475" customFormat="false" ht="15" hidden="false" customHeight="false" outlineLevel="0" collapsed="false">
      <c r="A1475" s="0" t="s">
        <v>98</v>
      </c>
      <c r="B1475" s="0" t="s">
        <v>99</v>
      </c>
      <c r="C1475" s="0" t="s">
        <v>81</v>
      </c>
      <c r="D1475" s="0" t="s">
        <v>158</v>
      </c>
      <c r="E1475" s="0" t="n">
        <v>31</v>
      </c>
      <c r="F1475" s="0" t="n">
        <v>1</v>
      </c>
      <c r="G1475" s="1"/>
      <c r="H1475" s="1"/>
      <c r="I1475" s="0" t="n">
        <f aca="false">32+11.6</f>
        <v>43.6</v>
      </c>
      <c r="J1475" s="0" t="n">
        <f aca="false">(I1475/32)*5</f>
        <v>6.8125</v>
      </c>
      <c r="L1475" s="0" t="n">
        <v>23.5</v>
      </c>
      <c r="M1475" s="0" t="n">
        <v>0</v>
      </c>
      <c r="N1475" s="0" t="n">
        <f aca="false">L1475</f>
        <v>23.5</v>
      </c>
      <c r="O1475" s="3" t="n">
        <f aca="false">LOOKUP(L1475,$AB$3:$AC$123)</f>
        <v>1.096725</v>
      </c>
      <c r="P1475" s="3" t="n">
        <f aca="false">(O1475*(N1475/100)*(J1475/1000))*1000</f>
        <v>1.7557881796875</v>
      </c>
      <c r="Q1475" s="3"/>
      <c r="R1475" s="0" t="n">
        <v>4</v>
      </c>
      <c r="S1475" s="0" t="n">
        <v>4.9</v>
      </c>
      <c r="T1475" s="0" t="n">
        <f aca="false">(S1475/32)*5</f>
        <v>0.765625</v>
      </c>
      <c r="V1475" s="0" t="n">
        <v>9.5</v>
      </c>
      <c r="W1475" s="0" t="n">
        <v>4</v>
      </c>
      <c r="X1475" s="3" t="n">
        <f aca="false">LOOKUP(V1475,$AB$3:$AC$123)</f>
        <v>1.0361</v>
      </c>
      <c r="Y1475" s="2" t="n">
        <f aca="false">(V1475*((W1475+T1475)/1000)*X1475)/((((W1475+T1475)/1000)*X1475)-((W1475/1000)*0.9982))</f>
        <v>49.6450340905521</v>
      </c>
      <c r="Z1475" s="3" t="n">
        <f aca="false">(X1475*(V1475/100)*((W1475+T1475)/1000))*1000</f>
        <v>0.4690780859375</v>
      </c>
    </row>
    <row r="1476" customFormat="false" ht="15" hidden="false" customHeight="false" outlineLevel="0" collapsed="false">
      <c r="A1476" s="0" t="s">
        <v>100</v>
      </c>
      <c r="B1476" s="0" t="s">
        <v>101</v>
      </c>
      <c r="C1476" s="0" t="s">
        <v>81</v>
      </c>
      <c r="D1476" s="0" t="s">
        <v>158</v>
      </c>
      <c r="E1476" s="0" t="n">
        <v>31</v>
      </c>
      <c r="F1476" s="0" t="n">
        <v>0</v>
      </c>
      <c r="G1476" s="1"/>
      <c r="H1476" s="1"/>
      <c r="I1476" s="0" t="n">
        <v>0</v>
      </c>
      <c r="J1476" s="0" t="n">
        <f aca="false">(I1476/32)*5</f>
        <v>0</v>
      </c>
      <c r="L1476" s="0" t="n">
        <v>0</v>
      </c>
      <c r="M1476" s="0" t="n">
        <v>0</v>
      </c>
      <c r="N1476" s="0" t="n">
        <f aca="false">L1476</f>
        <v>0</v>
      </c>
      <c r="O1476" s="3" t="n">
        <v>0</v>
      </c>
      <c r="P1476" s="3" t="n">
        <f aca="false">(O1476*(N1476/100)*(J1476/1000))*1000</f>
        <v>0</v>
      </c>
      <c r="Q1476" s="3"/>
      <c r="R1476" s="0" t="n">
        <v>3</v>
      </c>
      <c r="S1476" s="0" t="n">
        <v>8</v>
      </c>
      <c r="T1476" s="0" t="n">
        <f aca="false">(S1476/32)*5</f>
        <v>1.25</v>
      </c>
      <c r="V1476" s="0" t="n">
        <v>12.5</v>
      </c>
      <c r="W1476" s="0" t="n">
        <v>4</v>
      </c>
      <c r="X1476" s="3" t="n">
        <f aca="false">LOOKUP(V1476,$AB$3:$AC$123)</f>
        <v>1.0486</v>
      </c>
      <c r="Y1476" s="2" t="n">
        <f aca="false">(V1476*((W1476+T1476)/1000)*X1476)/((((W1476+T1476)/1000)*X1476)-((W1476/1000)*0.9982))</f>
        <v>45.5016199953714</v>
      </c>
      <c r="Z1476" s="3" t="n">
        <f aca="false">(X1476*(V1476/100)*((W1476+T1476)/1000))*1000</f>
        <v>0.68814375</v>
      </c>
    </row>
    <row r="1477" customFormat="false" ht="15" hidden="false" customHeight="false" outlineLevel="0" collapsed="false">
      <c r="A1477" s="0" t="s">
        <v>102</v>
      </c>
      <c r="B1477" s="0" t="s">
        <v>103</v>
      </c>
      <c r="C1477" s="0" t="s">
        <v>81</v>
      </c>
      <c r="D1477" s="0" t="s">
        <v>158</v>
      </c>
      <c r="E1477" s="0" t="n">
        <v>31</v>
      </c>
      <c r="F1477" s="0" t="n">
        <v>0</v>
      </c>
      <c r="G1477" s="1"/>
      <c r="H1477" s="1"/>
      <c r="I1477" s="0" t="n">
        <v>0</v>
      </c>
      <c r="J1477" s="0" t="n">
        <f aca="false">(I1477/32)*5</f>
        <v>0</v>
      </c>
      <c r="L1477" s="0" t="n">
        <v>0</v>
      </c>
      <c r="M1477" s="0" t="n">
        <v>0</v>
      </c>
      <c r="N1477" s="0" t="n">
        <f aca="false">L1477</f>
        <v>0</v>
      </c>
      <c r="O1477" s="3" t="n">
        <v>0</v>
      </c>
      <c r="P1477" s="3" t="n">
        <f aca="false">(O1477*(N1477/100)*(J1477/1000))*1000</f>
        <v>0</v>
      </c>
      <c r="Q1477" s="3"/>
      <c r="R1477" s="0" t="n">
        <v>3</v>
      </c>
      <c r="S1477" s="0" t="n">
        <v>7</v>
      </c>
      <c r="T1477" s="0" t="n">
        <f aca="false">(S1477/32)*5</f>
        <v>1.09375</v>
      </c>
      <c r="V1477" s="0" t="n">
        <v>13</v>
      </c>
      <c r="W1477" s="0" t="n">
        <v>4</v>
      </c>
      <c r="X1477" s="3" t="n">
        <f aca="false">LOOKUP(V1477,$AB$3:$AC$123)</f>
        <v>1.0507</v>
      </c>
      <c r="Y1477" s="2" t="n">
        <f aca="false">(V1477*((W1477+T1477)/1000)*X1477)/((((W1477+T1477)/1000)*X1477)-((W1477/1000)*0.9982))</f>
        <v>51.1888468656957</v>
      </c>
      <c r="Z1477" s="3" t="n">
        <f aca="false">(X1477*(V1477/100)*((W1477+T1477)/1000))*1000</f>
        <v>0.69576040625</v>
      </c>
    </row>
    <row r="1478" customFormat="false" ht="15" hidden="false" customHeight="false" outlineLevel="0" collapsed="false">
      <c r="A1478" s="0" t="s">
        <v>104</v>
      </c>
      <c r="B1478" s="0" t="s">
        <v>105</v>
      </c>
      <c r="C1478" s="0" t="s">
        <v>106</v>
      </c>
      <c r="D1478" s="0" t="s">
        <v>158</v>
      </c>
      <c r="E1478" s="0" t="n">
        <v>31</v>
      </c>
      <c r="F1478" s="0" t="n">
        <v>1</v>
      </c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5"/>
      <c r="Z1478" s="1"/>
    </row>
    <row r="1479" customFormat="false" ht="15" hidden="false" customHeight="false" outlineLevel="0" collapsed="false">
      <c r="A1479" s="0" t="s">
        <v>107</v>
      </c>
      <c r="B1479" s="0" t="s">
        <v>37</v>
      </c>
      <c r="C1479" s="0" t="s">
        <v>106</v>
      </c>
      <c r="D1479" s="0" t="s">
        <v>158</v>
      </c>
      <c r="E1479" s="0" t="n">
        <v>31</v>
      </c>
      <c r="F1479" s="0" t="n">
        <v>0</v>
      </c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5"/>
      <c r="Z1479" s="1"/>
    </row>
    <row r="1480" customFormat="false" ht="15" hidden="false" customHeight="false" outlineLevel="0" collapsed="false">
      <c r="A1480" s="0" t="s">
        <v>108</v>
      </c>
      <c r="B1480" s="0" t="s">
        <v>109</v>
      </c>
      <c r="C1480" s="0" t="s">
        <v>106</v>
      </c>
      <c r="D1480" s="0" t="s">
        <v>158</v>
      </c>
      <c r="E1480" s="0" t="n">
        <v>31</v>
      </c>
      <c r="F1480" s="0" t="n">
        <v>1</v>
      </c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5"/>
      <c r="Z1480" s="1"/>
    </row>
    <row r="1481" customFormat="false" ht="15" hidden="false" customHeight="false" outlineLevel="0" collapsed="false">
      <c r="A1481" s="0" t="s">
        <v>110</v>
      </c>
      <c r="B1481" s="0" t="s">
        <v>111</v>
      </c>
      <c r="C1481" s="0" t="s">
        <v>106</v>
      </c>
      <c r="D1481" s="0" t="s">
        <v>158</v>
      </c>
      <c r="E1481" s="0" t="n">
        <v>31</v>
      </c>
      <c r="F1481" s="0" t="n">
        <v>2</v>
      </c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5"/>
      <c r="Z1481" s="1"/>
    </row>
    <row r="1482" customFormat="false" ht="15" hidden="false" customHeight="false" outlineLevel="0" collapsed="false">
      <c r="A1482" s="0" t="s">
        <v>112</v>
      </c>
      <c r="B1482" s="0" t="s">
        <v>113</v>
      </c>
      <c r="C1482" s="0" t="s">
        <v>106</v>
      </c>
      <c r="D1482" s="0" t="s">
        <v>158</v>
      </c>
      <c r="E1482" s="0" t="n">
        <v>31</v>
      </c>
      <c r="F1482" s="0" t="n">
        <v>0</v>
      </c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5"/>
      <c r="Z1482" s="1"/>
    </row>
    <row r="1483" customFormat="false" ht="15" hidden="false" customHeight="false" outlineLevel="0" collapsed="false">
      <c r="A1483" s="0" t="s">
        <v>114</v>
      </c>
      <c r="B1483" s="0" t="s">
        <v>115</v>
      </c>
      <c r="C1483" s="0" t="s">
        <v>106</v>
      </c>
      <c r="D1483" s="0" t="s">
        <v>158</v>
      </c>
      <c r="E1483" s="0" t="n">
        <v>31</v>
      </c>
      <c r="F1483" s="0" t="n">
        <v>1</v>
      </c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5"/>
      <c r="Z1483" s="1"/>
    </row>
    <row r="1484" customFormat="false" ht="15" hidden="false" customHeight="false" outlineLevel="0" collapsed="false">
      <c r="A1484" s="0" t="s">
        <v>116</v>
      </c>
      <c r="B1484" s="0" t="s">
        <v>117</v>
      </c>
      <c r="C1484" s="0" t="s">
        <v>106</v>
      </c>
      <c r="D1484" s="0" t="s">
        <v>158</v>
      </c>
      <c r="E1484" s="0" t="n">
        <v>31</v>
      </c>
      <c r="F1484" s="0" t="n">
        <v>0</v>
      </c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5"/>
      <c r="Z1484" s="1"/>
    </row>
    <row r="1485" customFormat="false" ht="15" hidden="false" customHeight="false" outlineLevel="0" collapsed="false">
      <c r="A1485" s="0" t="s">
        <v>118</v>
      </c>
      <c r="B1485" s="0" t="s">
        <v>119</v>
      </c>
      <c r="C1485" s="0" t="s">
        <v>106</v>
      </c>
      <c r="D1485" s="0" t="s">
        <v>158</v>
      </c>
      <c r="E1485" s="0" t="n">
        <v>31</v>
      </c>
      <c r="F1485" s="0" t="n">
        <v>1</v>
      </c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5"/>
      <c r="Z1485" s="1"/>
    </row>
    <row r="1486" customFormat="false" ht="15" hidden="false" customHeight="false" outlineLevel="0" collapsed="false">
      <c r="A1486" s="0" t="s">
        <v>120</v>
      </c>
      <c r="B1486" s="0" t="s">
        <v>121</v>
      </c>
      <c r="C1486" s="0" t="s">
        <v>106</v>
      </c>
      <c r="D1486" s="0" t="s">
        <v>158</v>
      </c>
      <c r="E1486" s="0" t="n">
        <v>31</v>
      </c>
      <c r="F1486" s="0" t="n">
        <v>2</v>
      </c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5"/>
      <c r="Z1486" s="1"/>
    </row>
    <row r="1487" customFormat="false" ht="15" hidden="false" customHeight="false" outlineLevel="0" collapsed="false">
      <c r="A1487" s="0" t="s">
        <v>122</v>
      </c>
      <c r="B1487" s="0" t="s">
        <v>123</v>
      </c>
      <c r="C1487" s="0" t="s">
        <v>106</v>
      </c>
      <c r="D1487" s="0" t="s">
        <v>158</v>
      </c>
      <c r="E1487" s="0" t="n">
        <v>31</v>
      </c>
      <c r="F1487" s="0" t="n">
        <v>0</v>
      </c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5"/>
      <c r="Z1487" s="1"/>
    </row>
    <row r="1488" customFormat="false" ht="15" hidden="false" customHeight="false" outlineLevel="0" collapsed="false">
      <c r="A1488" s="0" t="s">
        <v>124</v>
      </c>
      <c r="B1488" s="0" t="s">
        <v>125</v>
      </c>
      <c r="C1488" s="0" t="s">
        <v>106</v>
      </c>
      <c r="D1488" s="0" t="s">
        <v>158</v>
      </c>
      <c r="E1488" s="0" t="n">
        <v>31</v>
      </c>
      <c r="F1488" s="0" t="n">
        <v>1</v>
      </c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5"/>
      <c r="Z1488" s="1"/>
    </row>
    <row r="1489" customFormat="false" ht="15" hidden="false" customHeight="false" outlineLevel="0" collapsed="false">
      <c r="A1489" s="0" t="s">
        <v>126</v>
      </c>
      <c r="B1489" s="0" t="s">
        <v>127</v>
      </c>
      <c r="C1489" s="0" t="s">
        <v>106</v>
      </c>
      <c r="D1489" s="0" t="s">
        <v>158</v>
      </c>
      <c r="E1489" s="0" t="n">
        <v>31</v>
      </c>
      <c r="F1489" s="0" t="n">
        <v>1</v>
      </c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5"/>
      <c r="Z1489" s="1"/>
    </row>
    <row r="1490" customFormat="false" ht="15" hidden="false" customHeight="false" outlineLevel="0" collapsed="false">
      <c r="A1490" s="0" t="s">
        <v>26</v>
      </c>
      <c r="B1490" s="0" t="s">
        <v>27</v>
      </c>
      <c r="C1490" s="0" t="s">
        <v>28</v>
      </c>
      <c r="D1490" s="0" t="s">
        <v>159</v>
      </c>
      <c r="E1490" s="0" t="n">
        <v>32</v>
      </c>
      <c r="F1490" s="0" t="n">
        <v>1</v>
      </c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0" t="n">
        <v>2</v>
      </c>
      <c r="S1490" s="0" t="n">
        <v>3.3</v>
      </c>
      <c r="T1490" s="0" t="n">
        <f aca="false">(S1490/32)*5</f>
        <v>0.515625</v>
      </c>
      <c r="V1490" s="0" t="n">
        <v>7</v>
      </c>
      <c r="W1490" s="0" t="n">
        <v>4</v>
      </c>
      <c r="X1490" s="3" t="n">
        <f aca="false">LOOKUP(V1490,$AB$3:$AC$123)</f>
        <v>1.0259</v>
      </c>
      <c r="Y1490" s="2" t="n">
        <f aca="false">(V1490*((W1490+T1490)/1000)*X1490)/((((W1490+T1490)/1000)*X1490)-((W1490/1000)*0.9982))</f>
        <v>50.686288492865</v>
      </c>
      <c r="Z1490" s="3" t="n">
        <f aca="false">(X1490*(V1490/100)*((W1490+T1490)/1000))*1000</f>
        <v>0.324280578125</v>
      </c>
    </row>
    <row r="1491" customFormat="false" ht="15" hidden="false" customHeight="false" outlineLevel="0" collapsed="false">
      <c r="A1491" s="0" t="s">
        <v>32</v>
      </c>
      <c r="B1491" s="0" t="s">
        <v>33</v>
      </c>
      <c r="C1491" s="0" t="s">
        <v>28</v>
      </c>
      <c r="D1491" s="0" t="s">
        <v>159</v>
      </c>
      <c r="E1491" s="0" t="n">
        <v>32</v>
      </c>
      <c r="F1491" s="0" t="n">
        <v>2</v>
      </c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0" t="n">
        <v>4</v>
      </c>
      <c r="S1491" s="0" t="n">
        <v>2.4</v>
      </c>
      <c r="T1491" s="0" t="n">
        <f aca="false">(S1491/32)*5</f>
        <v>0.375</v>
      </c>
      <c r="V1491" s="0" t="n">
        <v>4</v>
      </c>
      <c r="W1491" s="0" t="n">
        <v>4</v>
      </c>
      <c r="X1491" s="3" t="n">
        <f aca="false">LOOKUP(V1491,$AB$3:$AC$123)</f>
        <v>1.0139</v>
      </c>
      <c r="Y1491" s="2" t="n">
        <f aca="false">(V1491*((W1491+T1491)/1000)*X1491)/((((W1491+T1491)/1000)*X1491)-((W1491/1000)*0.9982))</f>
        <v>40.0513529527948</v>
      </c>
      <c r="Z1491" s="3" t="n">
        <f aca="false">(X1491*(V1491/100)*((W1491+T1491)/1000))*1000</f>
        <v>0.1774325</v>
      </c>
    </row>
    <row r="1492" customFormat="false" ht="15" hidden="false" customHeight="false" outlineLevel="0" collapsed="false">
      <c r="A1492" s="0" t="s">
        <v>34</v>
      </c>
      <c r="B1492" s="0" t="s">
        <v>35</v>
      </c>
      <c r="C1492" s="0" t="s">
        <v>28</v>
      </c>
      <c r="D1492" s="0" t="s">
        <v>159</v>
      </c>
      <c r="E1492" s="0" t="n">
        <v>32</v>
      </c>
      <c r="F1492" s="0" t="n">
        <v>0</v>
      </c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0" t="n">
        <v>3</v>
      </c>
      <c r="S1492" s="0" t="n">
        <v>5.1</v>
      </c>
      <c r="T1492" s="0" t="n">
        <f aca="false">(S1492/32)*5</f>
        <v>0.796875</v>
      </c>
      <c r="V1492" s="0" t="n">
        <v>10.5</v>
      </c>
      <c r="W1492" s="0" t="n">
        <v>4</v>
      </c>
      <c r="X1492" s="3" t="n">
        <f aca="false">LOOKUP(V1492,$AB$3:$AC$123)</f>
        <v>1.0402</v>
      </c>
      <c r="Y1492" s="2" t="n">
        <f aca="false">(V1492*((W1492+T1492)/1000)*X1492)/((((W1492+T1492)/1000)*X1492)-((W1492/1000)*0.9982))</f>
        <v>52.5543743005727</v>
      </c>
      <c r="Z1492" s="3" t="n">
        <f aca="false">(X1492*(V1492/100)*((W1492+T1492)/1000))*1000</f>
        <v>0.523919484375</v>
      </c>
    </row>
    <row r="1493" customFormat="false" ht="15" hidden="false" customHeight="false" outlineLevel="0" collapsed="false">
      <c r="A1493" s="0" t="s">
        <v>36</v>
      </c>
      <c r="B1493" s="0" t="s">
        <v>37</v>
      </c>
      <c r="C1493" s="0" t="s">
        <v>28</v>
      </c>
      <c r="D1493" s="0" t="s">
        <v>159</v>
      </c>
      <c r="E1493" s="0" t="n">
        <v>32</v>
      </c>
      <c r="F1493" s="0" t="n">
        <v>0</v>
      </c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0" t="n">
        <v>1</v>
      </c>
      <c r="S1493" s="0" t="n">
        <v>2.3</v>
      </c>
      <c r="T1493" s="0" t="n">
        <f aca="false">(S1493/32)*5</f>
        <v>0.359375</v>
      </c>
      <c r="V1493" s="0" t="n">
        <v>7.5</v>
      </c>
      <c r="W1493" s="0" t="n">
        <v>4</v>
      </c>
      <c r="X1493" s="3" t="n">
        <f aca="false">LOOKUP(V1493,$AB$3:$AC$123)</f>
        <v>1.0279</v>
      </c>
      <c r="Y1493" s="2" t="n">
        <f aca="false">(V1493*((W1493+T1493)/1000)*X1493)/((((W1493+T1493)/1000)*X1493)-((W1493/1000)*0.9982))</f>
        <v>68.8394185931144</v>
      </c>
      <c r="Z1493" s="3" t="n">
        <f aca="false">(X1493*(V1493/100)*((W1493+T1493)/1000))*1000</f>
        <v>0.3360751171875</v>
      </c>
    </row>
    <row r="1494" customFormat="false" ht="15" hidden="false" customHeight="false" outlineLevel="0" collapsed="false">
      <c r="A1494" s="0" t="s">
        <v>38</v>
      </c>
      <c r="B1494" s="0" t="s">
        <v>39</v>
      </c>
      <c r="C1494" s="0" t="s">
        <v>28</v>
      </c>
      <c r="D1494" s="0" t="s">
        <v>159</v>
      </c>
      <c r="E1494" s="0" t="n">
        <v>32</v>
      </c>
      <c r="F1494" s="0" t="n">
        <v>0</v>
      </c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0" t="n">
        <v>4</v>
      </c>
      <c r="S1494" s="0" t="n">
        <v>6.7</v>
      </c>
      <c r="T1494" s="0" t="n">
        <f aca="false">(S1494/32)*5</f>
        <v>1.046875</v>
      </c>
      <c r="V1494" s="0" t="n">
        <v>13</v>
      </c>
      <c r="W1494" s="0" t="n">
        <v>4</v>
      </c>
      <c r="X1494" s="3" t="n">
        <f aca="false">LOOKUP(V1494,$AB$3:$AC$123)</f>
        <v>1.0507</v>
      </c>
      <c r="Y1494" s="2" t="n">
        <f aca="false">(V1494*((W1494+T1494)/1000)*X1494)/((((W1494+T1494)/1000)*X1494)-((W1494/1000)*0.9982))</f>
        <v>52.6246712366512</v>
      </c>
      <c r="Z1494" s="3" t="n">
        <f aca="false">(X1494*(V1494/100)*((W1494+T1494)/1000))*1000</f>
        <v>0.689357703125</v>
      </c>
    </row>
    <row r="1495" customFormat="false" ht="15" hidden="false" customHeight="false" outlineLevel="0" collapsed="false">
      <c r="A1495" s="0" t="s">
        <v>40</v>
      </c>
      <c r="B1495" s="0" t="s">
        <v>41</v>
      </c>
      <c r="C1495" s="0" t="s">
        <v>28</v>
      </c>
      <c r="D1495" s="0" t="s">
        <v>159</v>
      </c>
      <c r="E1495" s="0" t="n">
        <v>32</v>
      </c>
      <c r="F1495" s="0" t="n">
        <v>0</v>
      </c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0" t="n">
        <v>1</v>
      </c>
      <c r="S1495" s="0" t="n">
        <v>2.1</v>
      </c>
      <c r="T1495" s="0" t="n">
        <f aca="false">(S1495/32)*5</f>
        <v>0.328125</v>
      </c>
      <c r="V1495" s="0" t="n">
        <v>5</v>
      </c>
      <c r="W1495" s="0" t="n">
        <v>4</v>
      </c>
      <c r="X1495" s="3" t="n">
        <f aca="false">LOOKUP(V1495,$AB$3:$AC$123)</f>
        <v>1.0179</v>
      </c>
      <c r="Y1495" s="2" t="n">
        <f aca="false">(V1495*((W1495+T1495)/1000)*X1495)/((((W1495+T1495)/1000)*X1495)-((W1495/1000)*0.9982))</f>
        <v>53.362586159256</v>
      </c>
      <c r="Z1495" s="3" t="n">
        <f aca="false">(X1495*(V1495/100)*((W1495+T1495)/1000))*1000</f>
        <v>0.220279921875</v>
      </c>
    </row>
    <row r="1496" customFormat="false" ht="15" hidden="false" customHeight="false" outlineLevel="0" collapsed="false">
      <c r="A1496" s="0" t="s">
        <v>42</v>
      </c>
      <c r="B1496" s="0" t="s">
        <v>43</v>
      </c>
      <c r="C1496" s="0" t="s">
        <v>28</v>
      </c>
      <c r="D1496" s="0" t="s">
        <v>159</v>
      </c>
      <c r="E1496" s="0" t="n">
        <v>32</v>
      </c>
      <c r="F1496" s="0" t="n">
        <v>0</v>
      </c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0" t="n">
        <v>2</v>
      </c>
      <c r="S1496" s="0" t="n">
        <v>3.9</v>
      </c>
      <c r="T1496" s="0" t="n">
        <f aca="false">(S1496/32)*5</f>
        <v>0.609375</v>
      </c>
      <c r="V1496" s="0" t="n">
        <v>11</v>
      </c>
      <c r="W1496" s="0" t="n">
        <v>4</v>
      </c>
      <c r="X1496" s="3" t="n">
        <f aca="false">LOOKUP(V1496,$AB$3:$AC$123)</f>
        <v>1.0423</v>
      </c>
      <c r="Y1496" s="2" t="n">
        <f aca="false">(V1496*((W1496+T1496)/1000)*X1496)/((((W1496+T1496)/1000)*X1496)-((W1496/1000)*0.9982))</f>
        <v>65.1195433900727</v>
      </c>
      <c r="Z1496" s="3" t="n">
        <f aca="false">(X1496*(V1496/100)*((W1496+T1496)/1000))*1000</f>
        <v>0.528478671875</v>
      </c>
    </row>
    <row r="1497" customFormat="false" ht="15" hidden="false" customHeight="false" outlineLevel="0" collapsed="false">
      <c r="A1497" s="0" t="s">
        <v>44</v>
      </c>
      <c r="B1497" s="0" t="s">
        <v>45</v>
      </c>
      <c r="C1497" s="0" t="s">
        <v>28</v>
      </c>
      <c r="D1497" s="0" t="s">
        <v>159</v>
      </c>
      <c r="E1497" s="0" t="n">
        <v>32</v>
      </c>
      <c r="F1497" s="0" t="n">
        <v>0</v>
      </c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0" t="n">
        <v>0</v>
      </c>
      <c r="S1497" s="0" t="n">
        <v>0</v>
      </c>
      <c r="T1497" s="0" t="n">
        <f aca="false">(S1497/32)*5</f>
        <v>0</v>
      </c>
      <c r="V1497" s="0" t="n">
        <v>0</v>
      </c>
      <c r="W1497" s="0" t="n">
        <v>0</v>
      </c>
      <c r="X1497" s="3" t="n">
        <v>0</v>
      </c>
      <c r="Y1497" s="2" t="n">
        <v>0</v>
      </c>
      <c r="Z1497" s="3" t="n">
        <f aca="false">(X1497*(V1497/100)*((W1497+T1497)/1000))*1000</f>
        <v>0</v>
      </c>
    </row>
    <row r="1498" customFormat="false" ht="15" hidden="false" customHeight="false" outlineLevel="0" collapsed="false">
      <c r="A1498" s="0" t="s">
        <v>46</v>
      </c>
      <c r="B1498" s="0" t="s">
        <v>47</v>
      </c>
      <c r="C1498" s="0" t="s">
        <v>28</v>
      </c>
      <c r="D1498" s="0" t="s">
        <v>159</v>
      </c>
      <c r="E1498" s="0" t="n">
        <v>32</v>
      </c>
      <c r="F1498" s="0" t="n">
        <v>1</v>
      </c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0" t="n">
        <v>3</v>
      </c>
      <c r="S1498" s="0" t="n">
        <v>5.1</v>
      </c>
      <c r="T1498" s="0" t="n">
        <f aca="false">(S1498/32)*5</f>
        <v>0.796875</v>
      </c>
      <c r="V1498" s="0" t="n">
        <v>15</v>
      </c>
      <c r="W1498" s="0" t="n">
        <v>4</v>
      </c>
      <c r="X1498" s="3" t="n">
        <f aca="false">LOOKUP(V1498,$AB$3:$AC$123)</f>
        <v>1.0592</v>
      </c>
      <c r="Y1498" s="2" t="n">
        <f aca="false">(V1498*((W1498+T1498)/1000)*X1498)/((((W1498+T1498)/1000)*X1498)-((W1498/1000)*0.9982))</f>
        <v>70.0452644639493</v>
      </c>
      <c r="Z1498" s="3" t="n">
        <f aca="false">(X1498*(V1498/100)*((W1498+T1498)/1000))*1000</f>
        <v>0.7621275</v>
      </c>
    </row>
    <row r="1499" customFormat="false" ht="15" hidden="false" customHeight="false" outlineLevel="0" collapsed="false">
      <c r="A1499" s="0" t="s">
        <v>48</v>
      </c>
      <c r="B1499" s="0" t="s">
        <v>49</v>
      </c>
      <c r="C1499" s="0" t="s">
        <v>28</v>
      </c>
      <c r="D1499" s="0" t="s">
        <v>159</v>
      </c>
      <c r="E1499" s="0" t="n">
        <v>32</v>
      </c>
      <c r="F1499" s="0" t="n">
        <v>1</v>
      </c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0" t="n">
        <v>1</v>
      </c>
      <c r="S1499" s="0" t="n">
        <v>3.4</v>
      </c>
      <c r="T1499" s="0" t="n">
        <f aca="false">(S1499/32)*5</f>
        <v>0.53125</v>
      </c>
      <c r="V1499" s="0" t="n">
        <v>4</v>
      </c>
      <c r="W1499" s="0" t="n">
        <v>4</v>
      </c>
      <c r="X1499" s="3" t="n">
        <f aca="false">LOOKUP(V1499,$AB$3:$AC$123)</f>
        <v>1.0139</v>
      </c>
      <c r="Y1499" s="2" t="n">
        <f aca="false">(V1499*((W1499+T1499)/1000)*X1499)/((((W1499+T1499)/1000)*X1499)-((W1499/1000)*0.9982))</f>
        <v>30.5551831818725</v>
      </c>
      <c r="Z1499" s="3" t="n">
        <f aca="false">(X1499*(V1499/100)*((W1499+T1499)/1000))*1000</f>
        <v>0.183769375</v>
      </c>
    </row>
    <row r="1500" customFormat="false" ht="15" hidden="false" customHeight="false" outlineLevel="0" collapsed="false">
      <c r="A1500" s="0" t="s">
        <v>50</v>
      </c>
      <c r="B1500" s="0" t="s">
        <v>51</v>
      </c>
      <c r="C1500" s="0" t="s">
        <v>28</v>
      </c>
      <c r="D1500" s="0" t="s">
        <v>159</v>
      </c>
      <c r="E1500" s="0" t="n">
        <v>32</v>
      </c>
      <c r="F1500" s="0" t="n">
        <v>0</v>
      </c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0" t="n">
        <v>0</v>
      </c>
      <c r="S1500" s="0" t="n">
        <v>0</v>
      </c>
      <c r="T1500" s="0" t="n">
        <f aca="false">(S1500/32)*5</f>
        <v>0</v>
      </c>
      <c r="V1500" s="0" t="n">
        <v>0</v>
      </c>
      <c r="W1500" s="0" t="n">
        <v>0</v>
      </c>
      <c r="X1500" s="3" t="n">
        <v>0</v>
      </c>
      <c r="Y1500" s="2" t="n">
        <v>0</v>
      </c>
      <c r="Z1500" s="3" t="n">
        <f aca="false">(X1500*(V1500/100)*((W1500+T1500)/1000))*1000</f>
        <v>0</v>
      </c>
    </row>
    <row r="1501" customFormat="false" ht="15" hidden="false" customHeight="false" outlineLevel="0" collapsed="false">
      <c r="A1501" s="0" t="s">
        <v>52</v>
      </c>
      <c r="B1501" s="0" t="s">
        <v>53</v>
      </c>
      <c r="C1501" s="0" t="s">
        <v>28</v>
      </c>
      <c r="D1501" s="0" t="s">
        <v>159</v>
      </c>
      <c r="E1501" s="0" t="n">
        <v>32</v>
      </c>
      <c r="F1501" s="0" t="n">
        <v>0</v>
      </c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0" t="n">
        <v>1</v>
      </c>
      <c r="S1501" s="0" t="n">
        <v>2.8</v>
      </c>
      <c r="T1501" s="0" t="n">
        <f aca="false">(S1501/32)*5</f>
        <v>0.4375</v>
      </c>
      <c r="V1501" s="0" t="n">
        <v>4</v>
      </c>
      <c r="W1501" s="0" t="n">
        <v>4</v>
      </c>
      <c r="X1501" s="3" t="n">
        <f aca="false">LOOKUP(V1501,$AB$3:$AC$123)</f>
        <v>1.0139</v>
      </c>
      <c r="Y1501" s="2" t="n">
        <f aca="false">(V1501*((W1501+T1501)/1000)*X1501)/((((W1501+T1501)/1000)*X1501)-((W1501/1000)*0.9982))</f>
        <v>35.539872378766</v>
      </c>
      <c r="Z1501" s="3" t="n">
        <f aca="false">(X1501*(V1501/100)*((W1501+T1501)/1000))*1000</f>
        <v>0.17996725</v>
      </c>
    </row>
    <row r="1502" customFormat="false" ht="15" hidden="false" customHeight="false" outlineLevel="0" collapsed="false">
      <c r="A1502" s="0" t="s">
        <v>54</v>
      </c>
      <c r="B1502" s="0" t="s">
        <v>55</v>
      </c>
      <c r="C1502" s="0" t="s">
        <v>56</v>
      </c>
      <c r="D1502" s="0" t="s">
        <v>159</v>
      </c>
      <c r="E1502" s="0" t="n">
        <v>32</v>
      </c>
      <c r="F1502" s="0" t="n">
        <v>0</v>
      </c>
      <c r="G1502" s="1"/>
      <c r="H1502" s="1"/>
      <c r="I1502" s="0" t="n">
        <v>0</v>
      </c>
      <c r="J1502" s="0" t="n">
        <f aca="false">(I1502/32)*5</f>
        <v>0</v>
      </c>
      <c r="L1502" s="0" t="n">
        <v>0</v>
      </c>
      <c r="M1502" s="0" t="n">
        <v>0</v>
      </c>
      <c r="N1502" s="0" t="n">
        <f aca="false">L1502</f>
        <v>0</v>
      </c>
      <c r="O1502" s="3" t="n">
        <v>0</v>
      </c>
      <c r="P1502" s="3" t="n">
        <f aca="false">(O1502*(N1502/100)*(J1502/1000))*1000</f>
        <v>0</v>
      </c>
      <c r="Q1502" s="3"/>
      <c r="R1502" s="1"/>
      <c r="S1502" s="1"/>
      <c r="T1502" s="1"/>
      <c r="U1502" s="1"/>
      <c r="V1502" s="1"/>
      <c r="W1502" s="1"/>
      <c r="X1502" s="1"/>
      <c r="Y1502" s="5"/>
      <c r="Z1502" s="1"/>
    </row>
    <row r="1503" customFormat="false" ht="15" hidden="false" customHeight="false" outlineLevel="0" collapsed="false">
      <c r="A1503" s="0" t="s">
        <v>57</v>
      </c>
      <c r="B1503" s="0" t="s">
        <v>58</v>
      </c>
      <c r="C1503" s="0" t="s">
        <v>56</v>
      </c>
      <c r="D1503" s="0" t="s">
        <v>159</v>
      </c>
      <c r="E1503" s="0" t="n">
        <v>32</v>
      </c>
      <c r="F1503" s="0" t="n">
        <v>0</v>
      </c>
      <c r="G1503" s="1"/>
      <c r="H1503" s="1"/>
      <c r="I1503" s="0" t="n">
        <v>0</v>
      </c>
      <c r="J1503" s="0" t="n">
        <f aca="false">(I1503/32)*5</f>
        <v>0</v>
      </c>
      <c r="L1503" s="0" t="n">
        <v>0</v>
      </c>
      <c r="M1503" s="0" t="n">
        <v>0</v>
      </c>
      <c r="N1503" s="0" t="n">
        <f aca="false">L1503</f>
        <v>0</v>
      </c>
      <c r="O1503" s="3" t="n">
        <v>0</v>
      </c>
      <c r="P1503" s="3" t="n">
        <f aca="false">(O1503*(N1503/100)*(J1503/1000))*1000</f>
        <v>0</v>
      </c>
      <c r="Q1503" s="3"/>
      <c r="R1503" s="1"/>
      <c r="S1503" s="1"/>
      <c r="T1503" s="1"/>
      <c r="U1503" s="1"/>
      <c r="V1503" s="1"/>
      <c r="W1503" s="1"/>
      <c r="X1503" s="1"/>
      <c r="Y1503" s="5"/>
      <c r="Z1503" s="1"/>
    </row>
    <row r="1504" customFormat="false" ht="15" hidden="false" customHeight="false" outlineLevel="0" collapsed="false">
      <c r="A1504" s="0" t="s">
        <v>59</v>
      </c>
      <c r="B1504" s="0" t="s">
        <v>60</v>
      </c>
      <c r="C1504" s="0" t="s">
        <v>56</v>
      </c>
      <c r="D1504" s="0" t="s">
        <v>159</v>
      </c>
      <c r="E1504" s="0" t="n">
        <v>32</v>
      </c>
      <c r="F1504" s="0" t="n">
        <v>2</v>
      </c>
      <c r="G1504" s="1"/>
      <c r="H1504" s="1"/>
      <c r="I1504" s="0" t="n">
        <f aca="false">22.3+16.7</f>
        <v>39</v>
      </c>
      <c r="J1504" s="0" t="n">
        <f aca="false">(I1504/32)*5</f>
        <v>6.09375</v>
      </c>
      <c r="L1504" s="0" t="n">
        <v>22.5</v>
      </c>
      <c r="M1504" s="0" t="n">
        <v>0</v>
      </c>
      <c r="N1504" s="0" t="n">
        <f aca="false">L1504</f>
        <v>22.5</v>
      </c>
      <c r="O1504" s="3" t="n">
        <f aca="false">LOOKUP(L1504,$AB$3:$AC$123)</f>
        <v>1.092175</v>
      </c>
      <c r="P1504" s="3" t="n">
        <f aca="false">(O1504*(N1504/100)*(J1504/1000))*1000</f>
        <v>1.49747431640625</v>
      </c>
      <c r="Q1504" s="3"/>
      <c r="R1504" s="1"/>
      <c r="S1504" s="1"/>
      <c r="T1504" s="1"/>
      <c r="U1504" s="1"/>
      <c r="V1504" s="1"/>
      <c r="W1504" s="1"/>
      <c r="X1504" s="1"/>
      <c r="Y1504" s="5"/>
      <c r="Z1504" s="1"/>
    </row>
    <row r="1505" customFormat="false" ht="15" hidden="false" customHeight="false" outlineLevel="0" collapsed="false">
      <c r="A1505" s="0" t="s">
        <v>61</v>
      </c>
      <c r="B1505" s="0" t="s">
        <v>62</v>
      </c>
      <c r="C1505" s="0" t="s">
        <v>56</v>
      </c>
      <c r="D1505" s="0" t="s">
        <v>159</v>
      </c>
      <c r="E1505" s="0" t="n">
        <v>32</v>
      </c>
      <c r="F1505" s="0" t="n">
        <v>0</v>
      </c>
      <c r="G1505" s="1"/>
      <c r="H1505" s="1"/>
      <c r="I1505" s="0" t="n">
        <v>0</v>
      </c>
      <c r="J1505" s="0" t="n">
        <f aca="false">(I1505/32)*5</f>
        <v>0</v>
      </c>
      <c r="L1505" s="0" t="n">
        <v>0</v>
      </c>
      <c r="M1505" s="0" t="n">
        <v>0</v>
      </c>
      <c r="N1505" s="0" t="n">
        <f aca="false">L1505</f>
        <v>0</v>
      </c>
      <c r="O1505" s="3" t="n">
        <v>0</v>
      </c>
      <c r="P1505" s="3" t="n">
        <f aca="false">(O1505*(N1505/100)*(J1505/1000))*1000</f>
        <v>0</v>
      </c>
      <c r="Q1505" s="3"/>
      <c r="R1505" s="1"/>
      <c r="S1505" s="1"/>
      <c r="T1505" s="1"/>
      <c r="U1505" s="1"/>
      <c r="V1505" s="1"/>
      <c r="W1505" s="1"/>
      <c r="X1505" s="1"/>
      <c r="Y1505" s="5"/>
      <c r="Z1505" s="1"/>
    </row>
    <row r="1506" customFormat="false" ht="15" hidden="false" customHeight="false" outlineLevel="0" collapsed="false">
      <c r="A1506" s="0" t="s">
        <v>63</v>
      </c>
      <c r="B1506" s="0" t="s">
        <v>64</v>
      </c>
      <c r="C1506" s="0" t="s">
        <v>56</v>
      </c>
      <c r="D1506" s="0" t="s">
        <v>159</v>
      </c>
      <c r="E1506" s="0" t="n">
        <v>32</v>
      </c>
      <c r="F1506" s="0" t="n">
        <v>1</v>
      </c>
      <c r="G1506" s="1"/>
      <c r="H1506" s="1"/>
      <c r="I1506" s="0" t="n">
        <v>6.6</v>
      </c>
      <c r="J1506" s="0" t="n">
        <f aca="false">(I1506/32)*5</f>
        <v>1.03125</v>
      </c>
      <c r="L1506" s="0" t="n">
        <v>21</v>
      </c>
      <c r="M1506" s="0" t="n">
        <v>0</v>
      </c>
      <c r="N1506" s="0" t="n">
        <f aca="false">L1506</f>
        <v>21</v>
      </c>
      <c r="O1506" s="3" t="n">
        <f aca="false">LOOKUP(L1506,$AB$3:$AC$123)</f>
        <v>1.08545</v>
      </c>
      <c r="P1506" s="3" t="n">
        <f aca="false">(O1506*(N1506/100)*(J1506/1000))*1000</f>
        <v>0.235067765625</v>
      </c>
      <c r="Q1506" s="3"/>
      <c r="R1506" s="1"/>
      <c r="S1506" s="1"/>
      <c r="T1506" s="1"/>
      <c r="U1506" s="1"/>
      <c r="V1506" s="1"/>
      <c r="W1506" s="1"/>
      <c r="X1506" s="1"/>
      <c r="Y1506" s="5"/>
      <c r="Z1506" s="1"/>
    </row>
    <row r="1507" customFormat="false" ht="15" hidden="false" customHeight="false" outlineLevel="0" collapsed="false">
      <c r="A1507" s="0" t="s">
        <v>65</v>
      </c>
      <c r="B1507" s="0" t="s">
        <v>66</v>
      </c>
      <c r="C1507" s="0" t="s">
        <v>56</v>
      </c>
      <c r="D1507" s="0" t="s">
        <v>159</v>
      </c>
      <c r="E1507" s="0" t="n">
        <v>32</v>
      </c>
      <c r="F1507" s="0" t="n">
        <v>0</v>
      </c>
      <c r="G1507" s="1"/>
      <c r="H1507" s="1"/>
      <c r="I1507" s="0" t="n">
        <v>0</v>
      </c>
      <c r="J1507" s="0" t="n">
        <f aca="false">(I1507/32)*5</f>
        <v>0</v>
      </c>
      <c r="L1507" s="0" t="n">
        <v>0</v>
      </c>
      <c r="M1507" s="0" t="n">
        <v>0</v>
      </c>
      <c r="N1507" s="0" t="n">
        <f aca="false">L1507</f>
        <v>0</v>
      </c>
      <c r="O1507" s="3" t="n">
        <v>0</v>
      </c>
      <c r="P1507" s="3" t="n">
        <f aca="false">(O1507*(N1507/100)*(J1507/1000))*1000</f>
        <v>0</v>
      </c>
      <c r="Q1507" s="3"/>
      <c r="R1507" s="1"/>
      <c r="S1507" s="1"/>
      <c r="T1507" s="1"/>
      <c r="U1507" s="1"/>
      <c r="V1507" s="1"/>
      <c r="W1507" s="1"/>
      <c r="X1507" s="1"/>
      <c r="Y1507" s="5"/>
      <c r="Z1507" s="1"/>
    </row>
    <row r="1508" customFormat="false" ht="15" hidden="false" customHeight="false" outlineLevel="0" collapsed="false">
      <c r="A1508" s="0" t="s">
        <v>67</v>
      </c>
      <c r="B1508" s="0" t="s">
        <v>68</v>
      </c>
      <c r="C1508" s="0" t="s">
        <v>56</v>
      </c>
      <c r="D1508" s="0" t="s">
        <v>159</v>
      </c>
      <c r="E1508" s="0" t="n">
        <v>32</v>
      </c>
      <c r="F1508" s="0" t="n">
        <v>1</v>
      </c>
      <c r="G1508" s="1"/>
      <c r="H1508" s="1"/>
      <c r="I1508" s="0" t="n">
        <f aca="false">32+26.9</f>
        <v>58.9</v>
      </c>
      <c r="J1508" s="0" t="n">
        <f aca="false">(I1508/32)*5</f>
        <v>9.203125</v>
      </c>
      <c r="L1508" s="0" t="n">
        <v>18</v>
      </c>
      <c r="M1508" s="0" t="n">
        <v>0</v>
      </c>
      <c r="N1508" s="0" t="n">
        <f aca="false">L1508</f>
        <v>18</v>
      </c>
      <c r="O1508" s="3" t="n">
        <f aca="false">LOOKUP(L1508,$AB$3:$AC$123)</f>
        <v>1.0722</v>
      </c>
      <c r="P1508" s="3" t="n">
        <f aca="false">(O1508*(N1508/100)*(J1508/1000))*1000</f>
        <v>1.7761663125</v>
      </c>
      <c r="Q1508" s="3"/>
      <c r="R1508" s="1"/>
      <c r="S1508" s="1"/>
      <c r="T1508" s="1"/>
      <c r="U1508" s="1"/>
      <c r="V1508" s="1"/>
      <c r="W1508" s="1"/>
      <c r="X1508" s="1"/>
      <c r="Y1508" s="5"/>
      <c r="Z1508" s="1"/>
    </row>
    <row r="1509" customFormat="false" ht="15" hidden="false" customHeight="false" outlineLevel="0" collapsed="false">
      <c r="A1509" s="0" t="s">
        <v>69</v>
      </c>
      <c r="B1509" s="0" t="s">
        <v>70</v>
      </c>
      <c r="C1509" s="0" t="s">
        <v>56</v>
      </c>
      <c r="D1509" s="0" t="s">
        <v>159</v>
      </c>
      <c r="E1509" s="0" t="n">
        <v>32</v>
      </c>
      <c r="F1509" s="0" t="n">
        <v>3</v>
      </c>
      <c r="G1509" s="1"/>
      <c r="H1509" s="1"/>
      <c r="I1509" s="0" t="n">
        <f aca="false">32*5+2.9</f>
        <v>162.9</v>
      </c>
      <c r="J1509" s="0" t="n">
        <f aca="false">(I1509/32)*5</f>
        <v>25.453125</v>
      </c>
      <c r="L1509" s="0" t="n">
        <v>20</v>
      </c>
      <c r="M1509" s="0" t="n">
        <v>0</v>
      </c>
      <c r="N1509" s="0" t="n">
        <f aca="false">L1509</f>
        <v>20</v>
      </c>
      <c r="O1509" s="3" t="n">
        <f aca="false">LOOKUP(L1509,$AB$3:$AC$123)</f>
        <v>1.081</v>
      </c>
      <c r="P1509" s="3" t="n">
        <f aca="false">(O1509*(N1509/100)*(J1509/1000))*1000</f>
        <v>5.502965625</v>
      </c>
      <c r="Q1509" s="3"/>
      <c r="R1509" s="1"/>
      <c r="S1509" s="1"/>
      <c r="T1509" s="1"/>
      <c r="U1509" s="1"/>
      <c r="V1509" s="1"/>
      <c r="W1509" s="1"/>
      <c r="X1509" s="1"/>
      <c r="Y1509" s="5"/>
      <c r="Z1509" s="1"/>
    </row>
    <row r="1510" customFormat="false" ht="15" hidden="false" customHeight="false" outlineLevel="0" collapsed="false">
      <c r="A1510" s="0" t="s">
        <v>71</v>
      </c>
      <c r="B1510" s="0" t="s">
        <v>72</v>
      </c>
      <c r="C1510" s="0" t="s">
        <v>56</v>
      </c>
      <c r="D1510" s="0" t="s">
        <v>159</v>
      </c>
      <c r="E1510" s="0" t="n">
        <v>32</v>
      </c>
      <c r="F1510" s="0" t="n">
        <v>0</v>
      </c>
      <c r="G1510" s="1"/>
      <c r="H1510" s="1"/>
      <c r="I1510" s="0" t="n">
        <v>0</v>
      </c>
      <c r="J1510" s="0" t="n">
        <f aca="false">(I1510/32)*5</f>
        <v>0</v>
      </c>
      <c r="L1510" s="0" t="n">
        <v>0</v>
      </c>
      <c r="M1510" s="0" t="n">
        <v>0</v>
      </c>
      <c r="N1510" s="0" t="n">
        <f aca="false">L1510</f>
        <v>0</v>
      </c>
      <c r="O1510" s="3" t="n">
        <v>0</v>
      </c>
      <c r="P1510" s="3" t="n">
        <f aca="false">(O1510*(N1510/100)*(J1510/1000))*1000</f>
        <v>0</v>
      </c>
      <c r="Q1510" s="3"/>
      <c r="R1510" s="1"/>
      <c r="S1510" s="1"/>
      <c r="T1510" s="1"/>
      <c r="U1510" s="1"/>
      <c r="V1510" s="1"/>
      <c r="W1510" s="1"/>
      <c r="X1510" s="1"/>
      <c r="Y1510" s="5"/>
      <c r="Z1510" s="1"/>
    </row>
    <row r="1511" customFormat="false" ht="15" hidden="false" customHeight="false" outlineLevel="0" collapsed="false">
      <c r="A1511" s="0" t="s">
        <v>73</v>
      </c>
      <c r="B1511" s="0" t="s">
        <v>74</v>
      </c>
      <c r="C1511" s="0" t="s">
        <v>56</v>
      </c>
      <c r="D1511" s="0" t="s">
        <v>159</v>
      </c>
      <c r="E1511" s="0" t="n">
        <v>32</v>
      </c>
      <c r="F1511" s="0" t="n">
        <v>0</v>
      </c>
      <c r="G1511" s="1"/>
      <c r="H1511" s="1"/>
      <c r="I1511" s="0" t="n">
        <v>0</v>
      </c>
      <c r="J1511" s="0" t="n">
        <f aca="false">(I1511/32)*5</f>
        <v>0</v>
      </c>
      <c r="L1511" s="0" t="n">
        <v>0</v>
      </c>
      <c r="M1511" s="0" t="n">
        <v>0</v>
      </c>
      <c r="N1511" s="0" t="n">
        <f aca="false">L1511</f>
        <v>0</v>
      </c>
      <c r="O1511" s="3" t="n">
        <v>0</v>
      </c>
      <c r="P1511" s="3" t="n">
        <f aca="false">(O1511*(N1511/100)*(J1511/1000))*1000</f>
        <v>0</v>
      </c>
      <c r="Q1511" s="3"/>
      <c r="R1511" s="1"/>
      <c r="S1511" s="1"/>
      <c r="T1511" s="1"/>
      <c r="U1511" s="1"/>
      <c r="V1511" s="1"/>
      <c r="W1511" s="1"/>
      <c r="X1511" s="1"/>
      <c r="Y1511" s="5"/>
      <c r="Z1511" s="1"/>
    </row>
    <row r="1512" customFormat="false" ht="15" hidden="false" customHeight="false" outlineLevel="0" collapsed="false">
      <c r="A1512" s="0" t="s">
        <v>75</v>
      </c>
      <c r="B1512" s="0" t="s">
        <v>76</v>
      </c>
      <c r="C1512" s="0" t="s">
        <v>56</v>
      </c>
      <c r="D1512" s="0" t="s">
        <v>159</v>
      </c>
      <c r="E1512" s="0" t="n">
        <v>32</v>
      </c>
      <c r="F1512" s="0" t="n">
        <v>2</v>
      </c>
      <c r="G1512" s="1"/>
      <c r="H1512" s="1"/>
      <c r="I1512" s="0" t="n">
        <f aca="false">32*4+15.1</f>
        <v>143.1</v>
      </c>
      <c r="J1512" s="0" t="n">
        <f aca="false">(I1512/32)*5</f>
        <v>22.359375</v>
      </c>
      <c r="L1512" s="0" t="n">
        <v>26.5</v>
      </c>
      <c r="M1512" s="0" t="n">
        <v>0</v>
      </c>
      <c r="N1512" s="0" t="n">
        <f aca="false">L1512</f>
        <v>26.5</v>
      </c>
      <c r="O1512" s="3" t="n">
        <f aca="false">LOOKUP(L1512,$AB$3:$AC$123)</f>
        <v>1.11045</v>
      </c>
      <c r="P1512" s="3" t="n">
        <f aca="false">(O1512*(N1512/100)*(J1512/1000))*1000</f>
        <v>6.57967651171875</v>
      </c>
      <c r="Q1512" s="3"/>
      <c r="R1512" s="1"/>
      <c r="S1512" s="1"/>
      <c r="T1512" s="1"/>
      <c r="U1512" s="1"/>
      <c r="V1512" s="1"/>
      <c r="W1512" s="1"/>
      <c r="X1512" s="1"/>
      <c r="Y1512" s="5"/>
      <c r="Z1512" s="1"/>
    </row>
    <row r="1513" customFormat="false" ht="15" hidden="false" customHeight="false" outlineLevel="0" collapsed="false">
      <c r="A1513" s="0" t="s">
        <v>77</v>
      </c>
      <c r="B1513" s="0" t="s">
        <v>78</v>
      </c>
      <c r="C1513" s="0" t="s">
        <v>56</v>
      </c>
      <c r="D1513" s="0" t="s">
        <v>159</v>
      </c>
      <c r="E1513" s="0" t="n">
        <v>32</v>
      </c>
      <c r="F1513" s="0" t="n">
        <v>0</v>
      </c>
      <c r="G1513" s="1"/>
      <c r="H1513" s="1"/>
      <c r="I1513" s="0" t="n">
        <v>0</v>
      </c>
      <c r="J1513" s="0" t="n">
        <f aca="false">(I1513/32)*5</f>
        <v>0</v>
      </c>
      <c r="L1513" s="0" t="n">
        <v>0</v>
      </c>
      <c r="M1513" s="0" t="n">
        <v>0</v>
      </c>
      <c r="N1513" s="0" t="n">
        <f aca="false">L1513</f>
        <v>0</v>
      </c>
      <c r="O1513" s="3" t="n">
        <v>0</v>
      </c>
      <c r="P1513" s="3" t="n">
        <f aca="false">(O1513*(N1513/100)*(J1513/1000))*1000</f>
        <v>0</v>
      </c>
      <c r="Q1513" s="3"/>
      <c r="R1513" s="1"/>
      <c r="S1513" s="1"/>
      <c r="T1513" s="1"/>
      <c r="U1513" s="1"/>
      <c r="V1513" s="1"/>
      <c r="W1513" s="1"/>
      <c r="X1513" s="1"/>
      <c r="Y1513" s="5"/>
      <c r="Z1513" s="1"/>
    </row>
    <row r="1514" customFormat="false" ht="15" hidden="false" customHeight="false" outlineLevel="0" collapsed="false">
      <c r="A1514" s="0" t="s">
        <v>79</v>
      </c>
      <c r="B1514" s="0" t="s">
        <v>80</v>
      </c>
      <c r="C1514" s="0" t="s">
        <v>81</v>
      </c>
      <c r="D1514" s="0" t="s">
        <v>159</v>
      </c>
      <c r="E1514" s="0" t="n">
        <v>32</v>
      </c>
      <c r="F1514" s="0" t="n">
        <v>1</v>
      </c>
      <c r="G1514" s="1"/>
      <c r="H1514" s="1"/>
      <c r="I1514" s="0" t="n">
        <v>22.9</v>
      </c>
      <c r="J1514" s="0" t="n">
        <f aca="false">(I1514/32)*5</f>
        <v>3.578125</v>
      </c>
      <c r="L1514" s="0" t="n">
        <v>26.5</v>
      </c>
      <c r="M1514" s="0" t="n">
        <v>0</v>
      </c>
      <c r="N1514" s="0" t="n">
        <f aca="false">L1514</f>
        <v>26.5</v>
      </c>
      <c r="O1514" s="3" t="n">
        <f aca="false">LOOKUP(L1514,$AB$3:$AC$123)</f>
        <v>1.11045</v>
      </c>
      <c r="P1514" s="3" t="n">
        <f aca="false">(O1514*(N1514/100)*(J1514/1000))*1000</f>
        <v>1.05293216015625</v>
      </c>
      <c r="Q1514" s="3"/>
      <c r="R1514" s="0" t="n">
        <v>3</v>
      </c>
      <c r="S1514" s="0" t="n">
        <v>2.9</v>
      </c>
      <c r="T1514" s="0" t="n">
        <f aca="false">(S1514/32)*5</f>
        <v>0.453125</v>
      </c>
      <c r="V1514" s="0" t="n">
        <v>7</v>
      </c>
      <c r="W1514" s="0" t="n">
        <v>4</v>
      </c>
      <c r="X1514" s="3" t="n">
        <f aca="false">LOOKUP(V1514,$AB$3:$AC$123)</f>
        <v>1.0259</v>
      </c>
      <c r="Y1514" s="2" t="n">
        <f aca="false">(V1514*((W1514+T1514)/1000)*X1514)/((((W1514+T1514)/1000)*X1514)-((W1514/1000)*0.9982))</f>
        <v>55.5521913669886</v>
      </c>
      <c r="Z1514" s="3" t="n">
        <f aca="false">(X1514*(V1514/100)*((W1514+T1514)/1000))*1000</f>
        <v>0.319792265625</v>
      </c>
    </row>
    <row r="1515" customFormat="false" ht="15" hidden="false" customHeight="false" outlineLevel="0" collapsed="false">
      <c r="A1515" s="0" t="s">
        <v>82</v>
      </c>
      <c r="B1515" s="0" t="s">
        <v>83</v>
      </c>
      <c r="C1515" s="0" t="s">
        <v>81</v>
      </c>
      <c r="D1515" s="0" t="s">
        <v>159</v>
      </c>
      <c r="E1515" s="0" t="n">
        <v>32</v>
      </c>
      <c r="F1515" s="0" t="n">
        <v>1</v>
      </c>
      <c r="G1515" s="1"/>
      <c r="H1515" s="1"/>
      <c r="I1515" s="0" t="n">
        <v>5.9</v>
      </c>
      <c r="J1515" s="0" t="n">
        <f aca="false">(I1515/32)*5</f>
        <v>0.921875</v>
      </c>
      <c r="L1515" s="0" t="n">
        <v>21.5</v>
      </c>
      <c r="M1515" s="0" t="n">
        <v>0</v>
      </c>
      <c r="N1515" s="0" t="n">
        <f aca="false">L1515</f>
        <v>21.5</v>
      </c>
      <c r="O1515" s="3" t="n">
        <f aca="false">LOOKUP(L1515,$AB$3:$AC$123)</f>
        <v>1.087675</v>
      </c>
      <c r="P1515" s="3" t="n">
        <f aca="false">(O1515*(N1515/100)*(J1515/1000))*1000</f>
        <v>0.215580583984375</v>
      </c>
      <c r="Q1515" s="3"/>
      <c r="R1515" s="0" t="n">
        <v>2</v>
      </c>
      <c r="S1515" s="0" t="n">
        <v>4.4</v>
      </c>
      <c r="T1515" s="0" t="n">
        <f aca="false">(S1515/32)*5</f>
        <v>0.6875</v>
      </c>
      <c r="V1515" s="0" t="n">
        <v>6</v>
      </c>
      <c r="W1515" s="0" t="n">
        <v>4</v>
      </c>
      <c r="X1515" s="3" t="n">
        <f aca="false">LOOKUP(V1515,$AB$3:$AC$123)</f>
        <v>1.0218</v>
      </c>
      <c r="Y1515" s="2" t="n">
        <f aca="false">(V1515*((W1515+T1515)/1000)*X1515)/((((W1515+T1515)/1000)*X1515)-((W1515/1000)*0.9982))</f>
        <v>36.0629637182162</v>
      </c>
      <c r="Z1515" s="3" t="n">
        <f aca="false">(X1515*(V1515/100)*((W1515+T1515)/1000))*1000</f>
        <v>0.28738125</v>
      </c>
    </row>
    <row r="1516" customFormat="false" ht="15" hidden="false" customHeight="false" outlineLevel="0" collapsed="false">
      <c r="A1516" s="0" t="s">
        <v>84</v>
      </c>
      <c r="B1516" s="0" t="s">
        <v>85</v>
      </c>
      <c r="C1516" s="0" t="s">
        <v>81</v>
      </c>
      <c r="D1516" s="0" t="s">
        <v>159</v>
      </c>
      <c r="E1516" s="0" t="n">
        <v>32</v>
      </c>
      <c r="F1516" s="0" t="n">
        <v>0</v>
      </c>
      <c r="G1516" s="1"/>
      <c r="H1516" s="1"/>
      <c r="I1516" s="0" t="n">
        <v>0</v>
      </c>
      <c r="J1516" s="0" t="n">
        <f aca="false">(I1516/32)*5</f>
        <v>0</v>
      </c>
      <c r="L1516" s="0" t="n">
        <v>0</v>
      </c>
      <c r="M1516" s="0" t="n">
        <v>0</v>
      </c>
      <c r="N1516" s="0" t="n">
        <f aca="false">L1516</f>
        <v>0</v>
      </c>
      <c r="O1516" s="3" t="n">
        <v>0</v>
      </c>
      <c r="P1516" s="3" t="n">
        <f aca="false">(O1516*(N1516/100)*(J1516/1000))*1000</f>
        <v>0</v>
      </c>
      <c r="Q1516" s="3"/>
      <c r="R1516" s="3" t="n">
        <v>3</v>
      </c>
      <c r="S1516" s="3" t="n">
        <v>4.3</v>
      </c>
      <c r="T1516" s="0" t="n">
        <f aca="false">(S1516/32)*5</f>
        <v>0.671875</v>
      </c>
      <c r="V1516" s="0" t="n">
        <v>17.5</v>
      </c>
      <c r="W1516" s="0" t="n">
        <v>4</v>
      </c>
      <c r="X1516" s="3" t="n">
        <f aca="false">LOOKUP(V1516,$AB$3:$AC$123)</f>
        <v>1.07</v>
      </c>
      <c r="Y1516" s="2" t="n">
        <f aca="false">(V1516*((W1516+T1516)/1000)*X1516)/((((W1516+T1516)/1000)*X1516)-((W1516/1000)*0.9982))</f>
        <v>86.9499214173454</v>
      </c>
      <c r="Z1516" s="3" t="n">
        <f aca="false">(X1516*(V1516/100)*((W1516+T1516)/1000))*1000</f>
        <v>0.87480859375</v>
      </c>
    </row>
    <row r="1517" customFormat="false" ht="15" hidden="false" customHeight="false" outlineLevel="0" collapsed="false">
      <c r="A1517" s="0" t="s">
        <v>86</v>
      </c>
      <c r="B1517" s="0" t="s">
        <v>87</v>
      </c>
      <c r="C1517" s="0" t="s">
        <v>81</v>
      </c>
      <c r="D1517" s="0" t="s">
        <v>159</v>
      </c>
      <c r="E1517" s="0" t="n">
        <v>32</v>
      </c>
      <c r="F1517" s="0" t="n">
        <v>0</v>
      </c>
      <c r="G1517" s="1"/>
      <c r="H1517" s="1"/>
      <c r="I1517" s="0" t="n">
        <v>0</v>
      </c>
      <c r="J1517" s="0" t="n">
        <f aca="false">(I1517/32)*5</f>
        <v>0</v>
      </c>
      <c r="L1517" s="0" t="n">
        <v>0</v>
      </c>
      <c r="M1517" s="0" t="n">
        <v>0</v>
      </c>
      <c r="N1517" s="0" t="n">
        <f aca="false">L1517</f>
        <v>0</v>
      </c>
      <c r="O1517" s="3" t="n">
        <v>0</v>
      </c>
      <c r="P1517" s="3" t="n">
        <f aca="false">(O1517*(N1517/100)*(J1517/1000))*1000</f>
        <v>0</v>
      </c>
      <c r="Q1517" s="3"/>
      <c r="R1517" s="3" t="n">
        <v>3</v>
      </c>
      <c r="S1517" s="3" t="n">
        <v>4</v>
      </c>
      <c r="T1517" s="0" t="n">
        <f aca="false">(S1517/32)*5</f>
        <v>0.625</v>
      </c>
      <c r="V1517" s="0" t="n">
        <v>16</v>
      </c>
      <c r="W1517" s="0" t="n">
        <v>4</v>
      </c>
      <c r="X1517" s="3" t="n">
        <f aca="false">LOOKUP(V1517,$AB$3:$AC$123)</f>
        <v>1.0635</v>
      </c>
      <c r="Y1517" s="2" t="n">
        <f aca="false">(V1517*((W1517+T1517)/1000)*X1517)/((((W1517+T1517)/1000)*X1517)-((W1517/1000)*0.9982))</f>
        <v>84.9984474355687</v>
      </c>
      <c r="Z1517" s="3" t="n">
        <f aca="false">(X1517*(V1517/100)*((W1517+T1517)/1000))*1000</f>
        <v>0.78699</v>
      </c>
    </row>
    <row r="1518" customFormat="false" ht="15" hidden="false" customHeight="false" outlineLevel="0" collapsed="false">
      <c r="A1518" s="0" t="s">
        <v>88</v>
      </c>
      <c r="B1518" s="0" t="s">
        <v>89</v>
      </c>
      <c r="C1518" s="0" t="s">
        <v>81</v>
      </c>
      <c r="D1518" s="0" t="s">
        <v>159</v>
      </c>
      <c r="E1518" s="0" t="n">
        <v>32</v>
      </c>
      <c r="F1518" s="0" t="n">
        <v>1</v>
      </c>
      <c r="G1518" s="1"/>
      <c r="H1518" s="1"/>
      <c r="I1518" s="0" t="n">
        <v>17.4</v>
      </c>
      <c r="J1518" s="0" t="n">
        <f aca="false">(I1518/32)*5</f>
        <v>2.71875</v>
      </c>
      <c r="L1518" s="0" t="n">
        <v>24.5</v>
      </c>
      <c r="M1518" s="0" t="n">
        <v>0</v>
      </c>
      <c r="N1518" s="0" t="n">
        <f aca="false">L1518</f>
        <v>24.5</v>
      </c>
      <c r="O1518" s="3" t="n">
        <f aca="false">LOOKUP(L1518,$AB$3:$AC$123)</f>
        <v>1.101275</v>
      </c>
      <c r="P1518" s="3" t="n">
        <f aca="false">(O1518*(N1518/100)*(J1518/1000))*1000</f>
        <v>0.73355239453125</v>
      </c>
      <c r="Q1518" s="3"/>
      <c r="R1518" s="3" t="n">
        <v>4</v>
      </c>
      <c r="S1518" s="3" t="n">
        <v>4.9</v>
      </c>
      <c r="T1518" s="0" t="n">
        <f aca="false">(S1518/32)*5</f>
        <v>0.765625</v>
      </c>
      <c r="V1518" s="0" t="n">
        <v>8</v>
      </c>
      <c r="W1518" s="0" t="n">
        <v>4</v>
      </c>
      <c r="X1518" s="3" t="n">
        <f aca="false">LOOKUP(V1518,$AB$3:$AC$123)</f>
        <v>1.0299</v>
      </c>
      <c r="Y1518" s="2" t="n">
        <f aca="false">(V1518*((W1518+T1518)/1000)*X1518)/((((W1518+T1518)/1000)*X1518)-((W1518/1000)*0.9982))</f>
        <v>42.8976294078385</v>
      </c>
      <c r="Z1518" s="3" t="n">
        <f aca="false">(X1518*(V1518/100)*((W1518+T1518)/1000))*1000</f>
        <v>0.392649375</v>
      </c>
    </row>
    <row r="1519" customFormat="false" ht="15" hidden="false" customHeight="false" outlineLevel="0" collapsed="false">
      <c r="A1519" s="0" t="s">
        <v>90</v>
      </c>
      <c r="B1519" s="0" t="s">
        <v>91</v>
      </c>
      <c r="C1519" s="0" t="s">
        <v>81</v>
      </c>
      <c r="D1519" s="0" t="s">
        <v>159</v>
      </c>
      <c r="E1519" s="0" t="n">
        <v>32</v>
      </c>
      <c r="F1519" s="0" t="n">
        <v>1</v>
      </c>
      <c r="G1519" s="1"/>
      <c r="H1519" s="1"/>
      <c r="I1519" s="0" t="n">
        <v>26.9</v>
      </c>
      <c r="J1519" s="0" t="n">
        <f aca="false">(I1519/32)*5</f>
        <v>4.203125</v>
      </c>
      <c r="L1519" s="0" t="n">
        <v>26</v>
      </c>
      <c r="M1519" s="0" t="n">
        <v>0</v>
      </c>
      <c r="N1519" s="0" t="n">
        <f aca="false">L1519</f>
        <v>26</v>
      </c>
      <c r="O1519" s="3" t="n">
        <f aca="false">LOOKUP(L1519,$AB$3:$AC$123)</f>
        <v>1.1081</v>
      </c>
      <c r="P1519" s="3" t="n">
        <f aca="false">(O1519*(N1519/100)*(J1519/1000))*1000</f>
        <v>1.21094553125</v>
      </c>
      <c r="Q1519" s="3"/>
      <c r="R1519" s="3" t="n">
        <v>3</v>
      </c>
      <c r="S1519" s="3" t="n">
        <v>3.5</v>
      </c>
      <c r="T1519" s="0" t="n">
        <f aca="false">(S1519/32)*5</f>
        <v>0.546875</v>
      </c>
      <c r="V1519" s="0" t="n">
        <v>7</v>
      </c>
      <c r="W1519" s="0" t="n">
        <v>4</v>
      </c>
      <c r="X1519" s="3" t="n">
        <f aca="false">LOOKUP(V1519,$AB$3:$AC$123)</f>
        <v>1.0259</v>
      </c>
      <c r="Y1519" s="2" t="n">
        <f aca="false">(V1519*((W1519+T1519)/1000)*X1519)/((((W1519+T1519)/1000)*X1519)-((W1519/1000)*0.9982))</f>
        <v>48.6016298546202</v>
      </c>
      <c r="Z1519" s="3" t="n">
        <f aca="false">(X1519*(V1519/100)*((W1519+T1519)/1000))*1000</f>
        <v>0.326524734375</v>
      </c>
    </row>
    <row r="1520" customFormat="false" ht="15" hidden="false" customHeight="false" outlineLevel="0" collapsed="false">
      <c r="A1520" s="0" t="s">
        <v>92</v>
      </c>
      <c r="B1520" s="0" t="s">
        <v>93</v>
      </c>
      <c r="C1520" s="0" t="s">
        <v>81</v>
      </c>
      <c r="D1520" s="0" t="s">
        <v>159</v>
      </c>
      <c r="E1520" s="0" t="n">
        <v>32</v>
      </c>
      <c r="F1520" s="0" t="n">
        <v>0</v>
      </c>
      <c r="G1520" s="1"/>
      <c r="H1520" s="1"/>
      <c r="I1520" s="0" t="n">
        <v>0</v>
      </c>
      <c r="J1520" s="0" t="n">
        <f aca="false">(I1520/32)*5</f>
        <v>0</v>
      </c>
      <c r="L1520" s="0" t="n">
        <v>0</v>
      </c>
      <c r="M1520" s="0" t="n">
        <v>0</v>
      </c>
      <c r="N1520" s="0" t="n">
        <f aca="false">L1520</f>
        <v>0</v>
      </c>
      <c r="O1520" s="3" t="n">
        <v>0</v>
      </c>
      <c r="P1520" s="3" t="n">
        <f aca="false">(O1520*(N1520/100)*(J1520/1000))*1000</f>
        <v>0</v>
      </c>
      <c r="Q1520" s="3"/>
      <c r="R1520" s="3" t="n">
        <v>3</v>
      </c>
      <c r="S1520" s="3" t="n">
        <v>5.4</v>
      </c>
      <c r="T1520" s="0" t="n">
        <f aca="false">(S1520/32)*5</f>
        <v>0.84375</v>
      </c>
      <c r="V1520" s="0" t="n">
        <v>7</v>
      </c>
      <c r="W1520" s="0" t="n">
        <v>4</v>
      </c>
      <c r="X1520" s="3" t="n">
        <f aca="false">LOOKUP(V1520,$AB$3:$AC$123)</f>
        <v>1.0259</v>
      </c>
      <c r="Y1520" s="2" t="n">
        <f aca="false">(V1520*((W1520+T1520)/1000)*X1520)/((((W1520+T1520)/1000)*X1520)-((W1520/1000)*0.9982))</f>
        <v>35.6250620101201</v>
      </c>
      <c r="Z1520" s="3" t="n">
        <f aca="false">(X1520*(V1520/100)*((W1520+T1520)/1000))*1000</f>
        <v>0.34784421875</v>
      </c>
    </row>
    <row r="1521" customFormat="false" ht="15" hidden="false" customHeight="false" outlineLevel="0" collapsed="false">
      <c r="A1521" s="0" t="s">
        <v>94</v>
      </c>
      <c r="B1521" s="0" t="s">
        <v>95</v>
      </c>
      <c r="C1521" s="0" t="s">
        <v>81</v>
      </c>
      <c r="D1521" s="0" t="s">
        <v>159</v>
      </c>
      <c r="E1521" s="0" t="n">
        <v>32</v>
      </c>
      <c r="F1521" s="0" t="n">
        <v>2</v>
      </c>
      <c r="G1521" s="1"/>
      <c r="H1521" s="1"/>
      <c r="I1521" s="0" t="n">
        <f aca="false">24.6+19.5</f>
        <v>44.1</v>
      </c>
      <c r="J1521" s="0" t="n">
        <f aca="false">(I1521/32)*5</f>
        <v>6.890625</v>
      </c>
      <c r="L1521" s="0" t="n">
        <v>31</v>
      </c>
      <c r="M1521" s="0" t="n">
        <v>0</v>
      </c>
      <c r="N1521" s="0" t="n">
        <f aca="false">L1521</f>
        <v>31</v>
      </c>
      <c r="O1521" s="3" t="n">
        <f aca="false">LOOKUP(L1521,$AB$3:$AC$123)</f>
        <v>1.1318</v>
      </c>
      <c r="P1521" s="3" t="n">
        <f aca="false">(O1521*(N1521/100)*(J1521/1000))*1000</f>
        <v>2.41763090625</v>
      </c>
      <c r="Q1521" s="3"/>
      <c r="R1521" s="3" t="n">
        <v>4</v>
      </c>
      <c r="S1521" s="3" t="n">
        <v>4.9</v>
      </c>
      <c r="T1521" s="0" t="n">
        <f aca="false">(S1521/32)*5</f>
        <v>0.765625</v>
      </c>
      <c r="V1521" s="0" t="n">
        <v>8</v>
      </c>
      <c r="W1521" s="0" t="n">
        <v>4</v>
      </c>
      <c r="X1521" s="3" t="n">
        <f aca="false">LOOKUP(V1521,$AB$3:$AC$123)</f>
        <v>1.0299</v>
      </c>
      <c r="Y1521" s="2" t="n">
        <f aca="false">(V1521*((W1521+T1521)/1000)*X1521)/((((W1521+T1521)/1000)*X1521)-((W1521/1000)*0.9982))</f>
        <v>42.8976294078385</v>
      </c>
      <c r="Z1521" s="3" t="n">
        <f aca="false">(X1521*(V1521/100)*((W1521+T1521)/1000))*1000</f>
        <v>0.392649375</v>
      </c>
    </row>
    <row r="1522" customFormat="false" ht="15" hidden="false" customHeight="false" outlineLevel="0" collapsed="false">
      <c r="A1522" s="0" t="s">
        <v>96</v>
      </c>
      <c r="B1522" s="0" t="s">
        <v>97</v>
      </c>
      <c r="C1522" s="0" t="s">
        <v>81</v>
      </c>
      <c r="D1522" s="0" t="s">
        <v>159</v>
      </c>
      <c r="E1522" s="0" t="n">
        <v>32</v>
      </c>
      <c r="F1522" s="0" t="n">
        <v>0</v>
      </c>
      <c r="G1522" s="1"/>
      <c r="H1522" s="1"/>
      <c r="I1522" s="0" t="n">
        <v>0</v>
      </c>
      <c r="J1522" s="0" t="n">
        <f aca="false">(I1522/32)*5</f>
        <v>0</v>
      </c>
      <c r="L1522" s="0" t="n">
        <v>0</v>
      </c>
      <c r="M1522" s="0" t="n">
        <v>0</v>
      </c>
      <c r="N1522" s="0" t="n">
        <f aca="false">L1522</f>
        <v>0</v>
      </c>
      <c r="O1522" s="3" t="n">
        <f aca="false">LOOKUP(L1522,$AB$3:$AC$123)</f>
        <v>0.9982</v>
      </c>
      <c r="P1522" s="3" t="n">
        <f aca="false">(O1522*(N1522/100)*(J1522/1000))*1000</f>
        <v>0</v>
      </c>
      <c r="Q1522" s="3"/>
      <c r="R1522" s="3" t="n">
        <v>1</v>
      </c>
      <c r="S1522" s="3" t="n">
        <v>2.2</v>
      </c>
      <c r="T1522" s="0" t="n">
        <f aca="false">(S1522/32)*5</f>
        <v>0.34375</v>
      </c>
      <c r="V1522" s="0" t="n">
        <v>4</v>
      </c>
      <c r="W1522" s="0" t="n">
        <v>4</v>
      </c>
      <c r="X1522" s="3" t="n">
        <f aca="false">LOOKUP(V1522,$AB$3:$AC$123)</f>
        <v>1.0139</v>
      </c>
      <c r="Y1522" s="2" t="n">
        <f aca="false">(V1522*((W1522+T1522)/1000)*X1522)/((((W1522+T1522)/1000)*X1522)-((W1522/1000)*0.9982))</f>
        <v>42.8283684710352</v>
      </c>
      <c r="Z1522" s="3" t="n">
        <f aca="false">(X1522*(V1522/100)*((W1522+T1522)/1000))*1000</f>
        <v>0.176165125</v>
      </c>
    </row>
    <row r="1523" customFormat="false" ht="15" hidden="false" customHeight="false" outlineLevel="0" collapsed="false">
      <c r="A1523" s="0" t="s">
        <v>98</v>
      </c>
      <c r="B1523" s="0" t="s">
        <v>99</v>
      </c>
      <c r="C1523" s="0" t="s">
        <v>81</v>
      </c>
      <c r="D1523" s="0" t="s">
        <v>159</v>
      </c>
      <c r="E1523" s="0" t="n">
        <v>32</v>
      </c>
      <c r="F1523" s="0" t="n">
        <v>1</v>
      </c>
      <c r="G1523" s="1"/>
      <c r="H1523" s="1"/>
      <c r="I1523" s="0" t="n">
        <v>25.6</v>
      </c>
      <c r="J1523" s="0" t="n">
        <f aca="false">(I1523/32)*5</f>
        <v>4</v>
      </c>
      <c r="L1523" s="0" t="n">
        <v>29.5</v>
      </c>
      <c r="M1523" s="0" t="n">
        <v>0</v>
      </c>
      <c r="N1523" s="0" t="n">
        <f aca="false">L1523</f>
        <v>29.5</v>
      </c>
      <c r="O1523" s="3" t="n">
        <f aca="false">LOOKUP(L1523,$AB$3:$AC$123)</f>
        <v>1.124625</v>
      </c>
      <c r="P1523" s="3" t="n">
        <f aca="false">(O1523*(N1523/100)*(J1523/1000))*1000</f>
        <v>1.3270575</v>
      </c>
      <c r="Q1523" s="3"/>
      <c r="R1523" s="3" t="n">
        <v>3</v>
      </c>
      <c r="S1523" s="3" t="n">
        <v>4.3</v>
      </c>
      <c r="T1523" s="0" t="n">
        <f aca="false">(S1523/32)*5</f>
        <v>0.671875</v>
      </c>
      <c r="V1523" s="0" t="n">
        <v>8</v>
      </c>
      <c r="W1523" s="0" t="n">
        <v>4</v>
      </c>
      <c r="X1523" s="3" t="n">
        <f aca="false">LOOKUP(V1523,$AB$3:$AC$123)</f>
        <v>1.0299</v>
      </c>
      <c r="Y1523" s="2" t="n">
        <f aca="false">(V1523*((W1523+T1523)/1000)*X1523)/((((W1523+T1523)/1000)*X1523)-((W1523/1000)*0.9982))</f>
        <v>47.0129482508889</v>
      </c>
      <c r="Z1523" s="3" t="n">
        <f aca="false">(X1523*(V1523/100)*((W1523+T1523)/1000))*1000</f>
        <v>0.384925125</v>
      </c>
    </row>
    <row r="1524" customFormat="false" ht="15" hidden="false" customHeight="false" outlineLevel="0" collapsed="false">
      <c r="A1524" s="0" t="s">
        <v>100</v>
      </c>
      <c r="B1524" s="0" t="s">
        <v>101</v>
      </c>
      <c r="C1524" s="0" t="s">
        <v>81</v>
      </c>
      <c r="D1524" s="0" t="s">
        <v>159</v>
      </c>
      <c r="E1524" s="0" t="n">
        <v>32</v>
      </c>
      <c r="F1524" s="0" t="n">
        <v>0</v>
      </c>
      <c r="G1524" s="1"/>
      <c r="H1524" s="1"/>
      <c r="I1524" s="0" t="n">
        <v>0</v>
      </c>
      <c r="J1524" s="0" t="n">
        <f aca="false">(I1524/32)*5</f>
        <v>0</v>
      </c>
      <c r="L1524" s="0" t="n">
        <v>0</v>
      </c>
      <c r="M1524" s="0" t="n">
        <v>0</v>
      </c>
      <c r="N1524" s="0" t="n">
        <f aca="false">L1524</f>
        <v>0</v>
      </c>
      <c r="O1524" s="3" t="n">
        <v>0</v>
      </c>
      <c r="P1524" s="3" t="n">
        <f aca="false">(O1524*(N1524/100)*(J1524/1000))*1000</f>
        <v>0</v>
      </c>
      <c r="Q1524" s="3"/>
      <c r="R1524" s="3" t="n">
        <v>3</v>
      </c>
      <c r="S1524" s="3" t="n">
        <v>5.6</v>
      </c>
      <c r="T1524" s="0" t="n">
        <f aca="false">(S1524/32)*5</f>
        <v>0.875</v>
      </c>
      <c r="V1524" s="0" t="n">
        <v>7</v>
      </c>
      <c r="W1524" s="0" t="n">
        <v>4</v>
      </c>
      <c r="X1524" s="3" t="n">
        <f aca="false">LOOKUP(V1524,$AB$3:$AC$123)</f>
        <v>1.0259</v>
      </c>
      <c r="Y1524" s="2" t="n">
        <f aca="false">(V1524*((W1524+T1524)/1000)*X1524)/((((W1524+T1524)/1000)*X1524)-((W1524/1000)*0.9982))</f>
        <v>34.7150612938012</v>
      </c>
      <c r="Z1524" s="3" t="n">
        <f aca="false">(X1524*(V1524/100)*((W1524+T1524)/1000))*1000</f>
        <v>0.350088375</v>
      </c>
    </row>
    <row r="1525" customFormat="false" ht="15" hidden="false" customHeight="false" outlineLevel="0" collapsed="false">
      <c r="A1525" s="0" t="s">
        <v>102</v>
      </c>
      <c r="B1525" s="0" t="s">
        <v>103</v>
      </c>
      <c r="C1525" s="0" t="s">
        <v>81</v>
      </c>
      <c r="D1525" s="0" t="s">
        <v>159</v>
      </c>
      <c r="E1525" s="0" t="n">
        <v>32</v>
      </c>
      <c r="F1525" s="0" t="n">
        <v>1</v>
      </c>
      <c r="G1525" s="1"/>
      <c r="H1525" s="1"/>
      <c r="I1525" s="0" t="n">
        <f aca="false">27.2+23.7</f>
        <v>50.9</v>
      </c>
      <c r="J1525" s="0" t="n">
        <f aca="false">(I1525/32)*5</f>
        <v>7.953125</v>
      </c>
      <c r="L1525" s="0" t="n">
        <v>35</v>
      </c>
      <c r="M1525" s="0" t="n">
        <v>0</v>
      </c>
      <c r="N1525" s="0" t="n">
        <f aca="false">L1525</f>
        <v>35</v>
      </c>
      <c r="O1525" s="3" t="n">
        <f aca="false">LOOKUP(L1525,$AB$3:$AC$123)</f>
        <v>1.1513</v>
      </c>
      <c r="P1525" s="3" t="n">
        <f aca="false">(O1525*(N1525/100)*(J1525/1000))*1000</f>
        <v>3.204751484375</v>
      </c>
      <c r="Q1525" s="3"/>
      <c r="R1525" s="3" t="n">
        <v>2</v>
      </c>
      <c r="S1525" s="3" t="n">
        <v>3.7</v>
      </c>
      <c r="T1525" s="0" t="n">
        <f aca="false">(S1525/32)*5</f>
        <v>0.578125</v>
      </c>
      <c r="V1525" s="0" t="n">
        <v>12</v>
      </c>
      <c r="W1525" s="0" t="n">
        <v>4</v>
      </c>
      <c r="X1525" s="3" t="n">
        <f aca="false">LOOKUP(V1525,$AB$3:$AC$123)</f>
        <v>1.0465</v>
      </c>
      <c r="Y1525" s="2" t="n">
        <f aca="false">(V1525*((W1525+T1525)/1000)*X1525)/((((W1525+T1525)/1000)*X1525)-((W1525/1000)*0.9982))</f>
        <v>72.0264733690514</v>
      </c>
      <c r="Z1525" s="3" t="n">
        <f aca="false">(X1525*(V1525/100)*((W1525+T1525)/1000))*1000</f>
        <v>0.5749209375</v>
      </c>
    </row>
    <row r="1526" customFormat="false" ht="15" hidden="false" customHeight="false" outlineLevel="0" collapsed="false">
      <c r="A1526" s="0" t="s">
        <v>104</v>
      </c>
      <c r="B1526" s="0" t="s">
        <v>105</v>
      </c>
      <c r="C1526" s="0" t="s">
        <v>106</v>
      </c>
      <c r="D1526" s="0" t="s">
        <v>159</v>
      </c>
      <c r="E1526" s="0" t="n">
        <v>32</v>
      </c>
      <c r="F1526" s="0" t="n">
        <v>0</v>
      </c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3" t="n">
        <v>6</v>
      </c>
      <c r="S1526" s="1"/>
      <c r="T1526" s="1"/>
      <c r="U1526" s="1"/>
      <c r="V1526" s="1"/>
      <c r="W1526" s="1"/>
      <c r="X1526" s="1"/>
      <c r="Y1526" s="5"/>
      <c r="Z1526" s="1"/>
    </row>
    <row r="1527" customFormat="false" ht="15" hidden="false" customHeight="false" outlineLevel="0" collapsed="false">
      <c r="A1527" s="0" t="s">
        <v>107</v>
      </c>
      <c r="B1527" s="0" t="s">
        <v>37</v>
      </c>
      <c r="C1527" s="0" t="s">
        <v>106</v>
      </c>
      <c r="D1527" s="0" t="s">
        <v>159</v>
      </c>
      <c r="E1527" s="0" t="n">
        <v>32</v>
      </c>
      <c r="F1527" s="0" t="n">
        <v>1</v>
      </c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3" t="n">
        <v>5</v>
      </c>
      <c r="S1527" s="1"/>
      <c r="T1527" s="1"/>
      <c r="U1527" s="1"/>
      <c r="V1527" s="1"/>
      <c r="W1527" s="1"/>
      <c r="X1527" s="1"/>
      <c r="Y1527" s="5"/>
      <c r="Z1527" s="1"/>
    </row>
    <row r="1528" customFormat="false" ht="15" hidden="false" customHeight="false" outlineLevel="0" collapsed="false">
      <c r="A1528" s="0" t="s">
        <v>108</v>
      </c>
      <c r="B1528" s="0" t="s">
        <v>109</v>
      </c>
      <c r="C1528" s="0" t="s">
        <v>106</v>
      </c>
      <c r="D1528" s="0" t="s">
        <v>159</v>
      </c>
      <c r="E1528" s="0" t="n">
        <v>32</v>
      </c>
      <c r="F1528" s="0" t="n">
        <v>2</v>
      </c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3" t="n">
        <v>5</v>
      </c>
      <c r="S1528" s="1"/>
      <c r="T1528" s="1"/>
      <c r="U1528" s="1"/>
      <c r="V1528" s="1"/>
      <c r="W1528" s="1"/>
      <c r="X1528" s="1"/>
      <c r="Y1528" s="5"/>
      <c r="Z1528" s="1"/>
    </row>
    <row r="1529" customFormat="false" ht="15" hidden="false" customHeight="false" outlineLevel="0" collapsed="false">
      <c r="A1529" s="0" t="s">
        <v>110</v>
      </c>
      <c r="B1529" s="0" t="s">
        <v>111</v>
      </c>
      <c r="C1529" s="0" t="s">
        <v>106</v>
      </c>
      <c r="D1529" s="0" t="s">
        <v>159</v>
      </c>
      <c r="E1529" s="0" t="n">
        <v>32</v>
      </c>
      <c r="F1529" s="0" t="n">
        <v>1</v>
      </c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3" t="n">
        <v>3</v>
      </c>
      <c r="S1529" s="1"/>
      <c r="T1529" s="1"/>
      <c r="U1529" s="1"/>
      <c r="V1529" s="1"/>
      <c r="W1529" s="1"/>
      <c r="X1529" s="1"/>
      <c r="Y1529" s="5"/>
      <c r="Z1529" s="1"/>
    </row>
    <row r="1530" customFormat="false" ht="15" hidden="false" customHeight="false" outlineLevel="0" collapsed="false">
      <c r="A1530" s="0" t="s">
        <v>112</v>
      </c>
      <c r="B1530" s="0" t="s">
        <v>113</v>
      </c>
      <c r="C1530" s="0" t="s">
        <v>106</v>
      </c>
      <c r="D1530" s="0" t="s">
        <v>159</v>
      </c>
      <c r="E1530" s="0" t="n">
        <v>32</v>
      </c>
      <c r="F1530" s="0" t="n">
        <v>0</v>
      </c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3" t="n">
        <v>4</v>
      </c>
      <c r="S1530" s="1"/>
      <c r="T1530" s="1"/>
      <c r="U1530" s="1"/>
      <c r="V1530" s="1"/>
      <c r="W1530" s="1"/>
      <c r="X1530" s="1"/>
      <c r="Y1530" s="5"/>
      <c r="Z1530" s="1"/>
    </row>
    <row r="1531" customFormat="false" ht="15" hidden="false" customHeight="false" outlineLevel="0" collapsed="false">
      <c r="A1531" s="0" t="s">
        <v>114</v>
      </c>
      <c r="B1531" s="0" t="s">
        <v>115</v>
      </c>
      <c r="C1531" s="0" t="s">
        <v>106</v>
      </c>
      <c r="D1531" s="0" t="s">
        <v>159</v>
      </c>
      <c r="E1531" s="0" t="n">
        <v>32</v>
      </c>
      <c r="F1531" s="0" t="n">
        <v>1</v>
      </c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3" t="n">
        <v>4</v>
      </c>
      <c r="S1531" s="1"/>
      <c r="T1531" s="1"/>
      <c r="U1531" s="1"/>
      <c r="V1531" s="1"/>
      <c r="W1531" s="1"/>
      <c r="X1531" s="1"/>
      <c r="Y1531" s="5"/>
      <c r="Z1531" s="1"/>
    </row>
    <row r="1532" customFormat="false" ht="15" hidden="false" customHeight="false" outlineLevel="0" collapsed="false">
      <c r="A1532" s="0" t="s">
        <v>116</v>
      </c>
      <c r="B1532" s="0" t="s">
        <v>117</v>
      </c>
      <c r="C1532" s="0" t="s">
        <v>106</v>
      </c>
      <c r="D1532" s="0" t="s">
        <v>159</v>
      </c>
      <c r="E1532" s="0" t="n">
        <v>32</v>
      </c>
      <c r="F1532" s="0" t="n">
        <v>1</v>
      </c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3" t="n">
        <v>2</v>
      </c>
      <c r="S1532" s="1"/>
      <c r="T1532" s="1"/>
      <c r="U1532" s="1"/>
      <c r="V1532" s="1"/>
      <c r="W1532" s="1"/>
      <c r="X1532" s="1"/>
      <c r="Y1532" s="5"/>
      <c r="Z1532" s="1"/>
    </row>
    <row r="1533" customFormat="false" ht="15" hidden="false" customHeight="false" outlineLevel="0" collapsed="false">
      <c r="A1533" s="0" t="s">
        <v>118</v>
      </c>
      <c r="B1533" s="0" t="s">
        <v>119</v>
      </c>
      <c r="C1533" s="0" t="s">
        <v>106</v>
      </c>
      <c r="D1533" s="0" t="s">
        <v>159</v>
      </c>
      <c r="E1533" s="0" t="n">
        <v>32</v>
      </c>
      <c r="F1533" s="0" t="n">
        <v>1</v>
      </c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3" t="n">
        <v>8</v>
      </c>
      <c r="S1533" s="1"/>
      <c r="T1533" s="1"/>
      <c r="U1533" s="1"/>
      <c r="V1533" s="1"/>
      <c r="W1533" s="1"/>
      <c r="X1533" s="1"/>
      <c r="Y1533" s="5"/>
      <c r="Z1533" s="1"/>
    </row>
    <row r="1534" customFormat="false" ht="15" hidden="false" customHeight="false" outlineLevel="0" collapsed="false">
      <c r="A1534" s="0" t="s">
        <v>120</v>
      </c>
      <c r="B1534" s="0" t="s">
        <v>121</v>
      </c>
      <c r="C1534" s="0" t="s">
        <v>106</v>
      </c>
      <c r="D1534" s="0" t="s">
        <v>159</v>
      </c>
      <c r="E1534" s="0" t="n">
        <v>32</v>
      </c>
      <c r="F1534" s="0" t="n">
        <v>1</v>
      </c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3" t="n">
        <v>11</v>
      </c>
      <c r="S1534" s="1"/>
      <c r="T1534" s="1"/>
      <c r="U1534" s="1"/>
      <c r="V1534" s="1"/>
      <c r="W1534" s="1"/>
      <c r="X1534" s="1"/>
      <c r="Y1534" s="5"/>
      <c r="Z1534" s="1"/>
    </row>
    <row r="1535" customFormat="false" ht="15" hidden="false" customHeight="false" outlineLevel="0" collapsed="false">
      <c r="A1535" s="0" t="s">
        <v>122</v>
      </c>
      <c r="B1535" s="0" t="s">
        <v>123</v>
      </c>
      <c r="C1535" s="0" t="s">
        <v>106</v>
      </c>
      <c r="D1535" s="0" t="s">
        <v>159</v>
      </c>
      <c r="E1535" s="0" t="n">
        <v>32</v>
      </c>
      <c r="F1535" s="0" t="n">
        <v>0</v>
      </c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3" t="n">
        <v>8</v>
      </c>
      <c r="S1535" s="1"/>
      <c r="T1535" s="1"/>
      <c r="U1535" s="1"/>
      <c r="V1535" s="1"/>
      <c r="W1535" s="1"/>
      <c r="X1535" s="1"/>
      <c r="Y1535" s="5"/>
      <c r="Z1535" s="1"/>
    </row>
    <row r="1536" customFormat="false" ht="15" hidden="false" customHeight="false" outlineLevel="0" collapsed="false">
      <c r="A1536" s="0" t="s">
        <v>124</v>
      </c>
      <c r="B1536" s="0" t="s">
        <v>125</v>
      </c>
      <c r="C1536" s="0" t="s">
        <v>106</v>
      </c>
      <c r="D1536" s="0" t="s">
        <v>159</v>
      </c>
      <c r="E1536" s="0" t="n">
        <v>32</v>
      </c>
      <c r="F1536" s="0" t="n">
        <v>0</v>
      </c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3" t="n">
        <v>6</v>
      </c>
      <c r="S1536" s="1"/>
      <c r="T1536" s="1"/>
      <c r="U1536" s="1"/>
      <c r="V1536" s="1"/>
      <c r="W1536" s="1"/>
      <c r="X1536" s="1"/>
      <c r="Y1536" s="5"/>
      <c r="Z1536" s="1"/>
    </row>
    <row r="1537" customFormat="false" ht="15" hidden="false" customHeight="false" outlineLevel="0" collapsed="false">
      <c r="A1537" s="0" t="s">
        <v>126</v>
      </c>
      <c r="B1537" s="0" t="s">
        <v>127</v>
      </c>
      <c r="C1537" s="0" t="s">
        <v>106</v>
      </c>
      <c r="D1537" s="0" t="s">
        <v>159</v>
      </c>
      <c r="E1537" s="0" t="n">
        <v>32</v>
      </c>
      <c r="F1537" s="0" t="n">
        <v>2</v>
      </c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0" t="n">
        <v>6</v>
      </c>
      <c r="S1537" s="1"/>
      <c r="T1537" s="1"/>
      <c r="U1537" s="1"/>
      <c r="V1537" s="1"/>
      <c r="W1537" s="1"/>
      <c r="X1537" s="1"/>
      <c r="Y1537" s="5"/>
      <c r="Z1537" s="1"/>
    </row>
    <row r="1538" customFormat="false" ht="15" hidden="false" customHeight="false" outlineLevel="0" collapsed="false">
      <c r="A1538" s="0" t="s">
        <v>26</v>
      </c>
      <c r="B1538" s="0" t="s">
        <v>27</v>
      </c>
      <c r="C1538" s="0" t="s">
        <v>28</v>
      </c>
      <c r="D1538" s="0" t="s">
        <v>160</v>
      </c>
      <c r="E1538" s="0" t="n">
        <v>33</v>
      </c>
      <c r="F1538" s="0" t="n">
        <v>1</v>
      </c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0" t="n">
        <v>2</v>
      </c>
      <c r="S1538" s="0" t="n">
        <v>4.5</v>
      </c>
      <c r="T1538" s="0" t="n">
        <f aca="false">(S1538/32)*5</f>
        <v>0.703125</v>
      </c>
      <c r="V1538" s="0" t="n">
        <v>13</v>
      </c>
      <c r="W1538" s="0" t="n">
        <v>4</v>
      </c>
      <c r="X1538" s="3" t="n">
        <f aca="false">LOOKUP(V1538,$AB$3:$AC$123)</f>
        <v>1.0507</v>
      </c>
      <c r="Y1538" s="2" t="n">
        <f aca="false">(V1538*((W1538+T1538)/1000)*X1538)/((((W1538+T1538)/1000)*X1538)-((W1538/1000)*0.9982))</f>
        <v>67.7089515245836</v>
      </c>
      <c r="Z1538" s="3" t="n">
        <f aca="false">(X1538*(V1538/100)*((W1538+T1538)/1000))*1000</f>
        <v>0.642404546875</v>
      </c>
    </row>
    <row r="1539" customFormat="false" ht="15" hidden="false" customHeight="false" outlineLevel="0" collapsed="false">
      <c r="A1539" s="0" t="s">
        <v>32</v>
      </c>
      <c r="B1539" s="0" t="s">
        <v>33</v>
      </c>
      <c r="C1539" s="0" t="s">
        <v>28</v>
      </c>
      <c r="D1539" s="0" t="s">
        <v>160</v>
      </c>
      <c r="E1539" s="0" t="n">
        <v>33</v>
      </c>
      <c r="F1539" s="0" t="n">
        <v>0</v>
      </c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0" t="n">
        <v>4</v>
      </c>
      <c r="S1539" s="0" t="n">
        <v>7.4</v>
      </c>
      <c r="T1539" s="0" t="n">
        <f aca="false">(S1539/32)*5</f>
        <v>1.15625</v>
      </c>
      <c r="V1539" s="0" t="n">
        <v>18.5</v>
      </c>
      <c r="W1539" s="0" t="n">
        <v>4</v>
      </c>
      <c r="X1539" s="3" t="n">
        <f aca="false">LOOKUP(V1539,$AB$3:$AC$123)</f>
        <v>1.07435</v>
      </c>
      <c r="Y1539" s="2" t="n">
        <f aca="false">(V1539*((W1539+T1539)/1000)*X1539)/((((W1539+T1539)/1000)*X1539)-((W1539/1000)*0.9982))</f>
        <v>66.2540594951529</v>
      </c>
      <c r="Z1539" s="3" t="n">
        <f aca="false">(X1539*(V1539/100)*((W1539+T1539)/1000))*1000</f>
        <v>1.0248291796875</v>
      </c>
    </row>
    <row r="1540" customFormat="false" ht="15" hidden="false" customHeight="false" outlineLevel="0" collapsed="false">
      <c r="A1540" s="0" t="s">
        <v>34</v>
      </c>
      <c r="B1540" s="0" t="s">
        <v>35</v>
      </c>
      <c r="C1540" s="0" t="s">
        <v>28</v>
      </c>
      <c r="D1540" s="0" t="s">
        <v>160</v>
      </c>
      <c r="E1540" s="0" t="n">
        <v>33</v>
      </c>
      <c r="F1540" s="0" t="n">
        <v>2</v>
      </c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0" t="n">
        <v>4</v>
      </c>
      <c r="S1540" s="0" t="n">
        <v>4.4</v>
      </c>
      <c r="T1540" s="0" t="n">
        <f aca="false">(S1540/32)*5</f>
        <v>0.6875</v>
      </c>
      <c r="V1540" s="0" t="n">
        <v>9</v>
      </c>
      <c r="W1540" s="0" t="n">
        <v>4</v>
      </c>
      <c r="X1540" s="3" t="n">
        <f aca="false">LOOKUP(V1540,$AB$3:$AC$123)</f>
        <v>1.0341</v>
      </c>
      <c r="Y1540" s="2" t="n">
        <f aca="false">(V1540*((W1540+T1540)/1000)*X1540)/((((W1540+T1540)/1000)*X1540)-((W1540/1000)*0.9982))</f>
        <v>51.051913667381</v>
      </c>
      <c r="Z1540" s="3" t="n">
        <f aca="false">(X1540*(V1540/100)*((W1540+T1540)/1000))*1000</f>
        <v>0.4362609375</v>
      </c>
    </row>
    <row r="1541" customFormat="false" ht="15" hidden="false" customHeight="false" outlineLevel="0" collapsed="false">
      <c r="A1541" s="0" t="s">
        <v>36</v>
      </c>
      <c r="B1541" s="0" t="s">
        <v>37</v>
      </c>
      <c r="C1541" s="0" t="s">
        <v>28</v>
      </c>
      <c r="D1541" s="0" t="s">
        <v>160</v>
      </c>
      <c r="E1541" s="0" t="n">
        <v>33</v>
      </c>
      <c r="F1541" s="0" t="n">
        <v>0</v>
      </c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0" t="n">
        <v>3</v>
      </c>
      <c r="S1541" s="0" t="n">
        <v>7.1</v>
      </c>
      <c r="T1541" s="0" t="n">
        <f aca="false">(S1541/32)*5</f>
        <v>1.109375</v>
      </c>
      <c r="V1541" s="0" t="n">
        <v>18</v>
      </c>
      <c r="W1541" s="0" t="n">
        <v>4</v>
      </c>
      <c r="X1541" s="3" t="n">
        <f aca="false">LOOKUP(V1541,$AB$3:$AC$123)</f>
        <v>1.0722</v>
      </c>
      <c r="Y1541" s="2" t="n">
        <f aca="false">(V1541*((W1541+T1541)/1000)*X1541)/((((W1541+T1541)/1000)*X1541)-((W1541/1000)*0.9982))</f>
        <v>66.3822017835242</v>
      </c>
      <c r="Z1541" s="3" t="n">
        <f aca="false">(X1541*(V1541/100)*((W1541+T1541)/1000))*1000</f>
        <v>0.9860889375</v>
      </c>
    </row>
    <row r="1542" customFormat="false" ht="15" hidden="false" customHeight="false" outlineLevel="0" collapsed="false">
      <c r="A1542" s="0" t="s">
        <v>38</v>
      </c>
      <c r="B1542" s="0" t="s">
        <v>39</v>
      </c>
      <c r="C1542" s="0" t="s">
        <v>28</v>
      </c>
      <c r="D1542" s="0" t="s">
        <v>160</v>
      </c>
      <c r="E1542" s="0" t="n">
        <v>33</v>
      </c>
      <c r="F1542" s="0" t="n">
        <v>2</v>
      </c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0" t="n">
        <v>3</v>
      </c>
      <c r="S1542" s="0" t="n">
        <v>5.7</v>
      </c>
      <c r="T1542" s="0" t="n">
        <f aca="false">(S1542/32)*5</f>
        <v>0.890625</v>
      </c>
      <c r="V1542" s="0" t="n">
        <v>11.5</v>
      </c>
      <c r="W1542" s="0" t="n">
        <v>4</v>
      </c>
      <c r="X1542" s="3" t="n">
        <f aca="false">LOOKUP(V1542,$AB$3:$AC$123)</f>
        <v>1.0444</v>
      </c>
      <c r="Y1542" s="2" t="n">
        <f aca="false">(V1542*((W1542+T1542)/1000)*X1542)/((((W1542+T1542)/1000)*X1542)-((W1542/1000)*0.9982))</f>
        <v>52.6824995095154</v>
      </c>
      <c r="Z1542" s="3" t="n">
        <f aca="false">(X1542*(V1542/100)*((W1542+T1542)/1000))*1000</f>
        <v>0.58739340625</v>
      </c>
    </row>
    <row r="1543" customFormat="false" ht="15" hidden="false" customHeight="false" outlineLevel="0" collapsed="false">
      <c r="A1543" s="0" t="s">
        <v>40</v>
      </c>
      <c r="B1543" s="0" t="s">
        <v>41</v>
      </c>
      <c r="C1543" s="0" t="s">
        <v>28</v>
      </c>
      <c r="D1543" s="0" t="s">
        <v>160</v>
      </c>
      <c r="E1543" s="0" t="n">
        <v>33</v>
      </c>
      <c r="F1543" s="0" t="n">
        <v>0</v>
      </c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0" t="n">
        <v>1</v>
      </c>
      <c r="S1543" s="0" t="n">
        <v>1.6</v>
      </c>
      <c r="T1543" s="0" t="n">
        <f aca="false">(S1543/32)*5</f>
        <v>0.25</v>
      </c>
      <c r="V1543" s="0" t="n">
        <v>14.5</v>
      </c>
      <c r="W1543" s="0" t="n">
        <v>1</v>
      </c>
      <c r="X1543" s="3" t="n">
        <f aca="false">LOOKUP(V1543,$AB$3:$AC$123)</f>
        <v>1.05705</v>
      </c>
      <c r="Y1543" s="2" t="n">
        <f aca="false">(V1543*((W1543+T1543)/1000)*X1543)/((((W1543+T1543)/1000)*X1543)-((W1543/1000)*0.9982))</f>
        <v>59.2952338581763</v>
      </c>
      <c r="Z1543" s="3" t="n">
        <f aca="false">(X1543*(V1543/100)*((W1543+T1543)/1000))*1000</f>
        <v>0.1915903125</v>
      </c>
    </row>
    <row r="1544" customFormat="false" ht="15" hidden="false" customHeight="false" outlineLevel="0" collapsed="false">
      <c r="A1544" s="0" t="s">
        <v>42</v>
      </c>
      <c r="B1544" s="0" t="s">
        <v>43</v>
      </c>
      <c r="C1544" s="0" t="s">
        <v>28</v>
      </c>
      <c r="D1544" s="0" t="s">
        <v>160</v>
      </c>
      <c r="E1544" s="0" t="n">
        <v>33</v>
      </c>
      <c r="F1544" s="0" t="n">
        <v>0</v>
      </c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0" t="n">
        <v>6</v>
      </c>
      <c r="S1544" s="0" t="n">
        <v>1.5</v>
      </c>
      <c r="T1544" s="0" t="n">
        <f aca="false">(S1544/32)*5</f>
        <v>0.234375</v>
      </c>
      <c r="V1544" s="0" t="n">
        <v>3</v>
      </c>
      <c r="W1544" s="0" t="n">
        <v>4</v>
      </c>
      <c r="X1544" s="3" t="n">
        <f aca="false">LOOKUP(V1544,$AB$3:$AC$123)</f>
        <v>1.0099</v>
      </c>
      <c r="Y1544" s="2" t="n">
        <f aca="false">(V1544*((W1544+T1544)/1000)*X1544)/((((W1544+T1544)/1000)*X1544)-((W1544/1000)*0.9982))</f>
        <v>45.2525504720647</v>
      </c>
      <c r="Z1544" s="3" t="n">
        <f aca="false">(X1544*(V1544/100)*((W1544+T1544)/1000))*1000</f>
        <v>0.128288859375</v>
      </c>
    </row>
    <row r="1545" customFormat="false" ht="15" hidden="false" customHeight="false" outlineLevel="0" collapsed="false">
      <c r="A1545" s="0" t="s">
        <v>44</v>
      </c>
      <c r="B1545" s="0" t="s">
        <v>45</v>
      </c>
      <c r="C1545" s="0" t="s">
        <v>28</v>
      </c>
      <c r="D1545" s="0" t="s">
        <v>160</v>
      </c>
      <c r="E1545" s="0" t="n">
        <v>33</v>
      </c>
      <c r="F1545" s="0" t="n">
        <v>0</v>
      </c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0" t="n">
        <v>5</v>
      </c>
      <c r="S1545" s="0" t="n">
        <v>8.5</v>
      </c>
      <c r="T1545" s="0" t="n">
        <f aca="false">(S1545/32)*5</f>
        <v>1.328125</v>
      </c>
      <c r="V1545" s="0" t="n">
        <v>18</v>
      </c>
      <c r="W1545" s="0" t="n">
        <v>4</v>
      </c>
      <c r="X1545" s="3" t="n">
        <f aca="false">LOOKUP(V1545,$AB$3:$AC$123)</f>
        <v>1.0722</v>
      </c>
      <c r="Y1545" s="2" t="n">
        <f aca="false">(V1545*((W1545+T1545)/1000)*X1545)/((((W1545+T1545)/1000)*X1545)-((W1545/1000)*0.9982))</f>
        <v>59.784736693889</v>
      </c>
      <c r="Z1545" s="3" t="n">
        <f aca="false">(X1545*(V1545/100)*((W1545+T1545)/1000))*1000</f>
        <v>1.0283068125</v>
      </c>
    </row>
    <row r="1546" customFormat="false" ht="15" hidden="false" customHeight="false" outlineLevel="0" collapsed="false">
      <c r="A1546" s="0" t="s">
        <v>46</v>
      </c>
      <c r="B1546" s="0" t="s">
        <v>47</v>
      </c>
      <c r="C1546" s="0" t="s">
        <v>28</v>
      </c>
      <c r="D1546" s="0" t="s">
        <v>160</v>
      </c>
      <c r="E1546" s="0" t="n">
        <v>33</v>
      </c>
      <c r="F1546" s="0" t="n">
        <v>0</v>
      </c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0" t="n">
        <v>5</v>
      </c>
      <c r="S1546" s="0" t="n">
        <v>4.4</v>
      </c>
      <c r="T1546" s="0" t="n">
        <f aca="false">(S1546/32)*5</f>
        <v>0.6875</v>
      </c>
      <c r="V1546" s="0" t="n">
        <v>9</v>
      </c>
      <c r="W1546" s="0" t="n">
        <v>4</v>
      </c>
      <c r="X1546" s="3" t="n">
        <f aca="false">LOOKUP(V1546,$AB$3:$AC$123)</f>
        <v>1.0341</v>
      </c>
      <c r="Y1546" s="2" t="n">
        <f aca="false">(V1546*((W1546+T1546)/1000)*X1546)/((((W1546+T1546)/1000)*X1546)-((W1546/1000)*0.9982))</f>
        <v>51.051913667381</v>
      </c>
      <c r="Z1546" s="3" t="n">
        <f aca="false">(X1546*(V1546/100)*((W1546+T1546)/1000))*1000</f>
        <v>0.4362609375</v>
      </c>
    </row>
    <row r="1547" customFormat="false" ht="15" hidden="false" customHeight="false" outlineLevel="0" collapsed="false">
      <c r="A1547" s="0" t="s">
        <v>48</v>
      </c>
      <c r="B1547" s="0" t="s">
        <v>49</v>
      </c>
      <c r="C1547" s="0" t="s">
        <v>28</v>
      </c>
      <c r="D1547" s="0" t="s">
        <v>160</v>
      </c>
      <c r="E1547" s="0" t="n">
        <v>33</v>
      </c>
      <c r="F1547" s="0" t="n">
        <v>1</v>
      </c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0" t="n">
        <v>3</v>
      </c>
      <c r="S1547" s="0" t="n">
        <v>2.7</v>
      </c>
      <c r="T1547" s="0" t="n">
        <f aca="false">(S1547/32)*5</f>
        <v>0.421875</v>
      </c>
      <c r="V1547" s="0" t="n">
        <v>5</v>
      </c>
      <c r="W1547" s="0" t="n">
        <v>4</v>
      </c>
      <c r="X1547" s="3" t="n">
        <f aca="false">LOOKUP(V1547,$AB$3:$AC$123)</f>
        <v>1.0179</v>
      </c>
      <c r="Y1547" s="2" t="n">
        <f aca="false">(V1547*((W1547+T1547)/1000)*X1547)/((((W1547+T1547)/1000)*X1547)-((W1547/1000)*0.9982))</f>
        <v>44.2816933884679</v>
      </c>
      <c r="Z1547" s="3" t="n">
        <f aca="false">(X1547*(V1547/100)*((W1547+T1547)/1000))*1000</f>
        <v>0.225051328125</v>
      </c>
    </row>
    <row r="1548" customFormat="false" ht="15" hidden="false" customHeight="false" outlineLevel="0" collapsed="false">
      <c r="A1548" s="0" t="s">
        <v>50</v>
      </c>
      <c r="B1548" s="0" t="s">
        <v>51</v>
      </c>
      <c r="C1548" s="0" t="s">
        <v>28</v>
      </c>
      <c r="D1548" s="0" t="s">
        <v>160</v>
      </c>
      <c r="E1548" s="0" t="n">
        <v>33</v>
      </c>
      <c r="F1548" s="0" t="n">
        <v>0</v>
      </c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0" t="n">
        <v>2</v>
      </c>
      <c r="S1548" s="0" t="n">
        <v>4.5</v>
      </c>
      <c r="T1548" s="0" t="n">
        <f aca="false">(S1548/32)*5</f>
        <v>0.703125</v>
      </c>
      <c r="V1548" s="0" t="n">
        <v>11</v>
      </c>
      <c r="W1548" s="0" t="n">
        <v>4</v>
      </c>
      <c r="X1548" s="3" t="n">
        <f aca="false">LOOKUP(V1548,$AB$3:$AC$123)</f>
        <v>1.0423</v>
      </c>
      <c r="Y1548" s="2" t="n">
        <f aca="false">(V1548*((W1548+T1548)/1000)*X1548)/((((W1548+T1548)/1000)*X1548)-((W1548/1000)*0.9982))</f>
        <v>59.303513646807</v>
      </c>
      <c r="Z1548" s="3" t="n">
        <f aca="false">(X1548*(V1548/100)*((W1548+T1548)/1000))*1000</f>
        <v>0.539227390625</v>
      </c>
    </row>
    <row r="1549" customFormat="false" ht="15" hidden="false" customHeight="false" outlineLevel="0" collapsed="false">
      <c r="A1549" s="0" t="s">
        <v>52</v>
      </c>
      <c r="B1549" s="0" t="s">
        <v>53</v>
      </c>
      <c r="C1549" s="0" t="s">
        <v>28</v>
      </c>
      <c r="D1549" s="0" t="s">
        <v>160</v>
      </c>
      <c r="E1549" s="0" t="n">
        <v>33</v>
      </c>
      <c r="F1549" s="0" t="n">
        <v>0</v>
      </c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0" t="n">
        <v>2</v>
      </c>
      <c r="S1549" s="0" t="n">
        <v>1.1</v>
      </c>
      <c r="T1549" s="0" t="n">
        <f aca="false">(S1549/32)*5</f>
        <v>0.171875</v>
      </c>
      <c r="V1549" s="0" t="n">
        <v>0.5</v>
      </c>
      <c r="W1549" s="0" t="n">
        <v>4</v>
      </c>
      <c r="X1549" s="3" t="n">
        <f aca="false">LOOKUP(V1549,$AB$3:$AC$123)</f>
        <v>1.00015</v>
      </c>
      <c r="Y1549" s="2" t="n">
        <f aca="false">(V1549*((W1549+T1549)/1000)*X1549)/((((W1549+T1549)/1000)*X1549)-((W1549/1000)*0.9982))</f>
        <v>11.6095788572149</v>
      </c>
      <c r="Z1549" s="3" t="n">
        <f aca="false">(X1549*(V1549/100)*((W1549+T1549)/1000))*1000</f>
        <v>0.02086250390625</v>
      </c>
    </row>
    <row r="1550" customFormat="false" ht="15" hidden="false" customHeight="false" outlineLevel="0" collapsed="false">
      <c r="A1550" s="0" t="s">
        <v>54</v>
      </c>
      <c r="B1550" s="0" t="s">
        <v>55</v>
      </c>
      <c r="C1550" s="0" t="s">
        <v>56</v>
      </c>
      <c r="D1550" s="0" t="s">
        <v>160</v>
      </c>
      <c r="E1550" s="0" t="n">
        <v>33</v>
      </c>
      <c r="F1550" s="0" t="n">
        <v>1</v>
      </c>
      <c r="G1550" s="1"/>
      <c r="H1550" s="1"/>
      <c r="I1550" s="0" t="n">
        <v>7.4</v>
      </c>
      <c r="J1550" s="0" t="n">
        <f aca="false">(I1550/32)*5</f>
        <v>1.15625</v>
      </c>
      <c r="L1550" s="0" t="n">
        <v>8</v>
      </c>
      <c r="M1550" s="0" t="n">
        <v>4</v>
      </c>
      <c r="N1550" s="2" t="n">
        <f aca="false">(L1550*((M1550+J1550)/1000)*O1550)/((((M1550+J1550)/1000)*O1550)-((M1550/1000)*0.9982))</f>
        <v>32.2424633394918</v>
      </c>
      <c r="O1550" s="3" t="n">
        <f aca="false">LOOKUP(L1550,$AB$3:$AC$123)</f>
        <v>1.0299</v>
      </c>
      <c r="P1550" s="3" t="n">
        <f aca="false">(O1550*(N1550/100)*(J1550/1000))*1000</f>
        <v>0.383950306485524</v>
      </c>
      <c r="Q1550" s="3"/>
      <c r="R1550" s="1"/>
      <c r="S1550" s="1"/>
      <c r="T1550" s="1"/>
      <c r="U1550" s="1"/>
      <c r="V1550" s="1"/>
      <c r="W1550" s="1"/>
      <c r="X1550" s="1"/>
      <c r="Y1550" s="5"/>
      <c r="Z1550" s="1"/>
    </row>
    <row r="1551" customFormat="false" ht="15" hidden="false" customHeight="false" outlineLevel="0" collapsed="false">
      <c r="A1551" s="0" t="s">
        <v>57</v>
      </c>
      <c r="B1551" s="0" t="s">
        <v>58</v>
      </c>
      <c r="C1551" s="0" t="s">
        <v>56</v>
      </c>
      <c r="D1551" s="0" t="s">
        <v>160</v>
      </c>
      <c r="E1551" s="0" t="n">
        <v>33</v>
      </c>
      <c r="F1551" s="0" t="n">
        <v>1</v>
      </c>
      <c r="G1551" s="1"/>
      <c r="H1551" s="1"/>
      <c r="I1551" s="0" t="n">
        <v>13.1</v>
      </c>
      <c r="J1551" s="0" t="n">
        <f aca="false">(I1551/32)*5</f>
        <v>2.046875</v>
      </c>
      <c r="L1551" s="0" t="n">
        <v>7</v>
      </c>
      <c r="M1551" s="0" t="n">
        <v>4</v>
      </c>
      <c r="N1551" s="2" t="n">
        <f aca="false">(L1551*((M1551+J1551)/1000)*O1551)/((((M1551+J1551)/1000)*O1551)-((M1551/1000)*0.9982))</f>
        <v>19.6429358493287</v>
      </c>
      <c r="O1551" s="3" t="n">
        <f aca="false">LOOKUP(L1551,$AB$3:$AC$123)</f>
        <v>1.0259</v>
      </c>
      <c r="P1551" s="3" t="n">
        <f aca="false">(O1551*(N1551/100)*(J1551/1000))*1000</f>
        <v>0.412479861453944</v>
      </c>
      <c r="Q1551" s="3"/>
      <c r="R1551" s="1"/>
      <c r="S1551" s="1"/>
      <c r="T1551" s="1"/>
      <c r="U1551" s="1"/>
      <c r="V1551" s="1"/>
      <c r="W1551" s="1"/>
      <c r="X1551" s="1"/>
      <c r="Y1551" s="5"/>
      <c r="Z1551" s="1"/>
    </row>
    <row r="1552" customFormat="false" ht="15" hidden="false" customHeight="false" outlineLevel="0" collapsed="false">
      <c r="A1552" s="0" t="s">
        <v>59</v>
      </c>
      <c r="B1552" s="0" t="s">
        <v>60</v>
      </c>
      <c r="C1552" s="0" t="s">
        <v>56</v>
      </c>
      <c r="D1552" s="0" t="s">
        <v>160</v>
      </c>
      <c r="E1552" s="0" t="n">
        <v>33</v>
      </c>
      <c r="F1552" s="0" t="n">
        <v>0</v>
      </c>
      <c r="G1552" s="1"/>
      <c r="H1552" s="1"/>
      <c r="I1552" s="0" t="n">
        <v>0</v>
      </c>
      <c r="J1552" s="0" t="n">
        <f aca="false">(I1552/32)*5</f>
        <v>0</v>
      </c>
      <c r="L1552" s="0" t="n">
        <v>0</v>
      </c>
      <c r="M1552" s="0" t="n">
        <v>0</v>
      </c>
      <c r="N1552" s="2" t="n">
        <v>0</v>
      </c>
      <c r="O1552" s="3" t="n">
        <f aca="false">LOOKUP(L1552,$AB$3:$AC$123)</f>
        <v>0.9982</v>
      </c>
      <c r="P1552" s="3" t="n">
        <f aca="false">(O1552*(N1552/100)*(J1552/1000))*1000</f>
        <v>0</v>
      </c>
      <c r="Q1552" s="3"/>
      <c r="R1552" s="1"/>
      <c r="S1552" s="1"/>
      <c r="T1552" s="1"/>
      <c r="U1552" s="1"/>
      <c r="V1552" s="1"/>
      <c r="W1552" s="1"/>
      <c r="X1552" s="1"/>
      <c r="Y1552" s="5"/>
      <c r="Z1552" s="1"/>
    </row>
    <row r="1553" customFormat="false" ht="15" hidden="false" customHeight="false" outlineLevel="0" collapsed="false">
      <c r="A1553" s="0" t="s">
        <v>61</v>
      </c>
      <c r="B1553" s="0" t="s">
        <v>62</v>
      </c>
      <c r="C1553" s="0" t="s">
        <v>56</v>
      </c>
      <c r="D1553" s="0" t="s">
        <v>160</v>
      </c>
      <c r="E1553" s="0" t="n">
        <v>33</v>
      </c>
      <c r="F1553" s="0" t="n">
        <v>2</v>
      </c>
      <c r="G1553" s="1"/>
      <c r="H1553" s="1"/>
      <c r="I1553" s="0" t="n">
        <v>30.6</v>
      </c>
      <c r="J1553" s="0" t="n">
        <f aca="false">(I1553/32)*5</f>
        <v>4.78125</v>
      </c>
      <c r="L1553" s="0" t="n">
        <v>22</v>
      </c>
      <c r="M1553" s="0" t="n">
        <v>0</v>
      </c>
      <c r="N1553" s="2" t="n">
        <f aca="false">(L1553*((M1553+J1553)/1000)*O1553)/((((M1553+J1553)/1000)*O1553)-((M1553/1000)*0.9982))</f>
        <v>22</v>
      </c>
      <c r="O1553" s="3" t="n">
        <f aca="false">LOOKUP(L1553,$AB$3:$AC$123)</f>
        <v>1.0899</v>
      </c>
      <c r="P1553" s="3" t="n">
        <f aca="false">(O1553*(N1553/100)*(J1553/1000))*1000</f>
        <v>1.1464385625</v>
      </c>
      <c r="Q1553" s="3"/>
      <c r="R1553" s="1"/>
      <c r="S1553" s="1"/>
      <c r="T1553" s="1"/>
      <c r="U1553" s="1"/>
      <c r="V1553" s="1"/>
      <c r="W1553" s="1"/>
      <c r="X1553" s="1"/>
      <c r="Y1553" s="5"/>
      <c r="Z1553" s="1"/>
    </row>
    <row r="1554" customFormat="false" ht="15" hidden="false" customHeight="false" outlineLevel="0" collapsed="false">
      <c r="A1554" s="0" t="s">
        <v>63</v>
      </c>
      <c r="B1554" s="0" t="s">
        <v>64</v>
      </c>
      <c r="C1554" s="0" t="s">
        <v>56</v>
      </c>
      <c r="D1554" s="0" t="s">
        <v>160</v>
      </c>
      <c r="E1554" s="0" t="n">
        <v>33</v>
      </c>
      <c r="F1554" s="0" t="n">
        <v>0</v>
      </c>
      <c r="G1554" s="1"/>
      <c r="H1554" s="1"/>
      <c r="I1554" s="0" t="n">
        <v>0</v>
      </c>
      <c r="J1554" s="0" t="n">
        <f aca="false">(I1554/32)*5</f>
        <v>0</v>
      </c>
      <c r="L1554" s="0" t="n">
        <v>0</v>
      </c>
      <c r="M1554" s="0" t="n">
        <v>0</v>
      </c>
      <c r="N1554" s="2" t="n">
        <v>0</v>
      </c>
      <c r="O1554" s="3" t="n">
        <v>0</v>
      </c>
      <c r="P1554" s="3" t="n">
        <v>0</v>
      </c>
      <c r="Q1554" s="3"/>
      <c r="R1554" s="1"/>
      <c r="S1554" s="1"/>
      <c r="T1554" s="1"/>
      <c r="U1554" s="1"/>
      <c r="V1554" s="1"/>
      <c r="W1554" s="1"/>
      <c r="X1554" s="1"/>
      <c r="Y1554" s="5"/>
      <c r="Z1554" s="1"/>
    </row>
    <row r="1555" customFormat="false" ht="15" hidden="false" customHeight="false" outlineLevel="0" collapsed="false">
      <c r="A1555" s="0" t="s">
        <v>65</v>
      </c>
      <c r="B1555" s="0" t="s">
        <v>66</v>
      </c>
      <c r="C1555" s="0" t="s">
        <v>56</v>
      </c>
      <c r="D1555" s="0" t="s">
        <v>160</v>
      </c>
      <c r="E1555" s="0" t="n">
        <v>33</v>
      </c>
      <c r="F1555" s="0" t="n">
        <v>0</v>
      </c>
      <c r="G1555" s="1"/>
      <c r="H1555" s="1"/>
      <c r="I1555" s="0" t="n">
        <v>0</v>
      </c>
      <c r="J1555" s="0" t="n">
        <f aca="false">(I1555/32)*5</f>
        <v>0</v>
      </c>
      <c r="L1555" s="0" t="n">
        <v>0</v>
      </c>
      <c r="M1555" s="0" t="n">
        <v>0</v>
      </c>
      <c r="N1555" s="2" t="n">
        <v>0</v>
      </c>
      <c r="O1555" s="3" t="n">
        <v>0</v>
      </c>
      <c r="P1555" s="3" t="n">
        <v>0</v>
      </c>
      <c r="Q1555" s="3"/>
      <c r="R1555" s="1"/>
      <c r="S1555" s="1"/>
      <c r="T1555" s="1"/>
      <c r="U1555" s="1"/>
      <c r="V1555" s="1"/>
      <c r="W1555" s="1"/>
      <c r="X1555" s="1"/>
      <c r="Y1555" s="5"/>
      <c r="Z1555" s="1"/>
    </row>
    <row r="1556" customFormat="false" ht="15" hidden="false" customHeight="false" outlineLevel="0" collapsed="false">
      <c r="A1556" s="0" t="s">
        <v>67</v>
      </c>
      <c r="B1556" s="0" t="s">
        <v>68</v>
      </c>
      <c r="C1556" s="0" t="s">
        <v>56</v>
      </c>
      <c r="D1556" s="0" t="s">
        <v>160</v>
      </c>
      <c r="E1556" s="0" t="n">
        <v>33</v>
      </c>
      <c r="F1556" s="0" t="n">
        <v>1</v>
      </c>
      <c r="G1556" s="1"/>
      <c r="H1556" s="1"/>
      <c r="I1556" s="0" t="n">
        <v>27.2</v>
      </c>
      <c r="J1556" s="0" t="n">
        <f aca="false">(I1556/32)*5</f>
        <v>4.25</v>
      </c>
      <c r="L1556" s="0" t="n">
        <v>10</v>
      </c>
      <c r="M1556" s="0" t="n">
        <v>4</v>
      </c>
      <c r="N1556" s="2" t="n">
        <f aca="false">(L1556*((M1556+J1556)/1000)*O1556)/((((M1556+J1556)/1000)*O1556)-((M1556/1000)*0.9982))</f>
        <v>18.7340657658003</v>
      </c>
      <c r="O1556" s="3" t="n">
        <f aca="false">LOOKUP(L1556,$AB$3:$AC$123)</f>
        <v>1.0381</v>
      </c>
      <c r="P1556" s="3" t="n">
        <f aca="false">(O1556*(N1556/100)*(J1556/1000))*1000</f>
        <v>0.826532931037783</v>
      </c>
      <c r="Q1556" s="3"/>
      <c r="R1556" s="1"/>
      <c r="S1556" s="1"/>
      <c r="T1556" s="1"/>
      <c r="U1556" s="1"/>
      <c r="V1556" s="1"/>
      <c r="W1556" s="1"/>
      <c r="X1556" s="1"/>
      <c r="Y1556" s="5"/>
      <c r="Z1556" s="1"/>
    </row>
    <row r="1557" customFormat="false" ht="15" hidden="false" customHeight="false" outlineLevel="0" collapsed="false">
      <c r="A1557" s="0" t="s">
        <v>69</v>
      </c>
      <c r="B1557" s="0" t="s">
        <v>70</v>
      </c>
      <c r="C1557" s="0" t="s">
        <v>56</v>
      </c>
      <c r="D1557" s="0" t="s">
        <v>160</v>
      </c>
      <c r="E1557" s="0" t="n">
        <v>33</v>
      </c>
      <c r="F1557" s="0" t="n">
        <v>2</v>
      </c>
      <c r="G1557" s="1"/>
      <c r="H1557" s="1"/>
      <c r="I1557" s="0" t="n">
        <v>64</v>
      </c>
      <c r="J1557" s="0" t="n">
        <f aca="false">(I1557/32)*5</f>
        <v>10</v>
      </c>
      <c r="L1557" s="0" t="n">
        <v>10</v>
      </c>
      <c r="M1557" s="0" t="n">
        <v>4</v>
      </c>
      <c r="N1557" s="2" t="n">
        <f aca="false">(L1557*((M1557+J1557)/1000)*O1557)/((((M1557+J1557)/1000)*O1557)-((M1557/1000)*0.9982))</f>
        <v>13.788019657325</v>
      </c>
      <c r="O1557" s="3" t="n">
        <f aca="false">LOOKUP(L1557,$AB$3:$AC$123)</f>
        <v>1.0381</v>
      </c>
      <c r="P1557" s="3" t="n">
        <f aca="false">(O1557*(N1557/100)*(J1557/1000))*1000</f>
        <v>1.43133432062691</v>
      </c>
      <c r="Q1557" s="3"/>
      <c r="R1557" s="1"/>
      <c r="S1557" s="1"/>
      <c r="T1557" s="1"/>
      <c r="U1557" s="1"/>
      <c r="V1557" s="1"/>
      <c r="W1557" s="1"/>
      <c r="X1557" s="1"/>
      <c r="Y1557" s="5"/>
      <c r="Z1557" s="1"/>
    </row>
    <row r="1558" customFormat="false" ht="15" hidden="false" customHeight="false" outlineLevel="0" collapsed="false">
      <c r="A1558" s="0" t="s">
        <v>71</v>
      </c>
      <c r="B1558" s="0" t="s">
        <v>72</v>
      </c>
      <c r="C1558" s="0" t="s">
        <v>56</v>
      </c>
      <c r="D1558" s="0" t="s">
        <v>160</v>
      </c>
      <c r="E1558" s="0" t="n">
        <v>33</v>
      </c>
      <c r="F1558" s="0" t="n">
        <v>1</v>
      </c>
      <c r="G1558" s="1"/>
      <c r="H1558" s="1"/>
      <c r="I1558" s="0" t="n">
        <v>28.9</v>
      </c>
      <c r="J1558" s="0" t="n">
        <f aca="false">(I1558/32)*5</f>
        <v>4.515625</v>
      </c>
      <c r="L1558" s="0" t="n">
        <v>10</v>
      </c>
      <c r="M1558" s="0" t="n">
        <v>4</v>
      </c>
      <c r="N1558" s="2" t="n">
        <f aca="false">(L1558*((M1558+J1558)/1000)*O1558)/((((M1558+J1558)/1000)*O1558)-((M1558/1000)*0.9982))</f>
        <v>18.2372134058699</v>
      </c>
      <c r="O1558" s="3" t="n">
        <f aca="false">LOOKUP(L1558,$AB$3:$AC$123)</f>
        <v>1.0381</v>
      </c>
      <c r="P1558" s="3" t="n">
        <f aca="false">(O1558*(N1558/100)*(J1558/1000))*1000</f>
        <v>0.854900438654232</v>
      </c>
      <c r="Q1558" s="3"/>
      <c r="R1558" s="1"/>
      <c r="S1558" s="1"/>
      <c r="T1558" s="1"/>
      <c r="U1558" s="1"/>
      <c r="V1558" s="1"/>
      <c r="W1558" s="1"/>
      <c r="X1558" s="1"/>
      <c r="Y1558" s="5"/>
      <c r="Z1558" s="1"/>
    </row>
    <row r="1559" customFormat="false" ht="15" hidden="false" customHeight="false" outlineLevel="0" collapsed="false">
      <c r="A1559" s="0" t="s">
        <v>73</v>
      </c>
      <c r="B1559" s="0" t="s">
        <v>74</v>
      </c>
      <c r="C1559" s="0" t="s">
        <v>56</v>
      </c>
      <c r="D1559" s="0" t="s">
        <v>160</v>
      </c>
      <c r="E1559" s="0" t="n">
        <v>33</v>
      </c>
      <c r="F1559" s="0" t="n">
        <v>0</v>
      </c>
      <c r="G1559" s="1"/>
      <c r="H1559" s="1"/>
      <c r="I1559" s="0" t="n">
        <v>0</v>
      </c>
      <c r="J1559" s="0" t="n">
        <f aca="false">(I1559/32)*5</f>
        <v>0</v>
      </c>
      <c r="L1559" s="0" t="n">
        <v>0</v>
      </c>
      <c r="M1559" s="0" t="n">
        <v>0</v>
      </c>
      <c r="N1559" s="2" t="n">
        <v>0</v>
      </c>
      <c r="O1559" s="3" t="n">
        <v>0</v>
      </c>
      <c r="P1559" s="3" t="n">
        <v>0</v>
      </c>
      <c r="Q1559" s="3"/>
      <c r="R1559" s="1"/>
      <c r="S1559" s="1"/>
      <c r="T1559" s="1"/>
      <c r="U1559" s="1"/>
      <c r="V1559" s="1"/>
      <c r="W1559" s="1"/>
      <c r="X1559" s="1"/>
      <c r="Y1559" s="5"/>
      <c r="Z1559" s="1"/>
    </row>
    <row r="1560" customFormat="false" ht="15" hidden="false" customHeight="false" outlineLevel="0" collapsed="false">
      <c r="A1560" s="0" t="s">
        <v>75</v>
      </c>
      <c r="B1560" s="0" t="s">
        <v>76</v>
      </c>
      <c r="C1560" s="0" t="s">
        <v>56</v>
      </c>
      <c r="D1560" s="0" t="s">
        <v>160</v>
      </c>
      <c r="E1560" s="0" t="n">
        <v>33</v>
      </c>
      <c r="F1560" s="0" t="n">
        <v>1</v>
      </c>
      <c r="G1560" s="1"/>
      <c r="H1560" s="1"/>
      <c r="I1560" s="0" t="n">
        <v>23.5</v>
      </c>
      <c r="J1560" s="0" t="n">
        <f aca="false">(I1560/32)*5</f>
        <v>3.671875</v>
      </c>
      <c r="L1560" s="0" t="n">
        <v>6.5</v>
      </c>
      <c r="M1560" s="0" t="n">
        <v>4</v>
      </c>
      <c r="N1560" s="2" t="n">
        <f aca="false">(L1560*((M1560+J1560)/1000)*O1560)/((((M1560+J1560)/1000)*O1560)-((M1560/1000)*0.9982))</f>
        <v>13.2200593596785</v>
      </c>
      <c r="O1560" s="3" t="n">
        <f aca="false">LOOKUP(L1560,$AB$3:$AC$123)</f>
        <v>1.02385</v>
      </c>
      <c r="P1560" s="3" t="n">
        <f aca="false">(O1560*(N1560/100)*(J1560/1000))*1000</f>
        <v>0.49700141831572</v>
      </c>
      <c r="Q1560" s="3"/>
      <c r="R1560" s="1"/>
      <c r="S1560" s="1"/>
      <c r="T1560" s="1"/>
      <c r="U1560" s="1"/>
      <c r="V1560" s="1"/>
      <c r="W1560" s="1"/>
      <c r="X1560" s="1"/>
      <c r="Y1560" s="5"/>
      <c r="Z1560" s="1"/>
    </row>
    <row r="1561" customFormat="false" ht="15" hidden="false" customHeight="false" outlineLevel="0" collapsed="false">
      <c r="A1561" s="0" t="s">
        <v>77</v>
      </c>
      <c r="B1561" s="0" t="s">
        <v>78</v>
      </c>
      <c r="C1561" s="0" t="s">
        <v>56</v>
      </c>
      <c r="D1561" s="0" t="s">
        <v>160</v>
      </c>
      <c r="E1561" s="0" t="n">
        <v>33</v>
      </c>
      <c r="F1561" s="0" t="n">
        <v>2</v>
      </c>
      <c r="G1561" s="1"/>
      <c r="H1561" s="1"/>
      <c r="I1561" s="0" t="n">
        <v>21.5</v>
      </c>
      <c r="J1561" s="0" t="n">
        <f aca="false">(I1561/32)*5</f>
        <v>3.359375</v>
      </c>
      <c r="L1561" s="0" t="n">
        <v>9</v>
      </c>
      <c r="M1561" s="0" t="n">
        <v>4</v>
      </c>
      <c r="N1561" s="2" t="n">
        <f aca="false">(L1561*((M1561+J1561)/1000)*O1561)/((((M1561+J1561)/1000)*O1561)-((M1561/1000)*0.9982))</f>
        <v>18.933629604802</v>
      </c>
      <c r="O1561" s="3" t="n">
        <f aca="false">LOOKUP(L1561,$AB$3:$AC$123)</f>
        <v>1.0341</v>
      </c>
      <c r="P1561" s="3" t="n">
        <f aca="false">(O1561*(N1561/100)*(J1561/1000))*1000</f>
        <v>0.657740979762504</v>
      </c>
      <c r="Q1561" s="3"/>
      <c r="R1561" s="1"/>
      <c r="S1561" s="1"/>
      <c r="T1561" s="1"/>
      <c r="U1561" s="1"/>
      <c r="V1561" s="1"/>
      <c r="W1561" s="1"/>
      <c r="X1561" s="1"/>
      <c r="Y1561" s="5"/>
      <c r="Z1561" s="1"/>
    </row>
    <row r="1562" customFormat="false" ht="15" hidden="false" customHeight="false" outlineLevel="0" collapsed="false">
      <c r="A1562" s="0" t="s">
        <v>79</v>
      </c>
      <c r="B1562" s="0" t="s">
        <v>80</v>
      </c>
      <c r="C1562" s="0" t="s">
        <v>81</v>
      </c>
      <c r="D1562" s="0" t="s">
        <v>160</v>
      </c>
      <c r="E1562" s="0" t="n">
        <v>33</v>
      </c>
      <c r="F1562" s="0" t="n">
        <v>1</v>
      </c>
      <c r="G1562" s="1"/>
      <c r="H1562" s="1"/>
      <c r="I1562" s="0" t="n">
        <v>23.4</v>
      </c>
      <c r="J1562" s="0" t="n">
        <f aca="false">(I1562/32)*5</f>
        <v>3.65625</v>
      </c>
      <c r="L1562" s="0" t="n">
        <v>24</v>
      </c>
      <c r="M1562" s="0" t="n">
        <v>0</v>
      </c>
      <c r="N1562" s="2" t="n">
        <f aca="false">(L1562*((M1562+J1562)/1000)*O1562)/((((M1562+J1562)/1000)*O1562)-((M1562/1000)*0.9982))</f>
        <v>24</v>
      </c>
      <c r="O1562" s="3" t="n">
        <f aca="false">LOOKUP(L1562,$AB$3:$AC$123)</f>
        <v>1.099</v>
      </c>
      <c r="P1562" s="3" t="n">
        <f aca="false">(O1562*(N1562/100)*(J1562/1000))*1000</f>
        <v>0.9643725</v>
      </c>
      <c r="Q1562" s="3"/>
      <c r="R1562" s="0" t="n">
        <v>1</v>
      </c>
      <c r="S1562" s="0" t="n">
        <v>2.2</v>
      </c>
      <c r="T1562" s="0" t="n">
        <f aca="false">(S1562/32)*5</f>
        <v>0.34375</v>
      </c>
      <c r="V1562" s="0" t="n">
        <v>5.5</v>
      </c>
      <c r="W1562" s="0" t="n">
        <v>4</v>
      </c>
      <c r="X1562" s="3" t="n">
        <f aca="false">LOOKUP(V1562,$AB$3:$AC$123)</f>
        <v>1.01985</v>
      </c>
      <c r="Y1562" s="2" t="n">
        <f aca="false">(V1562*((W1562+T1562)/1000)*X1562)/((((W1562+T1562)/1000)*X1562)-((W1562/1000)*0.9982))</f>
        <v>55.7326951188566</v>
      </c>
      <c r="Z1562" s="3" t="n">
        <f aca="false">(X1562*(V1562/100)*((W1562+T1562)/1000))*1000</f>
        <v>0.2436485390625</v>
      </c>
    </row>
    <row r="1563" customFormat="false" ht="15" hidden="false" customHeight="false" outlineLevel="0" collapsed="false">
      <c r="A1563" s="0" t="s">
        <v>82</v>
      </c>
      <c r="B1563" s="0" t="s">
        <v>83</v>
      </c>
      <c r="C1563" s="0" t="s">
        <v>81</v>
      </c>
      <c r="D1563" s="0" t="s">
        <v>160</v>
      </c>
      <c r="E1563" s="0" t="n">
        <v>33</v>
      </c>
      <c r="F1563" s="0" t="n">
        <v>0</v>
      </c>
      <c r="G1563" s="1"/>
      <c r="H1563" s="1"/>
      <c r="I1563" s="0" t="n">
        <v>0</v>
      </c>
      <c r="J1563" s="0" t="n">
        <f aca="false">(I1563/32)*5</f>
        <v>0</v>
      </c>
      <c r="L1563" s="0" t="n">
        <v>0</v>
      </c>
      <c r="M1563" s="0" t="n">
        <v>0</v>
      </c>
      <c r="N1563" s="2" t="n">
        <v>0</v>
      </c>
      <c r="O1563" s="3" t="n">
        <v>0</v>
      </c>
      <c r="P1563" s="3" t="n">
        <v>0</v>
      </c>
      <c r="Q1563" s="3"/>
      <c r="R1563" s="3" t="n">
        <v>2</v>
      </c>
      <c r="S1563" s="3" t="n">
        <v>3.8</v>
      </c>
      <c r="T1563" s="0" t="n">
        <f aca="false">(S1563/32)*5</f>
        <v>0.59375</v>
      </c>
      <c r="V1563" s="0" t="n">
        <v>6.5</v>
      </c>
      <c r="W1563" s="0" t="n">
        <v>4</v>
      </c>
      <c r="X1563" s="3" t="n">
        <f aca="false">LOOKUP(V1563,$AB$3:$AC$123)</f>
        <v>1.02385</v>
      </c>
      <c r="Y1563" s="2" t="n">
        <f aca="false">(V1563*((W1563+T1563)/1000)*X1563)/((((W1563+T1563)/1000)*X1563)-((W1563/1000)*0.9982))</f>
        <v>43.027516509906</v>
      </c>
      <c r="Z1563" s="3" t="n">
        <f aca="false">(X1563*(V1563/100)*((W1563+T1563)/1000))*1000</f>
        <v>0.3057152109375</v>
      </c>
    </row>
    <row r="1564" customFormat="false" ht="15" hidden="false" customHeight="false" outlineLevel="0" collapsed="false">
      <c r="A1564" s="0" t="s">
        <v>84</v>
      </c>
      <c r="B1564" s="0" t="s">
        <v>85</v>
      </c>
      <c r="C1564" s="0" t="s">
        <v>81</v>
      </c>
      <c r="D1564" s="0" t="s">
        <v>160</v>
      </c>
      <c r="E1564" s="0" t="n">
        <v>33</v>
      </c>
      <c r="F1564" s="0" t="n">
        <v>1</v>
      </c>
      <c r="G1564" s="1"/>
      <c r="H1564" s="1"/>
      <c r="I1564" s="0" t="n">
        <v>6</v>
      </c>
      <c r="J1564" s="0" t="n">
        <f aca="false">(I1564/32)*5</f>
        <v>0.9375</v>
      </c>
      <c r="L1564" s="0" t="n">
        <v>23</v>
      </c>
      <c r="M1564" s="0" t="n">
        <v>0</v>
      </c>
      <c r="N1564" s="2" t="n">
        <f aca="false">(L1564*((M1564+J1564)/1000)*O1564)/((((M1564+J1564)/1000)*O1564)-((M1564/1000)*0.9982))</f>
        <v>23</v>
      </c>
      <c r="O1564" s="3" t="n">
        <f aca="false">LOOKUP(L1564,$AB$3:$AC$123)</f>
        <v>1.09445</v>
      </c>
      <c r="P1564" s="3" t="n">
        <f aca="false">(O1564*(N1564/100)*(J1564/1000))*1000</f>
        <v>0.23599078125</v>
      </c>
      <c r="Q1564" s="3"/>
      <c r="R1564" s="0" t="n">
        <v>4</v>
      </c>
      <c r="S1564" s="0" t="n">
        <v>13.3</v>
      </c>
      <c r="T1564" s="0" t="n">
        <f aca="false">(S1564/32)*5</f>
        <v>2.078125</v>
      </c>
      <c r="V1564" s="0" t="n">
        <v>26.5</v>
      </c>
      <c r="W1564" s="0" t="n">
        <v>4</v>
      </c>
      <c r="X1564" s="3" t="n">
        <f aca="false">LOOKUP(V1564,$AB$3:$AC$123)</f>
        <v>1.11045</v>
      </c>
      <c r="Y1564" s="2" t="n">
        <f aca="false">(V1564*((W1564+T1564)/1000)*X1564)/((((W1564+T1564)/1000)*X1564)-((W1564/1000)*0.9982))</f>
        <v>64.8832006477509</v>
      </c>
      <c r="Z1564" s="3" t="n">
        <f aca="false">(X1564*(V1564/100)*((W1564+T1564)/1000))*1000</f>
        <v>1.78860528515625</v>
      </c>
    </row>
    <row r="1565" customFormat="false" ht="15" hidden="false" customHeight="false" outlineLevel="0" collapsed="false">
      <c r="A1565" s="0" t="s">
        <v>86</v>
      </c>
      <c r="B1565" s="0" t="s">
        <v>87</v>
      </c>
      <c r="C1565" s="0" t="s">
        <v>81</v>
      </c>
      <c r="D1565" s="0" t="s">
        <v>160</v>
      </c>
      <c r="E1565" s="0" t="n">
        <v>33</v>
      </c>
      <c r="F1565" s="0" t="n">
        <v>1</v>
      </c>
      <c r="G1565" s="1"/>
      <c r="H1565" s="1"/>
      <c r="I1565" s="0" t="n">
        <v>14</v>
      </c>
      <c r="J1565" s="0" t="n">
        <f aca="false">(I1565/32)*5</f>
        <v>2.1875</v>
      </c>
      <c r="L1565" s="0" t="n">
        <v>29</v>
      </c>
      <c r="M1565" s="0" t="n">
        <v>0</v>
      </c>
      <c r="N1565" s="2" t="n">
        <f aca="false">(L1565*((M1565+J1565)/1000)*O1565)/((((M1565+J1565)/1000)*O1565)-((M1565/1000)*0.9982))</f>
        <v>29</v>
      </c>
      <c r="O1565" s="3" t="n">
        <f aca="false">LOOKUP(L1565,$AB$3:$AC$123)</f>
        <v>1.12225</v>
      </c>
      <c r="P1565" s="3" t="n">
        <f aca="false">(O1565*(N1565/100)*(J1565/1000))*1000</f>
        <v>0.71192734375</v>
      </c>
      <c r="Q1565" s="3"/>
      <c r="R1565" s="0" t="n">
        <v>2</v>
      </c>
      <c r="S1565" s="0" t="n">
        <v>4.6</v>
      </c>
      <c r="T1565" s="0" t="n">
        <f aca="false">(S1565/32)*5</f>
        <v>0.71875</v>
      </c>
      <c r="V1565" s="0" t="n">
        <v>13</v>
      </c>
      <c r="W1565" s="0" t="n">
        <v>4</v>
      </c>
      <c r="X1565" s="3" t="n">
        <f aca="false">LOOKUP(V1565,$AB$3:$AC$123)</f>
        <v>1.0507</v>
      </c>
      <c r="Y1565" s="2" t="n">
        <f aca="false">(V1565*((W1565+T1565)/1000)*X1565)/((((W1565+T1565)/1000)*X1565)-((W1565/1000)*0.9982))</f>
        <v>66.7783922217438</v>
      </c>
      <c r="Z1565" s="3" t="n">
        <f aca="false">(X1565*(V1565/100)*((W1565+T1565)/1000))*1000</f>
        <v>0.64453878125</v>
      </c>
    </row>
    <row r="1566" customFormat="false" ht="15" hidden="false" customHeight="false" outlineLevel="0" collapsed="false">
      <c r="A1566" s="0" t="s">
        <v>88</v>
      </c>
      <c r="B1566" s="0" t="s">
        <v>89</v>
      </c>
      <c r="C1566" s="0" t="s">
        <v>81</v>
      </c>
      <c r="D1566" s="0" t="s">
        <v>160</v>
      </c>
      <c r="E1566" s="0" t="n">
        <v>33</v>
      </c>
      <c r="F1566" s="0" t="n">
        <v>1</v>
      </c>
      <c r="G1566" s="1"/>
      <c r="H1566" s="1"/>
      <c r="I1566" s="0" t="n">
        <v>23.7</v>
      </c>
      <c r="J1566" s="0" t="n">
        <f aca="false">(I1566/32)*5</f>
        <v>3.703125</v>
      </c>
      <c r="L1566" s="0" t="n">
        <v>26</v>
      </c>
      <c r="M1566" s="0" t="n">
        <v>0</v>
      </c>
      <c r="N1566" s="2" t="n">
        <f aca="false">(L1566*((M1566+J1566)/1000)*O1566)/((((M1566+J1566)/1000)*O1566)-((M1566/1000)*0.9982))</f>
        <v>26</v>
      </c>
      <c r="O1566" s="3" t="n">
        <f aca="false">LOOKUP(L1566,$AB$3:$AC$123)</f>
        <v>1.1081</v>
      </c>
      <c r="P1566" s="3" t="n">
        <f aca="false">(O1566*(N1566/100)*(J1566/1000))*1000</f>
        <v>1.06689253125</v>
      </c>
      <c r="Q1566" s="3"/>
      <c r="R1566" s="0" t="n">
        <v>3</v>
      </c>
      <c r="S1566" s="0" t="n">
        <v>7.6</v>
      </c>
      <c r="T1566" s="0" t="n">
        <f aca="false">(S1566/32)*5</f>
        <v>1.1875</v>
      </c>
      <c r="V1566" s="0" t="n">
        <v>16.5</v>
      </c>
      <c r="W1566" s="0" t="n">
        <v>4</v>
      </c>
      <c r="X1566" s="3" t="n">
        <f aca="false">LOOKUP(V1566,$AB$3:$AC$123)</f>
        <v>1.06565</v>
      </c>
      <c r="Y1566" s="2" t="n">
        <f aca="false">(V1566*((W1566+T1566)/1000)*X1566)/((((W1566+T1566)/1000)*X1566)-((W1566/1000)*0.9982))</f>
        <v>59.4120975079537</v>
      </c>
      <c r="Z1566" s="3" t="n">
        <f aca="false">(X1566*(V1566/100)*((W1566+T1566)/1000))*1000</f>
        <v>0.912129796875</v>
      </c>
    </row>
    <row r="1567" customFormat="false" ht="15" hidden="false" customHeight="false" outlineLevel="0" collapsed="false">
      <c r="A1567" s="0" t="s">
        <v>90</v>
      </c>
      <c r="B1567" s="0" t="s">
        <v>91</v>
      </c>
      <c r="C1567" s="0" t="s">
        <v>81</v>
      </c>
      <c r="D1567" s="0" t="s">
        <v>160</v>
      </c>
      <c r="E1567" s="0" t="n">
        <v>33</v>
      </c>
      <c r="F1567" s="0" t="n">
        <v>0</v>
      </c>
      <c r="G1567" s="1"/>
      <c r="H1567" s="1"/>
      <c r="I1567" s="0" t="n">
        <v>0</v>
      </c>
      <c r="J1567" s="0" t="n">
        <f aca="false">(I1567/32)*5</f>
        <v>0</v>
      </c>
      <c r="L1567" s="0" t="n">
        <v>0</v>
      </c>
      <c r="M1567" s="0" t="n">
        <v>0</v>
      </c>
      <c r="N1567" s="2" t="n">
        <v>0</v>
      </c>
      <c r="O1567" s="3" t="n">
        <v>0</v>
      </c>
      <c r="P1567" s="3" t="n">
        <v>0</v>
      </c>
      <c r="Q1567" s="3"/>
      <c r="R1567" s="3" t="n">
        <v>3</v>
      </c>
      <c r="S1567" s="3" t="n">
        <v>6.3</v>
      </c>
      <c r="T1567" s="0" t="n">
        <f aca="false">(S1567/32)*5</f>
        <v>0.984375</v>
      </c>
      <c r="V1567" s="0" t="n">
        <v>14.5</v>
      </c>
      <c r="W1567" s="0" t="n">
        <v>4</v>
      </c>
      <c r="X1567" s="3" t="n">
        <f aca="false">LOOKUP(V1567,$AB$3:$AC$123)</f>
        <v>1.05705</v>
      </c>
      <c r="Y1567" s="2" t="n">
        <f aca="false">(V1567*((W1567+T1567)/1000)*X1567)/((((W1567+T1567)/1000)*X1567)-((W1567/1000)*0.9982))</f>
        <v>59.8750887064924</v>
      </c>
      <c r="Z1567" s="3" t="n">
        <f aca="false">(X1567*(V1567/100)*((W1567+T1567)/1000))*1000</f>
        <v>0.76396637109375</v>
      </c>
    </row>
    <row r="1568" customFormat="false" ht="15" hidden="false" customHeight="false" outlineLevel="0" collapsed="false">
      <c r="A1568" s="0" t="s">
        <v>92</v>
      </c>
      <c r="B1568" s="0" t="s">
        <v>93</v>
      </c>
      <c r="C1568" s="0" t="s">
        <v>81</v>
      </c>
      <c r="D1568" s="0" t="s">
        <v>160</v>
      </c>
      <c r="E1568" s="0" t="n">
        <v>33</v>
      </c>
      <c r="F1568" s="0" t="n">
        <v>1</v>
      </c>
      <c r="G1568" s="1"/>
      <c r="H1568" s="1"/>
      <c r="I1568" s="0" t="n">
        <v>27.7</v>
      </c>
      <c r="J1568" s="0" t="n">
        <f aca="false">(I1568/32)*5</f>
        <v>4.328125</v>
      </c>
      <c r="L1568" s="0" t="n">
        <v>9</v>
      </c>
      <c r="M1568" s="0" t="n">
        <v>4</v>
      </c>
      <c r="N1568" s="2" t="n">
        <f aca="false">(L1568*((M1568+J1568)/1000)*O1568)/((((M1568+J1568)/1000)*O1568)-((M1568/1000)*0.9982))</f>
        <v>16.7793368265919</v>
      </c>
      <c r="O1568" s="3" t="n">
        <f aca="false">LOOKUP(L1568,$AB$3:$AC$123)</f>
        <v>1.0341</v>
      </c>
      <c r="P1568" s="3" t="n">
        <f aca="false">(O1568*(N1568/100)*(J1568/1000))*1000</f>
        <v>0.750995137942014</v>
      </c>
      <c r="Q1568" s="3"/>
      <c r="R1568" s="3" t="n">
        <v>5</v>
      </c>
      <c r="S1568" s="3" t="n">
        <v>12.3</v>
      </c>
      <c r="T1568" s="0" t="n">
        <f aca="false">(S1568/32)*5</f>
        <v>1.921875</v>
      </c>
      <c r="V1568" s="0" t="n">
        <v>20</v>
      </c>
      <c r="W1568" s="0" t="n">
        <v>4</v>
      </c>
      <c r="X1568" s="3" t="n">
        <f aca="false">LOOKUP(V1568,$AB$3:$AC$123)</f>
        <v>1.081</v>
      </c>
      <c r="Y1568" s="2" t="n">
        <f aca="false">(V1568*((W1568+T1568)/1000)*X1568)/((((W1568+T1568)/1000)*X1568)-((W1568/1000)*0.9982))</f>
        <v>53.1525079819772</v>
      </c>
      <c r="Z1568" s="3" t="n">
        <f aca="false">(X1568*(V1568/100)*((W1568+T1568)/1000))*1000</f>
        <v>1.280309375</v>
      </c>
    </row>
    <row r="1569" customFormat="false" ht="15" hidden="false" customHeight="false" outlineLevel="0" collapsed="false">
      <c r="A1569" s="0" t="s">
        <v>94</v>
      </c>
      <c r="B1569" s="0" t="s">
        <v>95</v>
      </c>
      <c r="C1569" s="0" t="s">
        <v>81</v>
      </c>
      <c r="D1569" s="0" t="s">
        <v>160</v>
      </c>
      <c r="E1569" s="0" t="n">
        <v>33</v>
      </c>
      <c r="F1569" s="0" t="n">
        <v>3</v>
      </c>
      <c r="G1569" s="1"/>
      <c r="H1569" s="1"/>
      <c r="I1569" s="0" t="n">
        <v>130</v>
      </c>
      <c r="J1569" s="0" t="n">
        <f aca="false">(I1569/32)*5</f>
        <v>20.3125</v>
      </c>
      <c r="L1569" s="0" t="n">
        <v>17</v>
      </c>
      <c r="M1569" s="0" t="n">
        <v>4</v>
      </c>
      <c r="N1569" s="2" t="n">
        <f aca="false">(L1569*((M1569+J1569)/1000)*O1569)/((((M1569+J1569)/1000)*O1569)-((M1569/1000)*0.9982))</f>
        <v>20.0898274599462</v>
      </c>
      <c r="O1569" s="3" t="n">
        <f aca="false">LOOKUP(L1569,$AB$3:$AC$123)</f>
        <v>1.0678</v>
      </c>
      <c r="P1569" s="3" t="n">
        <f aca="false">(O1569*(N1569/100)*(J1569/1000))*1000</f>
        <v>4.35742079535151</v>
      </c>
      <c r="Q1569" s="3"/>
      <c r="R1569" s="3" t="n">
        <v>7</v>
      </c>
      <c r="S1569" s="3" t="n">
        <v>8.6</v>
      </c>
      <c r="T1569" s="0" t="n">
        <f aca="false">(S1569/32)*5</f>
        <v>1.34375</v>
      </c>
      <c r="V1569" s="0" t="n">
        <v>9.5</v>
      </c>
      <c r="W1569" s="0" t="n">
        <v>4</v>
      </c>
      <c r="X1569" s="3" t="n">
        <f aca="false">LOOKUP(V1569,$AB$3:$AC$123)</f>
        <v>1.0361</v>
      </c>
      <c r="Y1569" s="2" t="n">
        <f aca="false">(V1569*((W1569+T1569)/1000)*X1569)/((((W1569+T1569)/1000)*X1569)-((W1569/1000)*0.9982))</f>
        <v>34.069336180635</v>
      </c>
      <c r="Z1569" s="3" t="n">
        <f aca="false">(X1569*(V1569/100)*((W1569+T1569)/1000))*1000</f>
        <v>0.525982640625</v>
      </c>
    </row>
    <row r="1570" customFormat="false" ht="15" hidden="false" customHeight="false" outlineLevel="0" collapsed="false">
      <c r="A1570" s="0" t="s">
        <v>96</v>
      </c>
      <c r="B1570" s="0" t="s">
        <v>97</v>
      </c>
      <c r="C1570" s="0" t="s">
        <v>81</v>
      </c>
      <c r="D1570" s="0" t="s">
        <v>160</v>
      </c>
      <c r="E1570" s="0" t="n">
        <v>33</v>
      </c>
      <c r="F1570" s="0" t="n">
        <v>1</v>
      </c>
      <c r="G1570" s="1"/>
      <c r="H1570" s="1"/>
      <c r="I1570" s="0" t="n">
        <v>27.7</v>
      </c>
      <c r="J1570" s="0" t="n">
        <f aca="false">(I1570/32)*5</f>
        <v>4.328125</v>
      </c>
      <c r="L1570" s="0" t="n">
        <v>11</v>
      </c>
      <c r="M1570" s="0" t="n">
        <v>4</v>
      </c>
      <c r="N1570" s="2" t="n">
        <f aca="false">(L1570*((M1570+J1570)/1000)*O1570)/((((M1570+J1570)/1000)*O1570)-((M1570/1000)*0.9982))</f>
        <v>20.3695614131284</v>
      </c>
      <c r="O1570" s="3" t="n">
        <f aca="false">LOOKUP(L1570,$AB$3:$AC$123)</f>
        <v>1.0423</v>
      </c>
      <c r="P1570" s="3" t="n">
        <f aca="false">(O1570*(N1570/100)*(J1570/1000))*1000</f>
        <v>0.918912609292241</v>
      </c>
      <c r="Q1570" s="3"/>
      <c r="R1570" s="3" t="n">
        <v>2</v>
      </c>
      <c r="S1570" s="3" t="n">
        <v>1.4</v>
      </c>
      <c r="T1570" s="0" t="n">
        <f aca="false">(S1570/32)*5</f>
        <v>0.21875</v>
      </c>
      <c r="V1570" s="0" t="n">
        <v>2</v>
      </c>
      <c r="W1570" s="0" t="n">
        <v>4</v>
      </c>
      <c r="X1570" s="3" t="n">
        <f aca="false">LOOKUP(V1570,$AB$3:$AC$123)</f>
        <v>1.006</v>
      </c>
      <c r="Y1570" s="2" t="n">
        <f aca="false">(V1570*((W1570+T1570)/1000)*X1570)/((((W1570+T1570)/1000)*X1570)-((W1570/1000)*0.9982))</f>
        <v>33.7819013979404</v>
      </c>
      <c r="Z1570" s="3" t="n">
        <f aca="false">(X1570*(V1570/100)*((W1570+T1570)/1000))*1000</f>
        <v>0.08488125</v>
      </c>
    </row>
    <row r="1571" customFormat="false" ht="15" hidden="false" customHeight="false" outlineLevel="0" collapsed="false">
      <c r="A1571" s="0" t="s">
        <v>98</v>
      </c>
      <c r="B1571" s="0" t="s">
        <v>99</v>
      </c>
      <c r="C1571" s="0" t="s">
        <v>81</v>
      </c>
      <c r="D1571" s="0" t="s">
        <v>160</v>
      </c>
      <c r="E1571" s="0" t="n">
        <v>33</v>
      </c>
      <c r="F1571" s="0" t="n">
        <v>2</v>
      </c>
      <c r="G1571" s="1"/>
      <c r="H1571" s="1"/>
      <c r="I1571" s="0" t="n">
        <v>38</v>
      </c>
      <c r="J1571" s="0" t="n">
        <f aca="false">(I1571/32)*5</f>
        <v>5.9375</v>
      </c>
      <c r="L1571" s="0" t="n">
        <v>9.5</v>
      </c>
      <c r="M1571" s="0" t="n">
        <v>4</v>
      </c>
      <c r="N1571" s="2" t="n">
        <f aca="false">(L1571*((M1571+J1571)/1000)*O1571)/((((M1571+J1571)/1000)*O1571)-((M1571/1000)*0.9982))</f>
        <v>15.5175995066189</v>
      </c>
      <c r="O1571" s="3" t="n">
        <f aca="false">LOOKUP(L1571,$AB$3:$AC$123)</f>
        <v>1.0361</v>
      </c>
      <c r="P1571" s="3" t="n">
        <f aca="false">(O1571*(N1571/100)*(J1571/1000))*1000</f>
        <v>0.954618475397966</v>
      </c>
      <c r="Q1571" s="3"/>
      <c r="R1571" s="3" t="n">
        <v>3</v>
      </c>
      <c r="S1571" s="3" t="n">
        <v>3.7</v>
      </c>
      <c r="T1571" s="0" t="n">
        <f aca="false">(S1571/32)*5</f>
        <v>0.578125</v>
      </c>
      <c r="V1571" s="0" t="n">
        <v>4</v>
      </c>
      <c r="W1571" s="0" t="n">
        <v>4</v>
      </c>
      <c r="X1571" s="3" t="n">
        <f aca="false">LOOKUP(V1571,$AB$3:$AC$123)</f>
        <v>1.0139</v>
      </c>
      <c r="Y1571" s="2" t="n">
        <f aca="false">(V1571*((W1571+T1571)/1000)*X1571)/((((W1571+T1571)/1000)*X1571)-((W1571/1000)*0.9982))</f>
        <v>28.6104180962356</v>
      </c>
      <c r="Z1571" s="3" t="n">
        <f aca="false">(X1571*(V1571/100)*((W1571+T1571)/1000))*1000</f>
        <v>0.1856704375</v>
      </c>
    </row>
    <row r="1572" customFormat="false" ht="15" hidden="false" customHeight="false" outlineLevel="0" collapsed="false">
      <c r="A1572" s="0" t="s">
        <v>100</v>
      </c>
      <c r="B1572" s="0" t="s">
        <v>101</v>
      </c>
      <c r="C1572" s="0" t="s">
        <v>81</v>
      </c>
      <c r="D1572" s="0" t="s">
        <v>160</v>
      </c>
      <c r="E1572" s="0" t="n">
        <v>33</v>
      </c>
      <c r="F1572" s="0" t="n">
        <v>1</v>
      </c>
      <c r="G1572" s="1"/>
      <c r="H1572" s="1"/>
      <c r="I1572" s="0" t="n">
        <v>62.8</v>
      </c>
      <c r="J1572" s="0" t="n">
        <f aca="false">(I1572/32)*5</f>
        <v>9.8125</v>
      </c>
      <c r="L1572" s="0" t="n">
        <v>11</v>
      </c>
      <c r="M1572" s="0" t="n">
        <v>4</v>
      </c>
      <c r="N1572" s="2" t="n">
        <f aca="false">(L1572*((M1572+J1572)/1000)*O1572)/((((M1572+J1572)/1000)*O1572)-((M1572/1000)*0.9982))</f>
        <v>15.2215428607473</v>
      </c>
      <c r="O1572" s="3" t="n">
        <f aca="false">LOOKUP(L1572,$AB$3:$AC$123)</f>
        <v>1.0423</v>
      </c>
      <c r="P1572" s="3" t="n">
        <f aca="false">(O1572*(N1572/100)*(J1572/1000))*1000</f>
        <v>1.55679376089364</v>
      </c>
      <c r="Q1572" s="3"/>
      <c r="R1572" s="3" t="n">
        <v>0</v>
      </c>
      <c r="S1572" s="3" t="n">
        <v>0</v>
      </c>
      <c r="T1572" s="0" t="n">
        <f aca="false">(S1572/32)*5</f>
        <v>0</v>
      </c>
      <c r="V1572" s="0" t="n">
        <v>0</v>
      </c>
      <c r="W1572" s="0" t="n">
        <v>4</v>
      </c>
      <c r="X1572" s="3" t="n">
        <v>0</v>
      </c>
      <c r="Y1572" s="2" t="n">
        <v>0</v>
      </c>
      <c r="Z1572" s="3" t="n">
        <f aca="false">(X1572*(V1572/100)*((W1572+T1572)/1000))*1000</f>
        <v>0</v>
      </c>
    </row>
    <row r="1573" customFormat="false" ht="15" hidden="false" customHeight="false" outlineLevel="0" collapsed="false">
      <c r="A1573" s="0" t="s">
        <v>102</v>
      </c>
      <c r="B1573" s="0" t="s">
        <v>103</v>
      </c>
      <c r="C1573" s="0" t="s">
        <v>81</v>
      </c>
      <c r="D1573" s="0" t="s">
        <v>160</v>
      </c>
      <c r="E1573" s="0" t="n">
        <v>33</v>
      </c>
      <c r="F1573" s="0" t="n">
        <v>2</v>
      </c>
      <c r="G1573" s="1"/>
      <c r="H1573" s="1"/>
      <c r="I1573" s="0" t="n">
        <v>44.7</v>
      </c>
      <c r="J1573" s="0" t="n">
        <f aca="false">(I1573/32)*5</f>
        <v>6.984375</v>
      </c>
      <c r="L1573" s="0" t="n">
        <v>8</v>
      </c>
      <c r="M1573" s="0" t="n">
        <v>4</v>
      </c>
      <c r="N1573" s="2" t="n">
        <f aca="false">(L1573*((M1573+J1573)/1000)*O1573)/((((M1573+J1573)/1000)*O1573)-((M1573/1000)*0.9982))</f>
        <v>12.3637111896867</v>
      </c>
      <c r="O1573" s="3" t="n">
        <f aca="false">LOOKUP(L1573,$AB$3:$AC$123)</f>
        <v>1.0299</v>
      </c>
      <c r="P1573" s="3" t="n">
        <f aca="false">(O1573*(N1573/100)*(J1573/1000))*1000</f>
        <v>0.889347439211477</v>
      </c>
      <c r="Q1573" s="3"/>
      <c r="R1573" s="3" t="n">
        <v>4</v>
      </c>
      <c r="S1573" s="3" t="n">
        <v>19</v>
      </c>
      <c r="T1573" s="0" t="n">
        <f aca="false">(S1573/32)*5</f>
        <v>2.96875</v>
      </c>
      <c r="V1573" s="0" t="n">
        <v>2</v>
      </c>
      <c r="W1573" s="0" t="n">
        <v>4</v>
      </c>
      <c r="X1573" s="3" t="n">
        <f aca="false">LOOKUP(V1573,$AB$3:$AC$123)</f>
        <v>1.006</v>
      </c>
      <c r="Y1573" s="2" t="n">
        <f aca="false">(V1573*((W1573+T1573)/1000)*X1573)/((((W1573+T1573)/1000)*X1573)-((W1573/1000)*0.9982))</f>
        <v>4.64619896363614</v>
      </c>
      <c r="Z1573" s="3" t="n">
        <f aca="false">(X1573*(V1573/100)*((W1573+T1573)/1000))*1000</f>
        <v>0.14021125</v>
      </c>
    </row>
    <row r="1574" customFormat="false" ht="15" hidden="false" customHeight="false" outlineLevel="0" collapsed="false">
      <c r="A1574" s="0" t="s">
        <v>104</v>
      </c>
      <c r="B1574" s="0" t="s">
        <v>105</v>
      </c>
      <c r="C1574" s="0" t="s">
        <v>106</v>
      </c>
      <c r="D1574" s="0" t="s">
        <v>160</v>
      </c>
      <c r="E1574" s="0" t="n">
        <v>33</v>
      </c>
      <c r="F1574" s="0" t="n">
        <v>2</v>
      </c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3" t="n">
        <v>5</v>
      </c>
      <c r="S1574" s="1"/>
      <c r="T1574" s="1"/>
      <c r="U1574" s="1"/>
      <c r="V1574" s="1"/>
      <c r="W1574" s="1"/>
      <c r="X1574" s="1"/>
      <c r="Y1574" s="5"/>
      <c r="Z1574" s="1"/>
    </row>
    <row r="1575" customFormat="false" ht="15" hidden="false" customHeight="false" outlineLevel="0" collapsed="false">
      <c r="A1575" s="0" t="s">
        <v>107</v>
      </c>
      <c r="B1575" s="0" t="s">
        <v>37</v>
      </c>
      <c r="C1575" s="0" t="s">
        <v>106</v>
      </c>
      <c r="D1575" s="0" t="s">
        <v>160</v>
      </c>
      <c r="E1575" s="0" t="n">
        <v>33</v>
      </c>
      <c r="F1575" s="0" t="n">
        <v>0</v>
      </c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3" t="n">
        <v>2</v>
      </c>
      <c r="S1575" s="1"/>
      <c r="T1575" s="1"/>
      <c r="U1575" s="1"/>
      <c r="V1575" s="1"/>
      <c r="W1575" s="1"/>
      <c r="X1575" s="1"/>
      <c r="Y1575" s="5"/>
      <c r="Z1575" s="1"/>
    </row>
    <row r="1576" customFormat="false" ht="15" hidden="false" customHeight="false" outlineLevel="0" collapsed="false">
      <c r="A1576" s="0" t="s">
        <v>108</v>
      </c>
      <c r="B1576" s="0" t="s">
        <v>109</v>
      </c>
      <c r="C1576" s="0" t="s">
        <v>106</v>
      </c>
      <c r="D1576" s="0" t="s">
        <v>160</v>
      </c>
      <c r="E1576" s="0" t="n">
        <v>33</v>
      </c>
      <c r="F1576" s="0" t="n">
        <v>2</v>
      </c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3" t="n">
        <v>3</v>
      </c>
      <c r="S1576" s="1"/>
      <c r="T1576" s="1"/>
      <c r="U1576" s="1"/>
      <c r="V1576" s="1"/>
      <c r="W1576" s="1"/>
      <c r="X1576" s="1"/>
      <c r="Y1576" s="5"/>
      <c r="Z1576" s="1"/>
    </row>
    <row r="1577" customFormat="false" ht="15" hidden="false" customHeight="false" outlineLevel="0" collapsed="false">
      <c r="A1577" s="0" t="s">
        <v>110</v>
      </c>
      <c r="B1577" s="0" t="s">
        <v>111</v>
      </c>
      <c r="C1577" s="0" t="s">
        <v>106</v>
      </c>
      <c r="D1577" s="0" t="s">
        <v>160</v>
      </c>
      <c r="E1577" s="0" t="n">
        <v>33</v>
      </c>
      <c r="F1577" s="0" t="n">
        <v>0</v>
      </c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3" t="n">
        <v>3</v>
      </c>
      <c r="S1577" s="1"/>
      <c r="T1577" s="1"/>
      <c r="U1577" s="1"/>
      <c r="V1577" s="1"/>
      <c r="W1577" s="1"/>
      <c r="X1577" s="1"/>
      <c r="Y1577" s="5"/>
      <c r="Z1577" s="1"/>
    </row>
    <row r="1578" customFormat="false" ht="15" hidden="false" customHeight="false" outlineLevel="0" collapsed="false">
      <c r="A1578" s="0" t="s">
        <v>112</v>
      </c>
      <c r="B1578" s="0" t="s">
        <v>113</v>
      </c>
      <c r="C1578" s="0" t="s">
        <v>106</v>
      </c>
      <c r="D1578" s="0" t="s">
        <v>160</v>
      </c>
      <c r="E1578" s="0" t="n">
        <v>33</v>
      </c>
      <c r="F1578" s="0" t="n">
        <v>1</v>
      </c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3" t="n">
        <v>5</v>
      </c>
      <c r="S1578" s="1"/>
      <c r="T1578" s="1"/>
      <c r="U1578" s="1"/>
      <c r="V1578" s="1"/>
      <c r="W1578" s="1"/>
      <c r="X1578" s="1"/>
      <c r="Y1578" s="5"/>
      <c r="Z1578" s="1"/>
    </row>
    <row r="1579" customFormat="false" ht="15" hidden="false" customHeight="false" outlineLevel="0" collapsed="false">
      <c r="A1579" s="0" t="s">
        <v>114</v>
      </c>
      <c r="B1579" s="0" t="s">
        <v>115</v>
      </c>
      <c r="C1579" s="0" t="s">
        <v>106</v>
      </c>
      <c r="D1579" s="0" t="s">
        <v>160</v>
      </c>
      <c r="E1579" s="0" t="n">
        <v>33</v>
      </c>
      <c r="F1579" s="0" t="n">
        <v>2</v>
      </c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3" t="n">
        <v>0</v>
      </c>
      <c r="S1579" s="1"/>
      <c r="T1579" s="1"/>
      <c r="U1579" s="1"/>
      <c r="V1579" s="1"/>
      <c r="W1579" s="1"/>
      <c r="X1579" s="1"/>
      <c r="Y1579" s="5"/>
      <c r="Z1579" s="1"/>
    </row>
    <row r="1580" customFormat="false" ht="15" hidden="false" customHeight="false" outlineLevel="0" collapsed="false">
      <c r="A1580" s="0" t="s">
        <v>116</v>
      </c>
      <c r="B1580" s="0" t="s">
        <v>117</v>
      </c>
      <c r="C1580" s="0" t="s">
        <v>106</v>
      </c>
      <c r="D1580" s="0" t="s">
        <v>160</v>
      </c>
      <c r="E1580" s="0" t="n">
        <v>33</v>
      </c>
      <c r="F1580" s="0" t="n">
        <v>0</v>
      </c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3" t="n">
        <v>2</v>
      </c>
      <c r="S1580" s="1"/>
      <c r="T1580" s="1"/>
      <c r="U1580" s="1"/>
      <c r="V1580" s="1"/>
      <c r="W1580" s="1"/>
      <c r="X1580" s="1"/>
      <c r="Y1580" s="5"/>
      <c r="Z1580" s="1"/>
    </row>
    <row r="1581" customFormat="false" ht="15" hidden="false" customHeight="false" outlineLevel="0" collapsed="false">
      <c r="A1581" s="0" t="s">
        <v>118</v>
      </c>
      <c r="B1581" s="0" t="s">
        <v>119</v>
      </c>
      <c r="C1581" s="0" t="s">
        <v>106</v>
      </c>
      <c r="D1581" s="0" t="s">
        <v>160</v>
      </c>
      <c r="E1581" s="0" t="n">
        <v>33</v>
      </c>
      <c r="F1581" s="0" t="n">
        <v>3</v>
      </c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3" t="n">
        <v>6</v>
      </c>
      <c r="S1581" s="1"/>
      <c r="T1581" s="1"/>
      <c r="U1581" s="1"/>
      <c r="V1581" s="1"/>
      <c r="W1581" s="1"/>
      <c r="X1581" s="1"/>
      <c r="Y1581" s="5"/>
      <c r="Z1581" s="1"/>
    </row>
    <row r="1582" customFormat="false" ht="15" hidden="false" customHeight="false" outlineLevel="0" collapsed="false">
      <c r="A1582" s="0" t="s">
        <v>120</v>
      </c>
      <c r="B1582" s="0" t="s">
        <v>121</v>
      </c>
      <c r="C1582" s="0" t="s">
        <v>106</v>
      </c>
      <c r="D1582" s="0" t="s">
        <v>160</v>
      </c>
      <c r="E1582" s="0" t="n">
        <v>33</v>
      </c>
      <c r="F1582" s="0" t="n">
        <v>2</v>
      </c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3" t="n">
        <v>8</v>
      </c>
      <c r="S1582" s="1"/>
      <c r="T1582" s="1"/>
      <c r="U1582" s="1"/>
      <c r="V1582" s="1"/>
      <c r="W1582" s="1"/>
      <c r="X1582" s="1"/>
      <c r="Y1582" s="5"/>
      <c r="Z1582" s="1"/>
    </row>
    <row r="1583" customFormat="false" ht="15" hidden="false" customHeight="false" outlineLevel="0" collapsed="false">
      <c r="A1583" s="0" t="s">
        <v>122</v>
      </c>
      <c r="B1583" s="0" t="s">
        <v>123</v>
      </c>
      <c r="C1583" s="0" t="s">
        <v>106</v>
      </c>
      <c r="D1583" s="0" t="s">
        <v>160</v>
      </c>
      <c r="E1583" s="0" t="n">
        <v>33</v>
      </c>
      <c r="F1583" s="0" t="n">
        <v>1</v>
      </c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3" t="n">
        <v>5</v>
      </c>
      <c r="S1583" s="1"/>
      <c r="T1583" s="1"/>
      <c r="U1583" s="1"/>
      <c r="V1583" s="1"/>
      <c r="W1583" s="1"/>
      <c r="X1583" s="1"/>
      <c r="Y1583" s="5"/>
      <c r="Z1583" s="1"/>
    </row>
    <row r="1584" customFormat="false" ht="15" hidden="false" customHeight="false" outlineLevel="0" collapsed="false">
      <c r="A1584" s="0" t="s">
        <v>124</v>
      </c>
      <c r="B1584" s="0" t="s">
        <v>125</v>
      </c>
      <c r="C1584" s="0" t="s">
        <v>106</v>
      </c>
      <c r="D1584" s="0" t="s">
        <v>160</v>
      </c>
      <c r="E1584" s="0" t="n">
        <v>33</v>
      </c>
      <c r="F1584" s="0" t="n">
        <v>0</v>
      </c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3" t="n">
        <v>5</v>
      </c>
      <c r="S1584" s="1"/>
      <c r="T1584" s="1"/>
      <c r="U1584" s="1"/>
      <c r="V1584" s="1"/>
      <c r="W1584" s="1"/>
      <c r="X1584" s="1"/>
      <c r="Y1584" s="5"/>
      <c r="Z1584" s="1"/>
    </row>
    <row r="1585" customFormat="false" ht="15" hidden="false" customHeight="false" outlineLevel="0" collapsed="false">
      <c r="A1585" s="0" t="s">
        <v>126</v>
      </c>
      <c r="B1585" s="0" t="s">
        <v>127</v>
      </c>
      <c r="C1585" s="0" t="s">
        <v>106</v>
      </c>
      <c r="D1585" s="0" t="s">
        <v>160</v>
      </c>
      <c r="E1585" s="0" t="n">
        <v>33</v>
      </c>
      <c r="F1585" s="0" t="n">
        <v>0</v>
      </c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3" t="n">
        <v>10</v>
      </c>
      <c r="S1585" s="1"/>
      <c r="T1585" s="1"/>
      <c r="U1585" s="1"/>
      <c r="V1585" s="1"/>
      <c r="W1585" s="1"/>
      <c r="X1585" s="1"/>
      <c r="Y1585" s="5"/>
      <c r="Z1585" s="1"/>
    </row>
    <row r="1586" customFormat="false" ht="15" hidden="false" customHeight="false" outlineLevel="0" collapsed="false">
      <c r="A1586" s="0" t="s">
        <v>26</v>
      </c>
      <c r="B1586" s="0" t="s">
        <v>27</v>
      </c>
      <c r="C1586" s="0" t="s">
        <v>28</v>
      </c>
      <c r="D1586" s="0" t="s">
        <v>161</v>
      </c>
      <c r="E1586" s="0" t="n">
        <v>34</v>
      </c>
      <c r="F1586" s="0" t="n">
        <v>0</v>
      </c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3" t="n">
        <v>2</v>
      </c>
      <c r="S1586" s="0" t="n">
        <v>4.6</v>
      </c>
      <c r="T1586" s="0" t="n">
        <f aca="false">(S1586/32)*5</f>
        <v>0.71875</v>
      </c>
      <c r="V1586" s="0" t="n">
        <v>12</v>
      </c>
      <c r="W1586" s="0" t="n">
        <v>4</v>
      </c>
      <c r="X1586" s="3" t="n">
        <f aca="false">LOOKUP(V1586,$AB$3:$AC$123)</f>
        <v>1.0465</v>
      </c>
      <c r="Y1586" s="2" t="n">
        <f aca="false">(V1586*((W1586+T1586)/1000)*X1586)/((((W1586+T1586)/1000)*X1586)-((W1586/1000)*0.9982))</f>
        <v>62.6822778073444</v>
      </c>
      <c r="Z1586" s="3" t="n">
        <f aca="false">(X1586*(V1586/100)*((W1586+T1586)/1000))*1000</f>
        <v>0.592580625</v>
      </c>
    </row>
    <row r="1587" customFormat="false" ht="15" hidden="false" customHeight="false" outlineLevel="0" collapsed="false">
      <c r="A1587" s="0" t="s">
        <v>32</v>
      </c>
      <c r="B1587" s="0" t="s">
        <v>33</v>
      </c>
      <c r="C1587" s="0" t="s">
        <v>28</v>
      </c>
      <c r="D1587" s="0" t="s">
        <v>161</v>
      </c>
      <c r="E1587" s="0" t="n">
        <v>34</v>
      </c>
      <c r="F1587" s="0" t="n">
        <v>1</v>
      </c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3" t="n">
        <v>4</v>
      </c>
      <c r="S1587" s="0" t="n">
        <v>5.8</v>
      </c>
      <c r="T1587" s="0" t="n">
        <f aca="false">(S1587/32)*5</f>
        <v>0.90625</v>
      </c>
      <c r="V1587" s="0" t="n">
        <v>11</v>
      </c>
      <c r="W1587" s="0" t="n">
        <v>4</v>
      </c>
      <c r="X1587" s="3" t="n">
        <f aca="false">LOOKUP(V1587,$AB$3:$AC$123)</f>
        <v>1.0423</v>
      </c>
      <c r="Y1587" s="2" t="n">
        <f aca="false">(V1587*((W1587+T1587)/1000)*X1587)/((((W1587+T1587)/1000)*X1587)-((W1587/1000)*0.9982))</f>
        <v>50.1805639574593</v>
      </c>
      <c r="Z1587" s="3" t="n">
        <f aca="false">(X1587*(V1587/100)*((W1587+T1587)/1000))*1000</f>
        <v>0.56251628125</v>
      </c>
    </row>
    <row r="1588" customFormat="false" ht="15" hidden="false" customHeight="false" outlineLevel="0" collapsed="false">
      <c r="A1588" s="0" t="s">
        <v>34</v>
      </c>
      <c r="B1588" s="0" t="s">
        <v>35</v>
      </c>
      <c r="C1588" s="0" t="s">
        <v>28</v>
      </c>
      <c r="D1588" s="0" t="s">
        <v>161</v>
      </c>
      <c r="E1588" s="0" t="n">
        <v>34</v>
      </c>
      <c r="F1588" s="0" t="n">
        <v>1</v>
      </c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3" t="n">
        <v>3</v>
      </c>
      <c r="S1588" s="0" t="n">
        <v>5.3</v>
      </c>
      <c r="T1588" s="0" t="n">
        <f aca="false">(S1588/32)*5</f>
        <v>0.828125</v>
      </c>
      <c r="V1588" s="0" t="n">
        <v>22</v>
      </c>
      <c r="W1588" s="0" t="n">
        <v>4</v>
      </c>
      <c r="X1588" s="3" t="n">
        <f aca="false">LOOKUP(V1588,$AB$3:$AC$123)</f>
        <v>1.0899</v>
      </c>
      <c r="Y1588" s="2" t="n">
        <f aca="false">(V1588*((W1588+T1588)/1000)*X1588)/((((W1588+T1588)/1000)*X1588)-((W1588/1000)*0.9982))</f>
        <v>91.20075480152</v>
      </c>
      <c r="Z1588" s="3" t="n">
        <f aca="false">(X1588*(V1588/100)*((W1588+T1588)/1000))*1000</f>
        <v>1.15767815625</v>
      </c>
    </row>
    <row r="1589" customFormat="false" ht="15" hidden="false" customHeight="false" outlineLevel="0" collapsed="false">
      <c r="A1589" s="0" t="s">
        <v>36</v>
      </c>
      <c r="B1589" s="0" t="s">
        <v>37</v>
      </c>
      <c r="C1589" s="0" t="s">
        <v>28</v>
      </c>
      <c r="D1589" s="0" t="s">
        <v>161</v>
      </c>
      <c r="E1589" s="0" t="n">
        <v>34</v>
      </c>
      <c r="F1589" s="0" t="n">
        <v>3</v>
      </c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3" t="n">
        <v>4</v>
      </c>
      <c r="S1589" s="0" t="n">
        <v>3.1</v>
      </c>
      <c r="T1589" s="0" t="n">
        <f aca="false">(S1589/32)*5</f>
        <v>0.484375</v>
      </c>
      <c r="V1589" s="0" t="n">
        <v>5</v>
      </c>
      <c r="W1589" s="0" t="n">
        <v>4</v>
      </c>
      <c r="X1589" s="3" t="n">
        <f aca="false">LOOKUP(V1589,$AB$3:$AC$123)</f>
        <v>1.0179</v>
      </c>
      <c r="Y1589" s="2" t="n">
        <f aca="false">(V1589*((W1589+T1589)/1000)*X1589)/((((W1589+T1589)/1000)*X1589)-((W1589/1000)*0.9982))</f>
        <v>39.9115391236157</v>
      </c>
      <c r="Z1589" s="3" t="n">
        <f aca="false">(X1589*(V1589/100)*((W1589+T1589)/1000))*1000</f>
        <v>0.228232265625</v>
      </c>
    </row>
    <row r="1590" customFormat="false" ht="15" hidden="false" customHeight="false" outlineLevel="0" collapsed="false">
      <c r="A1590" s="0" t="s">
        <v>38</v>
      </c>
      <c r="B1590" s="0" t="s">
        <v>39</v>
      </c>
      <c r="C1590" s="0" t="s">
        <v>28</v>
      </c>
      <c r="D1590" s="0" t="s">
        <v>161</v>
      </c>
      <c r="E1590" s="0" t="n">
        <v>34</v>
      </c>
      <c r="F1590" s="0" t="n">
        <v>1</v>
      </c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3" t="n">
        <v>3</v>
      </c>
      <c r="S1590" s="0" t="n">
        <v>4.6</v>
      </c>
      <c r="T1590" s="0" t="n">
        <f aca="false">(S1590/32)*5</f>
        <v>0.71875</v>
      </c>
      <c r="V1590" s="0" t="n">
        <v>8</v>
      </c>
      <c r="W1590" s="0" t="n">
        <v>4</v>
      </c>
      <c r="X1590" s="3" t="n">
        <f aca="false">LOOKUP(V1590,$AB$3:$AC$123)</f>
        <v>1.0299</v>
      </c>
      <c r="Y1590" s="2" t="n">
        <f aca="false">(V1590*((W1590+T1590)/1000)*X1590)/((((W1590+T1590)/1000)*X1590)-((W1590/1000)*0.9982))</f>
        <v>44.8407189686181</v>
      </c>
      <c r="Z1590" s="3" t="n">
        <f aca="false">(X1590*(V1590/100)*((W1590+T1590)/1000))*1000</f>
        <v>0.38878725</v>
      </c>
    </row>
    <row r="1591" customFormat="false" ht="15" hidden="false" customHeight="false" outlineLevel="0" collapsed="false">
      <c r="A1591" s="0" t="s">
        <v>40</v>
      </c>
      <c r="B1591" s="0" t="s">
        <v>41</v>
      </c>
      <c r="C1591" s="0" t="s">
        <v>28</v>
      </c>
      <c r="D1591" s="0" t="s">
        <v>161</v>
      </c>
      <c r="E1591" s="0" t="n">
        <v>34</v>
      </c>
      <c r="F1591" s="0" t="n">
        <v>1</v>
      </c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3" t="n">
        <v>2</v>
      </c>
      <c r="S1591" s="0" t="n">
        <v>9.6</v>
      </c>
      <c r="T1591" s="0" t="n">
        <f aca="false">(S1591/32)*5</f>
        <v>1.5</v>
      </c>
      <c r="V1591" s="0" t="n">
        <v>24</v>
      </c>
      <c r="W1591" s="0" t="n">
        <v>4</v>
      </c>
      <c r="X1591" s="3" t="n">
        <f aca="false">LOOKUP(V1591,$AB$3:$AC$123)</f>
        <v>1.099</v>
      </c>
      <c r="Y1591" s="2" t="n">
        <f aca="false">(V1591*((W1591+T1591)/1000)*X1591)/((((W1591+T1591)/1000)*X1591)-((W1591/1000)*0.9982))</f>
        <v>70.7062436028659</v>
      </c>
      <c r="Z1591" s="3" t="n">
        <f aca="false">(X1591*(V1591/100)*((W1591+T1591)/1000))*1000</f>
        <v>1.45068</v>
      </c>
    </row>
    <row r="1592" customFormat="false" ht="15" hidden="false" customHeight="false" outlineLevel="0" collapsed="false">
      <c r="A1592" s="0" t="s">
        <v>42</v>
      </c>
      <c r="B1592" s="0" t="s">
        <v>43</v>
      </c>
      <c r="C1592" s="0" t="s">
        <v>28</v>
      </c>
      <c r="D1592" s="0" t="s">
        <v>161</v>
      </c>
      <c r="E1592" s="0" t="n">
        <v>34</v>
      </c>
      <c r="F1592" s="0" t="n">
        <v>2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3" t="n">
        <v>3</v>
      </c>
      <c r="S1592" s="0" t="n">
        <v>3.8</v>
      </c>
      <c r="T1592" s="0" t="n">
        <f aca="false">(S1592/32)*5</f>
        <v>0.59375</v>
      </c>
      <c r="V1592" s="0" t="n">
        <v>11</v>
      </c>
      <c r="W1592" s="0" t="n">
        <v>4</v>
      </c>
      <c r="X1592" s="3" t="n">
        <f aca="false">LOOKUP(V1592,$AB$3:$AC$123)</f>
        <v>1.0423</v>
      </c>
      <c r="Y1592" s="2" t="n">
        <f aca="false">(V1592*((W1592+T1592)/1000)*X1592)/((((W1592+T1592)/1000)*X1592)-((W1592/1000)*0.9982))</f>
        <v>66.2278366111952</v>
      </c>
      <c r="Z1592" s="3" t="n">
        <f aca="false">(X1592*(V1592/100)*((W1592+T1592)/1000))*1000</f>
        <v>0.52668721875</v>
      </c>
    </row>
    <row r="1593" customFormat="false" ht="15" hidden="false" customHeight="false" outlineLevel="0" collapsed="false">
      <c r="A1593" s="0" t="s">
        <v>44</v>
      </c>
      <c r="B1593" s="0" t="s">
        <v>45</v>
      </c>
      <c r="C1593" s="0" t="s">
        <v>28</v>
      </c>
      <c r="D1593" s="0" t="s">
        <v>161</v>
      </c>
      <c r="E1593" s="0" t="n">
        <v>34</v>
      </c>
      <c r="F1593" s="0" t="n">
        <v>1</v>
      </c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3" t="n">
        <v>2</v>
      </c>
      <c r="S1593" s="0" t="n">
        <v>2.5</v>
      </c>
      <c r="T1593" s="0" t="n">
        <f aca="false">(S1593/32)*5</f>
        <v>0.390625</v>
      </c>
      <c r="V1593" s="0" t="n">
        <v>4</v>
      </c>
      <c r="W1593" s="0" t="n">
        <v>4</v>
      </c>
      <c r="X1593" s="3" t="n">
        <f aca="false">LOOKUP(V1593,$AB$3:$AC$123)</f>
        <v>1.0139</v>
      </c>
      <c r="Y1593" s="2" t="n">
        <f aca="false">(V1593*((W1593+T1593)/1000)*X1593)/((((W1593+T1593)/1000)*X1593)-((W1593/1000)*0.9982))</f>
        <v>38.8066619674665</v>
      </c>
      <c r="Z1593" s="3" t="n">
        <f aca="false">(X1593*(V1593/100)*((W1593+T1593)/1000))*1000</f>
        <v>0.1780661875</v>
      </c>
    </row>
    <row r="1594" customFormat="false" ht="15" hidden="false" customHeight="false" outlineLevel="0" collapsed="false">
      <c r="A1594" s="0" t="s">
        <v>46</v>
      </c>
      <c r="B1594" s="0" t="s">
        <v>47</v>
      </c>
      <c r="C1594" s="0" t="s">
        <v>28</v>
      </c>
      <c r="D1594" s="0" t="s">
        <v>161</v>
      </c>
      <c r="E1594" s="0" t="n">
        <v>34</v>
      </c>
      <c r="F1594" s="0" t="n">
        <v>2</v>
      </c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3" t="n">
        <v>3</v>
      </c>
      <c r="S1594" s="0" t="n">
        <v>2.7</v>
      </c>
      <c r="T1594" s="0" t="n">
        <f aca="false">(S1594/32)*5</f>
        <v>0.421875</v>
      </c>
      <c r="V1594" s="0" t="n">
        <v>5</v>
      </c>
      <c r="W1594" s="0" t="n">
        <v>4</v>
      </c>
      <c r="X1594" s="3" t="n">
        <f aca="false">LOOKUP(V1594,$AB$3:$AC$123)</f>
        <v>1.0179</v>
      </c>
      <c r="Y1594" s="2" t="n">
        <f aca="false">(V1594*((W1594+T1594)/1000)*X1594)/((((W1594+T1594)/1000)*X1594)-((W1594/1000)*0.9982))</f>
        <v>44.2816933884679</v>
      </c>
      <c r="Z1594" s="3" t="n">
        <f aca="false">(X1594*(V1594/100)*((W1594+T1594)/1000))*1000</f>
        <v>0.225051328125</v>
      </c>
    </row>
    <row r="1595" customFormat="false" ht="15" hidden="false" customHeight="false" outlineLevel="0" collapsed="false">
      <c r="A1595" s="0" t="s">
        <v>48</v>
      </c>
      <c r="B1595" s="0" t="s">
        <v>49</v>
      </c>
      <c r="C1595" s="0" t="s">
        <v>28</v>
      </c>
      <c r="D1595" s="0" t="s">
        <v>161</v>
      </c>
      <c r="E1595" s="0" t="n">
        <v>34</v>
      </c>
      <c r="F1595" s="0" t="n">
        <v>1</v>
      </c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3" t="n">
        <v>3</v>
      </c>
      <c r="S1595" s="0" t="n">
        <v>3.3</v>
      </c>
      <c r="T1595" s="0" t="n">
        <f aca="false">(S1595/32)*5</f>
        <v>0.515625</v>
      </c>
      <c r="V1595" s="0" t="n">
        <v>5</v>
      </c>
      <c r="W1595" s="0" t="n">
        <v>4</v>
      </c>
      <c r="X1595" s="3" t="n">
        <f aca="false">LOOKUP(V1595,$AB$3:$AC$123)</f>
        <v>1.0179</v>
      </c>
      <c r="Y1595" s="2" t="n">
        <f aca="false">(V1595*((W1595+T1595)/1000)*X1595)/((((W1595+T1595)/1000)*X1595)-((W1595/1000)*0.9982))</f>
        <v>38.071887642718</v>
      </c>
      <c r="Z1595" s="3" t="n">
        <f aca="false">(X1595*(V1595/100)*((W1595+T1595)/1000))*1000</f>
        <v>0.229822734375</v>
      </c>
    </row>
    <row r="1596" customFormat="false" ht="15" hidden="false" customHeight="false" outlineLevel="0" collapsed="false">
      <c r="A1596" s="0" t="s">
        <v>50</v>
      </c>
      <c r="B1596" s="0" t="s">
        <v>51</v>
      </c>
      <c r="C1596" s="0" t="s">
        <v>28</v>
      </c>
      <c r="D1596" s="0" t="s">
        <v>161</v>
      </c>
      <c r="E1596" s="0" t="n">
        <v>34</v>
      </c>
      <c r="F1596" s="0" t="n">
        <v>1</v>
      </c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3" t="n">
        <v>2</v>
      </c>
      <c r="S1596" s="0" t="n">
        <v>3.1</v>
      </c>
      <c r="T1596" s="0" t="n">
        <f aca="false">(S1596/32)*5</f>
        <v>0.484375</v>
      </c>
      <c r="V1596" s="0" t="n">
        <v>4</v>
      </c>
      <c r="W1596" s="0" t="n">
        <v>4</v>
      </c>
      <c r="X1596" s="3" t="n">
        <f aca="false">LOOKUP(V1596,$AB$3:$AC$123)</f>
        <v>1.0139</v>
      </c>
      <c r="Y1596" s="2" t="n">
        <f aca="false">(V1596*((W1596+T1596)/1000)*X1596)/((((W1596+T1596)/1000)*X1596)-((W1596/1000)*0.9982))</f>
        <v>32.8336788894813</v>
      </c>
      <c r="Z1596" s="3" t="n">
        <f aca="false">(X1596*(V1596/100)*((W1596+T1596)/1000))*1000</f>
        <v>0.1818683125</v>
      </c>
    </row>
    <row r="1597" customFormat="false" ht="15" hidden="false" customHeight="false" outlineLevel="0" collapsed="false">
      <c r="A1597" s="0" t="s">
        <v>52</v>
      </c>
      <c r="B1597" s="0" t="s">
        <v>53</v>
      </c>
      <c r="C1597" s="0" t="s">
        <v>28</v>
      </c>
      <c r="D1597" s="0" t="s">
        <v>161</v>
      </c>
      <c r="E1597" s="0" t="n">
        <v>34</v>
      </c>
      <c r="F1597" s="0" t="n">
        <v>1</v>
      </c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3" t="n">
        <v>1</v>
      </c>
      <c r="S1597" s="0" t="n">
        <v>2.2</v>
      </c>
      <c r="T1597" s="0" t="n">
        <f aca="false">(S1597/32)*5</f>
        <v>0.34375</v>
      </c>
      <c r="V1597" s="0" t="n">
        <v>3</v>
      </c>
      <c r="W1597" s="0" t="n">
        <v>4</v>
      </c>
      <c r="X1597" s="3" t="n">
        <f aca="false">LOOKUP(V1597,$AB$3:$AC$123)</f>
        <v>1.0099</v>
      </c>
      <c r="Y1597" s="2" t="n">
        <f aca="false">(V1597*((W1597+T1597)/1000)*X1597)/((((W1597+T1597)/1000)*X1597)-((W1597/1000)*0.9982))</f>
        <v>33.4056478800619</v>
      </c>
      <c r="Z1597" s="3" t="n">
        <f aca="false">(X1597*(V1597/100)*((W1597+T1597)/1000))*1000</f>
        <v>0.13160259375</v>
      </c>
    </row>
    <row r="1598" customFormat="false" ht="15" hidden="false" customHeight="false" outlineLevel="0" collapsed="false">
      <c r="A1598" s="0" t="s">
        <v>54</v>
      </c>
      <c r="B1598" s="0" t="s">
        <v>55</v>
      </c>
      <c r="C1598" s="0" t="s">
        <v>56</v>
      </c>
      <c r="D1598" s="0" t="s">
        <v>161</v>
      </c>
      <c r="E1598" s="0" t="n">
        <v>34</v>
      </c>
      <c r="F1598" s="0" t="n">
        <v>0</v>
      </c>
      <c r="G1598" s="1"/>
      <c r="H1598" s="1"/>
      <c r="I1598" s="0" t="n">
        <v>0</v>
      </c>
      <c r="J1598" s="0" t="n">
        <f aca="false">(I1598/32)*5</f>
        <v>0</v>
      </c>
      <c r="L1598" s="0" t="n">
        <v>0</v>
      </c>
      <c r="M1598" s="0" t="n">
        <v>0</v>
      </c>
      <c r="N1598" s="0" t="n">
        <f aca="false">L1598</f>
        <v>0</v>
      </c>
      <c r="O1598" s="3" t="n">
        <v>0</v>
      </c>
      <c r="P1598" s="3" t="n">
        <f aca="false">(O1598*(N1598/100)*(J1598/1000))*1000</f>
        <v>0</v>
      </c>
      <c r="Q1598" s="3"/>
      <c r="R1598" s="1"/>
      <c r="S1598" s="1"/>
      <c r="T1598" s="1"/>
      <c r="U1598" s="1"/>
      <c r="V1598" s="1"/>
      <c r="W1598" s="1"/>
      <c r="X1598" s="1"/>
      <c r="Y1598" s="5"/>
      <c r="Z1598" s="1"/>
    </row>
    <row r="1599" customFormat="false" ht="15" hidden="false" customHeight="false" outlineLevel="0" collapsed="false">
      <c r="A1599" s="0" t="s">
        <v>57</v>
      </c>
      <c r="B1599" s="0" t="s">
        <v>58</v>
      </c>
      <c r="C1599" s="0" t="s">
        <v>56</v>
      </c>
      <c r="D1599" s="0" t="s">
        <v>161</v>
      </c>
      <c r="E1599" s="0" t="n">
        <v>34</v>
      </c>
      <c r="F1599" s="0" t="n">
        <v>1</v>
      </c>
      <c r="G1599" s="1"/>
      <c r="H1599" s="1"/>
      <c r="I1599" s="0" t="n">
        <f aca="false">32+17</f>
        <v>49</v>
      </c>
      <c r="J1599" s="0" t="n">
        <f aca="false">(I1599/32)*5</f>
        <v>7.65625</v>
      </c>
      <c r="L1599" s="0" t="n">
        <v>23.5</v>
      </c>
      <c r="M1599" s="0" t="n">
        <v>0</v>
      </c>
      <c r="N1599" s="0" t="n">
        <f aca="false">L1599</f>
        <v>23.5</v>
      </c>
      <c r="O1599" s="3" t="n">
        <f aca="false">LOOKUP(L1599,$AB$3:$AC$123)</f>
        <v>1.096725</v>
      </c>
      <c r="P1599" s="3" t="n">
        <f aca="false">(O1599*(N1599/100)*(J1599/1000))*1000</f>
        <v>1.97324818359375</v>
      </c>
      <c r="Q1599" s="3"/>
      <c r="R1599" s="1"/>
      <c r="S1599" s="1"/>
      <c r="T1599" s="1"/>
      <c r="U1599" s="1"/>
      <c r="V1599" s="1"/>
      <c r="W1599" s="1"/>
      <c r="X1599" s="1"/>
      <c r="Y1599" s="5"/>
      <c r="Z1599" s="1"/>
    </row>
    <row r="1600" customFormat="false" ht="15" hidden="false" customHeight="false" outlineLevel="0" collapsed="false">
      <c r="A1600" s="0" t="s">
        <v>59</v>
      </c>
      <c r="B1600" s="0" t="s">
        <v>60</v>
      </c>
      <c r="C1600" s="0" t="s">
        <v>56</v>
      </c>
      <c r="D1600" s="0" t="s">
        <v>161</v>
      </c>
      <c r="E1600" s="0" t="n">
        <v>34</v>
      </c>
      <c r="F1600" s="0" t="n">
        <v>2</v>
      </c>
      <c r="G1600" s="1"/>
      <c r="H1600" s="1"/>
      <c r="I1600" s="0" t="n">
        <v>64</v>
      </c>
      <c r="J1600" s="0" t="n">
        <f aca="false">(I1600/32)*5</f>
        <v>10</v>
      </c>
      <c r="L1600" s="0" t="n">
        <v>22.5</v>
      </c>
      <c r="M1600" s="0" t="n">
        <v>0</v>
      </c>
      <c r="N1600" s="0" t="n">
        <f aca="false">L1600</f>
        <v>22.5</v>
      </c>
      <c r="O1600" s="3" t="n">
        <f aca="false">LOOKUP(L1600,$AB$3:$AC$123)</f>
        <v>1.092175</v>
      </c>
      <c r="P1600" s="3" t="n">
        <f aca="false">(O1600*(N1600/100)*(J1600/1000))*1000</f>
        <v>2.45739375</v>
      </c>
      <c r="Q1600" s="3"/>
      <c r="R1600" s="1"/>
      <c r="S1600" s="1"/>
      <c r="T1600" s="1"/>
      <c r="U1600" s="1"/>
      <c r="V1600" s="1"/>
      <c r="W1600" s="1"/>
      <c r="X1600" s="1"/>
      <c r="Y1600" s="5"/>
      <c r="Z1600" s="1"/>
    </row>
    <row r="1601" customFormat="false" ht="15" hidden="false" customHeight="false" outlineLevel="0" collapsed="false">
      <c r="A1601" s="0" t="s">
        <v>61</v>
      </c>
      <c r="B1601" s="0" t="s">
        <v>62</v>
      </c>
      <c r="C1601" s="0" t="s">
        <v>56</v>
      </c>
      <c r="D1601" s="0" t="s">
        <v>161</v>
      </c>
      <c r="E1601" s="0" t="n">
        <v>34</v>
      </c>
      <c r="F1601" s="0" t="n">
        <v>2</v>
      </c>
      <c r="G1601" s="1"/>
      <c r="H1601" s="1"/>
      <c r="I1601" s="0" t="n">
        <f aca="false">64+12</f>
        <v>76</v>
      </c>
      <c r="J1601" s="0" t="n">
        <f aca="false">(I1601/32)*5</f>
        <v>11.875</v>
      </c>
      <c r="L1601" s="0" t="n">
        <v>25</v>
      </c>
      <c r="M1601" s="0" t="n">
        <v>0</v>
      </c>
      <c r="N1601" s="0" t="n">
        <f aca="false">L1601</f>
        <v>25</v>
      </c>
      <c r="O1601" s="3" t="n">
        <f aca="false">LOOKUP(L1601,$AB$3:$AC$123)</f>
        <v>1.10355</v>
      </c>
      <c r="P1601" s="3" t="n">
        <f aca="false">(O1601*(N1601/100)*(J1601/1000))*1000</f>
        <v>3.2761640625</v>
      </c>
      <c r="Q1601" s="3"/>
      <c r="R1601" s="1"/>
      <c r="S1601" s="1"/>
      <c r="T1601" s="1"/>
      <c r="U1601" s="1"/>
      <c r="V1601" s="1"/>
      <c r="W1601" s="1"/>
      <c r="X1601" s="1"/>
      <c r="Y1601" s="5"/>
      <c r="Z1601" s="1"/>
    </row>
    <row r="1602" customFormat="false" ht="15" hidden="false" customHeight="false" outlineLevel="0" collapsed="false">
      <c r="A1602" s="0" t="s">
        <v>63</v>
      </c>
      <c r="B1602" s="0" t="s">
        <v>64</v>
      </c>
      <c r="C1602" s="0" t="s">
        <v>56</v>
      </c>
      <c r="D1602" s="0" t="s">
        <v>161</v>
      </c>
      <c r="E1602" s="0" t="n">
        <v>34</v>
      </c>
      <c r="F1602" s="0" t="n">
        <v>1</v>
      </c>
      <c r="G1602" s="1"/>
      <c r="H1602" s="1"/>
      <c r="I1602" s="0" t="n">
        <f aca="false">32+12</f>
        <v>44</v>
      </c>
      <c r="J1602" s="0" t="n">
        <f aca="false">(I1602/32)*5</f>
        <v>6.875</v>
      </c>
      <c r="L1602" s="0" t="n">
        <v>24.5</v>
      </c>
      <c r="M1602" s="0" t="n">
        <v>0</v>
      </c>
      <c r="N1602" s="0" t="n">
        <f aca="false">L1602</f>
        <v>24.5</v>
      </c>
      <c r="O1602" s="3" t="n">
        <f aca="false">LOOKUP(L1602,$AB$3:$AC$123)</f>
        <v>1.101275</v>
      </c>
      <c r="P1602" s="3" t="n">
        <f aca="false">(O1602*(N1602/100)*(J1602/1000))*1000</f>
        <v>1.854960078125</v>
      </c>
      <c r="Q1602" s="3"/>
      <c r="R1602" s="1"/>
      <c r="S1602" s="1"/>
      <c r="T1602" s="1"/>
      <c r="U1602" s="1"/>
      <c r="V1602" s="1"/>
      <c r="W1602" s="1"/>
      <c r="X1602" s="1"/>
      <c r="Y1602" s="5"/>
      <c r="Z1602" s="1"/>
    </row>
    <row r="1603" customFormat="false" ht="15" hidden="false" customHeight="false" outlineLevel="0" collapsed="false">
      <c r="A1603" s="0" t="s">
        <v>65</v>
      </c>
      <c r="B1603" s="0" t="s">
        <v>66</v>
      </c>
      <c r="C1603" s="0" t="s">
        <v>56</v>
      </c>
      <c r="D1603" s="0" t="s">
        <v>161</v>
      </c>
      <c r="E1603" s="0" t="n">
        <v>34</v>
      </c>
      <c r="F1603" s="0" t="n">
        <v>2</v>
      </c>
      <c r="G1603" s="1"/>
      <c r="H1603" s="1"/>
      <c r="I1603" s="0" t="n">
        <v>86</v>
      </c>
      <c r="J1603" s="0" t="n">
        <f aca="false">(I1603/32)*5</f>
        <v>13.4375</v>
      </c>
      <c r="L1603" s="0" t="n">
        <v>27</v>
      </c>
      <c r="M1603" s="0" t="n">
        <v>0</v>
      </c>
      <c r="N1603" s="0" t="n">
        <f aca="false">L1603</f>
        <v>27</v>
      </c>
      <c r="O1603" s="3" t="n">
        <f aca="false">LOOKUP(L1603,$AB$3:$AC$123)</f>
        <v>1.1128</v>
      </c>
      <c r="P1603" s="3" t="n">
        <f aca="false">(O1603*(N1603/100)*(J1603/1000))*1000</f>
        <v>4.0373775</v>
      </c>
      <c r="Q1603" s="3"/>
      <c r="R1603" s="1"/>
      <c r="S1603" s="1"/>
      <c r="T1603" s="1"/>
      <c r="U1603" s="1"/>
      <c r="V1603" s="1"/>
      <c r="W1603" s="1"/>
      <c r="X1603" s="1"/>
      <c r="Y1603" s="5"/>
      <c r="Z1603" s="1"/>
    </row>
    <row r="1604" customFormat="false" ht="15" hidden="false" customHeight="false" outlineLevel="0" collapsed="false">
      <c r="A1604" s="0" t="s">
        <v>67</v>
      </c>
      <c r="B1604" s="0" t="s">
        <v>68</v>
      </c>
      <c r="C1604" s="0" t="s">
        <v>56</v>
      </c>
      <c r="D1604" s="0" t="s">
        <v>161</v>
      </c>
      <c r="E1604" s="0" t="n">
        <v>34</v>
      </c>
      <c r="F1604" s="0" t="n">
        <v>4</v>
      </c>
      <c r="G1604" s="1"/>
      <c r="H1604" s="1"/>
      <c r="I1604" s="0" t="n">
        <f aca="false">32*6+6.8</f>
        <v>198.8</v>
      </c>
      <c r="J1604" s="0" t="n">
        <f aca="false">(I1604/32)*5</f>
        <v>31.0625</v>
      </c>
      <c r="L1604" s="0" t="n">
        <v>25</v>
      </c>
      <c r="M1604" s="0" t="n">
        <v>0</v>
      </c>
      <c r="N1604" s="0" t="n">
        <f aca="false">L1604</f>
        <v>25</v>
      </c>
      <c r="O1604" s="3" t="n">
        <f aca="false">LOOKUP(L1604,$AB$3:$AC$123)</f>
        <v>1.10355</v>
      </c>
      <c r="P1604" s="3" t="n">
        <f aca="false">(O1604*(N1604/100)*(J1604/1000))*1000</f>
        <v>8.56975546875</v>
      </c>
      <c r="Q1604" s="3"/>
      <c r="R1604" s="1"/>
      <c r="S1604" s="1"/>
      <c r="T1604" s="1"/>
      <c r="U1604" s="1"/>
      <c r="V1604" s="1"/>
      <c r="W1604" s="1"/>
      <c r="X1604" s="1"/>
      <c r="Y1604" s="5"/>
      <c r="Z1604" s="1"/>
    </row>
    <row r="1605" customFormat="false" ht="15" hidden="false" customHeight="false" outlineLevel="0" collapsed="false">
      <c r="A1605" s="0" t="s">
        <v>69</v>
      </c>
      <c r="B1605" s="0" t="s">
        <v>70</v>
      </c>
      <c r="C1605" s="0" t="s">
        <v>56</v>
      </c>
      <c r="D1605" s="0" t="s">
        <v>161</v>
      </c>
      <c r="E1605" s="0" t="n">
        <v>34</v>
      </c>
      <c r="F1605" s="0" t="n">
        <v>2</v>
      </c>
      <c r="G1605" s="1"/>
      <c r="H1605" s="1"/>
      <c r="I1605" s="0" t="n">
        <v>44.6</v>
      </c>
      <c r="J1605" s="0" t="n">
        <f aca="false">(I1605/32)*5</f>
        <v>6.96875</v>
      </c>
      <c r="L1605" s="0" t="n">
        <v>27.5</v>
      </c>
      <c r="M1605" s="0" t="n">
        <v>0</v>
      </c>
      <c r="N1605" s="0" t="n">
        <f aca="false">L1605</f>
        <v>27.5</v>
      </c>
      <c r="O1605" s="3" t="n">
        <f aca="false">LOOKUP(L1605,$AB$3:$AC$123)</f>
        <v>1.11515</v>
      </c>
      <c r="P1605" s="3" t="n">
        <f aca="false">(O1605*(N1605/100)*(J1605/1000))*1000</f>
        <v>2.1370804296875</v>
      </c>
      <c r="Q1605" s="3"/>
      <c r="R1605" s="1"/>
      <c r="S1605" s="1"/>
      <c r="T1605" s="1"/>
      <c r="U1605" s="1"/>
      <c r="V1605" s="1"/>
      <c r="W1605" s="1"/>
      <c r="X1605" s="1"/>
      <c r="Y1605" s="5"/>
      <c r="Z1605" s="1"/>
    </row>
    <row r="1606" customFormat="false" ht="15" hidden="false" customHeight="false" outlineLevel="0" collapsed="false">
      <c r="A1606" s="0" t="s">
        <v>71</v>
      </c>
      <c r="B1606" s="0" t="s">
        <v>72</v>
      </c>
      <c r="C1606" s="0" t="s">
        <v>56</v>
      </c>
      <c r="D1606" s="0" t="s">
        <v>161</v>
      </c>
      <c r="E1606" s="0" t="n">
        <v>34</v>
      </c>
      <c r="F1606" s="0" t="n">
        <v>0</v>
      </c>
      <c r="G1606" s="1"/>
      <c r="H1606" s="1"/>
      <c r="I1606" s="0" t="n">
        <v>0</v>
      </c>
      <c r="J1606" s="0" t="n">
        <f aca="false">(I1606/32)*5</f>
        <v>0</v>
      </c>
      <c r="L1606" s="0" t="n">
        <v>0</v>
      </c>
      <c r="M1606" s="0" t="n">
        <v>0</v>
      </c>
      <c r="N1606" s="0" t="n">
        <f aca="false">L1606</f>
        <v>0</v>
      </c>
      <c r="O1606" s="3" t="n">
        <v>0</v>
      </c>
      <c r="P1606" s="3" t="n">
        <f aca="false">(O1606*(N1606/100)*(J1606/1000))*1000</f>
        <v>0</v>
      </c>
      <c r="Q1606" s="3"/>
      <c r="R1606" s="1"/>
      <c r="S1606" s="1"/>
      <c r="T1606" s="1"/>
      <c r="U1606" s="1"/>
      <c r="V1606" s="1"/>
      <c r="W1606" s="1"/>
      <c r="X1606" s="1"/>
      <c r="Y1606" s="5"/>
      <c r="Z1606" s="1"/>
    </row>
    <row r="1607" customFormat="false" ht="15" hidden="false" customHeight="false" outlineLevel="0" collapsed="false">
      <c r="A1607" s="0" t="s">
        <v>73</v>
      </c>
      <c r="B1607" s="0" t="s">
        <v>74</v>
      </c>
      <c r="C1607" s="0" t="s">
        <v>56</v>
      </c>
      <c r="D1607" s="0" t="s">
        <v>161</v>
      </c>
      <c r="E1607" s="0" t="n">
        <v>34</v>
      </c>
      <c r="F1607" s="0" t="n">
        <v>2</v>
      </c>
      <c r="G1607" s="1"/>
      <c r="H1607" s="1"/>
      <c r="I1607" s="0" t="n">
        <f aca="false">32*3+18.1</f>
        <v>114.1</v>
      </c>
      <c r="J1607" s="0" t="n">
        <f aca="false">(I1607/32)*5</f>
        <v>17.828125</v>
      </c>
      <c r="L1607" s="0" t="n">
        <v>22.5</v>
      </c>
      <c r="M1607" s="0" t="n">
        <v>0</v>
      </c>
      <c r="N1607" s="0" t="n">
        <f aca="false">L1607</f>
        <v>22.5</v>
      </c>
      <c r="O1607" s="3" t="n">
        <f aca="false">LOOKUP(L1607,$AB$3:$AC$123)</f>
        <v>1.092175</v>
      </c>
      <c r="P1607" s="3" t="n">
        <f aca="false">(O1607*(N1607/100)*(J1607/1000))*1000</f>
        <v>4.38107229492188</v>
      </c>
      <c r="Q1607" s="3"/>
      <c r="R1607" s="1"/>
      <c r="S1607" s="1"/>
      <c r="T1607" s="1"/>
      <c r="U1607" s="1"/>
      <c r="V1607" s="1"/>
      <c r="W1607" s="1"/>
      <c r="X1607" s="1"/>
      <c r="Y1607" s="5"/>
      <c r="Z1607" s="1"/>
    </row>
    <row r="1608" customFormat="false" ht="15" hidden="false" customHeight="false" outlineLevel="0" collapsed="false">
      <c r="A1608" s="0" t="s">
        <v>75</v>
      </c>
      <c r="B1608" s="0" t="s">
        <v>76</v>
      </c>
      <c r="C1608" s="0" t="s">
        <v>56</v>
      </c>
      <c r="D1608" s="0" t="s">
        <v>161</v>
      </c>
      <c r="E1608" s="0" t="n">
        <v>34</v>
      </c>
      <c r="F1608" s="0" t="n">
        <v>0</v>
      </c>
      <c r="G1608" s="1"/>
      <c r="H1608" s="1"/>
      <c r="I1608" s="0" t="n">
        <v>0</v>
      </c>
      <c r="J1608" s="0" t="n">
        <f aca="false">(I1608/32)*5</f>
        <v>0</v>
      </c>
      <c r="L1608" s="0" t="n">
        <v>0</v>
      </c>
      <c r="M1608" s="0" t="n">
        <v>0</v>
      </c>
      <c r="N1608" s="0" t="n">
        <f aca="false">L1608</f>
        <v>0</v>
      </c>
      <c r="O1608" s="3" t="n">
        <f aca="false">LOOKUP(L1608,$AB$3:$AC$123)</f>
        <v>0.9982</v>
      </c>
      <c r="P1608" s="3" t="n">
        <f aca="false">(O1608*(N1608/100)*(J1608/1000))*1000</f>
        <v>0</v>
      </c>
      <c r="Q1608" s="3"/>
      <c r="R1608" s="1"/>
      <c r="S1608" s="1"/>
      <c r="T1608" s="1"/>
      <c r="U1608" s="1"/>
      <c r="V1608" s="1"/>
      <c r="W1608" s="1"/>
      <c r="X1608" s="1"/>
      <c r="Y1608" s="5"/>
      <c r="Z1608" s="1"/>
    </row>
    <row r="1609" customFormat="false" ht="15" hidden="false" customHeight="false" outlineLevel="0" collapsed="false">
      <c r="A1609" s="0" t="s">
        <v>77</v>
      </c>
      <c r="B1609" s="0" t="s">
        <v>78</v>
      </c>
      <c r="C1609" s="0" t="s">
        <v>56</v>
      </c>
      <c r="D1609" s="0" t="s">
        <v>161</v>
      </c>
      <c r="E1609" s="0" t="n">
        <v>34</v>
      </c>
      <c r="F1609" s="0" t="n">
        <v>1</v>
      </c>
      <c r="G1609" s="1"/>
      <c r="H1609" s="1"/>
      <c r="I1609" s="0" t="n">
        <v>64</v>
      </c>
      <c r="J1609" s="0" t="n">
        <f aca="false">(I1609/32)*5</f>
        <v>10</v>
      </c>
      <c r="L1609" s="0" t="n">
        <v>22.5</v>
      </c>
      <c r="M1609" s="0" t="n">
        <v>0</v>
      </c>
      <c r="N1609" s="0" t="n">
        <f aca="false">L1609</f>
        <v>22.5</v>
      </c>
      <c r="O1609" s="3" t="n">
        <f aca="false">LOOKUP(L1609,$AB$3:$AC$123)</f>
        <v>1.092175</v>
      </c>
      <c r="P1609" s="3" t="n">
        <f aca="false">(O1609*(N1609/100)*(J1609/1000))*1000</f>
        <v>2.45739375</v>
      </c>
      <c r="Q1609" s="3"/>
      <c r="R1609" s="1"/>
      <c r="S1609" s="1"/>
      <c r="T1609" s="1"/>
      <c r="U1609" s="1"/>
      <c r="V1609" s="1"/>
      <c r="W1609" s="1"/>
      <c r="X1609" s="1"/>
      <c r="Y1609" s="5"/>
      <c r="Z1609" s="1"/>
    </row>
    <row r="1610" customFormat="false" ht="15" hidden="false" customHeight="false" outlineLevel="0" collapsed="false">
      <c r="A1610" s="0" t="s">
        <v>79</v>
      </c>
      <c r="B1610" s="0" t="s">
        <v>80</v>
      </c>
      <c r="C1610" s="0" t="s">
        <v>81</v>
      </c>
      <c r="D1610" s="0" t="s">
        <v>161</v>
      </c>
      <c r="E1610" s="0" t="n">
        <v>34</v>
      </c>
      <c r="F1610" s="0" t="n">
        <v>0</v>
      </c>
      <c r="G1610" s="1"/>
      <c r="H1610" s="1"/>
      <c r="I1610" s="0" t="n">
        <v>0</v>
      </c>
      <c r="J1610" s="0" t="n">
        <f aca="false">(I1610/32)*5</f>
        <v>0</v>
      </c>
      <c r="L1610" s="0" t="n">
        <v>0</v>
      </c>
      <c r="M1610" s="0" t="n">
        <v>0</v>
      </c>
      <c r="N1610" s="0" t="n">
        <f aca="false">L1610</f>
        <v>0</v>
      </c>
      <c r="O1610" s="3" t="n">
        <v>0</v>
      </c>
      <c r="P1610" s="3" t="n">
        <f aca="false">(O1610*(N1610/100)*(J1610/1000))*1000</f>
        <v>0</v>
      </c>
      <c r="Q1610" s="3"/>
      <c r="R1610" s="3" t="n">
        <v>0</v>
      </c>
      <c r="S1610" s="3" t="n">
        <v>4.4</v>
      </c>
      <c r="T1610" s="0" t="n">
        <f aca="false">(S1610/32)*5</f>
        <v>0.6875</v>
      </c>
      <c r="V1610" s="0" t="n">
        <v>8</v>
      </c>
      <c r="W1610" s="0" t="n">
        <v>4</v>
      </c>
      <c r="X1610" s="3" t="n">
        <f aca="false">LOOKUP(V1610,$AB$3:$AC$123)</f>
        <v>1.0299</v>
      </c>
      <c r="Y1610" s="2" t="n">
        <f aca="false">(V1610*((W1610+T1610)/1000)*X1610)/((((W1610+T1610)/1000)*X1610)-((W1610/1000)*0.9982))</f>
        <v>46.260958099074</v>
      </c>
      <c r="Z1610" s="3" t="n">
        <f aca="false">(X1610*(V1610/100)*((W1610+T1610)/1000))*1000</f>
        <v>0.3862125</v>
      </c>
    </row>
    <row r="1611" customFormat="false" ht="15" hidden="false" customHeight="false" outlineLevel="0" collapsed="false">
      <c r="A1611" s="0" t="s">
        <v>82</v>
      </c>
      <c r="B1611" s="0" t="s">
        <v>83</v>
      </c>
      <c r="C1611" s="0" t="s">
        <v>81</v>
      </c>
      <c r="D1611" s="0" t="s">
        <v>161</v>
      </c>
      <c r="E1611" s="0" t="n">
        <v>34</v>
      </c>
      <c r="F1611" s="0" t="n">
        <v>1</v>
      </c>
      <c r="G1611" s="1"/>
      <c r="H1611" s="1"/>
      <c r="I1611" s="0" t="n">
        <v>39.9</v>
      </c>
      <c r="J1611" s="0" t="n">
        <f aca="false">(I1611/32)*5</f>
        <v>6.234375</v>
      </c>
      <c r="L1611" s="0" t="n">
        <v>26</v>
      </c>
      <c r="M1611" s="0" t="n">
        <v>0</v>
      </c>
      <c r="N1611" s="0" t="n">
        <f aca="false">L1611</f>
        <v>26</v>
      </c>
      <c r="O1611" s="3" t="n">
        <f aca="false">LOOKUP(L1611,$AB$3:$AC$123)</f>
        <v>1.1081</v>
      </c>
      <c r="P1611" s="3" t="n">
        <f aca="false">(O1611*(N1611/100)*(J1611/1000))*1000</f>
        <v>1.79616084375</v>
      </c>
      <c r="Q1611" s="3"/>
      <c r="R1611" s="0" t="n">
        <v>1</v>
      </c>
      <c r="S1611" s="0" t="n">
        <v>21.7</v>
      </c>
      <c r="T1611" s="0" t="n">
        <f aca="false">(S1611/32)*5</f>
        <v>3.390625</v>
      </c>
      <c r="V1611" s="0" t="n">
        <v>31</v>
      </c>
      <c r="W1611" s="0" t="n">
        <v>4</v>
      </c>
      <c r="X1611" s="3" t="n">
        <f aca="false">LOOKUP(V1611,$AB$3:$AC$123)</f>
        <v>1.1318</v>
      </c>
      <c r="Y1611" s="2" t="n">
        <f aca="false">(V1611*((W1611+T1611)/1000)*X1611)/((((W1611+T1611)/1000)*X1611)-((W1611/1000)*0.9982))</f>
        <v>59.3118402928926</v>
      </c>
      <c r="Z1611" s="3" t="n">
        <f aca="false">(X1611*(V1611/100)*((W1611+T1611)/1000))*1000</f>
        <v>2.59305990625</v>
      </c>
    </row>
    <row r="1612" customFormat="false" ht="15" hidden="false" customHeight="false" outlineLevel="0" collapsed="false">
      <c r="A1612" s="0" t="s">
        <v>84</v>
      </c>
      <c r="B1612" s="0" t="s">
        <v>85</v>
      </c>
      <c r="C1612" s="0" t="s">
        <v>81</v>
      </c>
      <c r="D1612" s="0" t="s">
        <v>161</v>
      </c>
      <c r="E1612" s="0" t="n">
        <v>34</v>
      </c>
      <c r="F1612" s="0" t="n">
        <v>0</v>
      </c>
      <c r="G1612" s="1"/>
      <c r="H1612" s="1"/>
      <c r="I1612" s="0" t="n">
        <v>0</v>
      </c>
      <c r="J1612" s="0" t="n">
        <f aca="false">(I1612/32)*5</f>
        <v>0</v>
      </c>
      <c r="L1612" s="0" t="n">
        <v>0</v>
      </c>
      <c r="M1612" s="0" t="n">
        <v>0</v>
      </c>
      <c r="N1612" s="0" t="n">
        <f aca="false">L1612</f>
        <v>0</v>
      </c>
      <c r="O1612" s="3" t="n">
        <f aca="false">LOOKUP(L1612,$AB$3:$AC$123)</f>
        <v>0.9982</v>
      </c>
      <c r="P1612" s="3" t="n">
        <f aca="false">(O1612*(N1612/100)*(J1612/1000))*1000</f>
        <v>0</v>
      </c>
      <c r="Q1612" s="3"/>
      <c r="R1612" s="0" t="n">
        <v>0</v>
      </c>
      <c r="S1612" s="0" t="n">
        <v>22</v>
      </c>
      <c r="T1612" s="0" t="n">
        <f aca="false">(S1612/32)*5</f>
        <v>3.4375</v>
      </c>
      <c r="V1612" s="0" t="n">
        <v>36</v>
      </c>
      <c r="W1612" s="0" t="n">
        <v>4</v>
      </c>
      <c r="X1612" s="3" t="n">
        <f aca="false">LOOKUP(V1612,$AB$3:$AC$123)</f>
        <v>1.1562</v>
      </c>
      <c r="Y1612" s="2" t="n">
        <f aca="false">(V1612*((W1612+T1612)/1000)*X1612)/((((W1612+T1612)/1000)*X1612)-((W1612/1000)*0.9982))</f>
        <v>67.2043308956216</v>
      </c>
      <c r="Z1612" s="3" t="n">
        <f aca="false">(X1612*(V1612/100)*((W1612+T1612)/1000))*1000</f>
        <v>3.0957255</v>
      </c>
    </row>
    <row r="1613" customFormat="false" ht="15" hidden="false" customHeight="false" outlineLevel="0" collapsed="false">
      <c r="A1613" s="0" t="s">
        <v>86</v>
      </c>
      <c r="B1613" s="0" t="s">
        <v>87</v>
      </c>
      <c r="C1613" s="0" t="s">
        <v>81</v>
      </c>
      <c r="D1613" s="0" t="s">
        <v>161</v>
      </c>
      <c r="E1613" s="0" t="n">
        <v>34</v>
      </c>
      <c r="F1613" s="0" t="n">
        <v>1</v>
      </c>
      <c r="G1613" s="1"/>
      <c r="H1613" s="1"/>
      <c r="I1613" s="0" t="n">
        <v>28.7</v>
      </c>
      <c r="J1613" s="0" t="n">
        <f aca="false">(I1613/32)*5</f>
        <v>4.484375</v>
      </c>
      <c r="L1613" s="0" t="n">
        <v>26.5</v>
      </c>
      <c r="M1613" s="0" t="n">
        <v>0</v>
      </c>
      <c r="N1613" s="0" t="n">
        <f aca="false">L1613</f>
        <v>26.5</v>
      </c>
      <c r="O1613" s="3" t="n">
        <f aca="false">LOOKUP(L1613,$AB$3:$AC$123)</f>
        <v>1.11045</v>
      </c>
      <c r="P1613" s="3" t="n">
        <f aca="false">(O1613*(N1613/100)*(J1613/1000))*1000</f>
        <v>1.31961366796875</v>
      </c>
      <c r="Q1613" s="3"/>
      <c r="R1613" s="0" t="n">
        <v>1</v>
      </c>
      <c r="S1613" s="0" t="n">
        <v>18.1</v>
      </c>
      <c r="T1613" s="0" t="n">
        <f aca="false">(S1613/32)*5</f>
        <v>2.828125</v>
      </c>
      <c r="V1613" s="0" t="n">
        <v>28.5</v>
      </c>
      <c r="W1613" s="0" t="n">
        <v>4</v>
      </c>
      <c r="X1613" s="3" t="n">
        <f aca="false">LOOKUP(V1613,$AB$3:$AC$123)</f>
        <v>1.119875</v>
      </c>
      <c r="Y1613" s="2" t="n">
        <f aca="false">(V1613*((W1613+T1613)/1000)*X1613)/((((W1613+T1613)/1000)*X1613)-((W1613/1000)*0.9982))</f>
        <v>59.6438371827121</v>
      </c>
      <c r="Z1613" s="3" t="n">
        <f aca="false">(X1613*(V1613/100)*((W1613+T1613)/1000))*1000</f>
        <v>2.17929424804687</v>
      </c>
    </row>
    <row r="1614" customFormat="false" ht="15" hidden="false" customHeight="false" outlineLevel="0" collapsed="false">
      <c r="A1614" s="0" t="s">
        <v>88</v>
      </c>
      <c r="B1614" s="0" t="s">
        <v>89</v>
      </c>
      <c r="C1614" s="0" t="s">
        <v>81</v>
      </c>
      <c r="D1614" s="0" t="s">
        <v>161</v>
      </c>
      <c r="E1614" s="0" t="n">
        <v>34</v>
      </c>
      <c r="F1614" s="0" t="n">
        <v>0</v>
      </c>
      <c r="G1614" s="1"/>
      <c r="H1614" s="1"/>
      <c r="I1614" s="0" t="n">
        <v>0</v>
      </c>
      <c r="J1614" s="0" t="n">
        <f aca="false">(I1614/32)*5</f>
        <v>0</v>
      </c>
      <c r="L1614" s="0" t="n">
        <v>0</v>
      </c>
      <c r="M1614" s="0" t="n">
        <v>0</v>
      </c>
      <c r="N1614" s="0" t="n">
        <f aca="false">L1614</f>
        <v>0</v>
      </c>
      <c r="O1614" s="3" t="n">
        <v>0</v>
      </c>
      <c r="P1614" s="3" t="n">
        <f aca="false">(O1614*(N1614/100)*(J1614/1000))*1000</f>
        <v>0</v>
      </c>
      <c r="Q1614" s="3"/>
      <c r="R1614" s="3" t="n">
        <v>0</v>
      </c>
      <c r="S1614" s="3" t="n">
        <v>20.5</v>
      </c>
      <c r="T1614" s="0" t="n">
        <f aca="false">(S1614/32)*5</f>
        <v>3.203125</v>
      </c>
      <c r="V1614" s="0" t="n">
        <v>33</v>
      </c>
      <c r="W1614" s="0" t="n">
        <v>4</v>
      </c>
      <c r="X1614" s="3" t="n">
        <f aca="false">LOOKUP(V1614,$AB$3:$AC$123)</f>
        <v>1.1415</v>
      </c>
      <c r="Y1614" s="2" t="n">
        <f aca="false">(V1614*((W1614+T1614)/1000)*X1614)/((((W1614+T1614)/1000)*X1614)-((W1614/1000)*0.9982))</f>
        <v>64.1526910813496</v>
      </c>
      <c r="Z1614" s="3" t="n">
        <f aca="false">(X1614*(V1614/100)*((W1614+T1614)/1000))*1000</f>
        <v>2.713381171875</v>
      </c>
    </row>
    <row r="1615" customFormat="false" ht="15" hidden="false" customHeight="false" outlineLevel="0" collapsed="false">
      <c r="A1615" s="0" t="s">
        <v>90</v>
      </c>
      <c r="B1615" s="0" t="s">
        <v>91</v>
      </c>
      <c r="C1615" s="0" t="s">
        <v>81</v>
      </c>
      <c r="D1615" s="0" t="s">
        <v>161</v>
      </c>
      <c r="E1615" s="0" t="n">
        <v>34</v>
      </c>
      <c r="F1615" s="0" t="n">
        <v>1</v>
      </c>
      <c r="G1615" s="1"/>
      <c r="H1615" s="1"/>
      <c r="I1615" s="0" t="n">
        <f aca="false">32+18.1</f>
        <v>50.1</v>
      </c>
      <c r="J1615" s="0" t="n">
        <f aca="false">(I1615/32)*5</f>
        <v>7.828125</v>
      </c>
      <c r="L1615" s="0" t="n">
        <v>21</v>
      </c>
      <c r="M1615" s="0" t="n">
        <v>0</v>
      </c>
      <c r="N1615" s="0" t="n">
        <f aca="false">L1615</f>
        <v>21</v>
      </c>
      <c r="O1615" s="3" t="n">
        <f aca="false">LOOKUP(L1615,$AB$3:$AC$123)</f>
        <v>1.08545</v>
      </c>
      <c r="P1615" s="3" t="n">
        <f aca="false">(O1615*(N1615/100)*(J1615/1000))*1000</f>
        <v>1.7843780390625</v>
      </c>
      <c r="Q1615" s="3"/>
      <c r="R1615" s="3" t="n">
        <v>1</v>
      </c>
      <c r="S1615" s="3" t="n">
        <v>15.5</v>
      </c>
      <c r="T1615" s="0" t="n">
        <f aca="false">(S1615/32)*5</f>
        <v>2.421875</v>
      </c>
      <c r="V1615" s="0" t="n">
        <v>22</v>
      </c>
      <c r="W1615" s="0" t="n">
        <v>4</v>
      </c>
      <c r="X1615" s="3" t="n">
        <f aca="false">LOOKUP(V1615,$AB$3:$AC$123)</f>
        <v>1.0899</v>
      </c>
      <c r="Y1615" s="2" t="n">
        <f aca="false">(V1615*((W1615+T1615)/1000)*X1615)/((((W1615+T1615)/1000)*X1615)-((W1615/1000)*0.9982))</f>
        <v>51.2181859854259</v>
      </c>
      <c r="Z1615" s="3" t="n">
        <f aca="false">(X1615*(V1615/100)*((W1615+T1615)/1000))*1000</f>
        <v>1.53982434375</v>
      </c>
    </row>
    <row r="1616" customFormat="false" ht="15" hidden="false" customHeight="false" outlineLevel="0" collapsed="false">
      <c r="A1616" s="0" t="s">
        <v>92</v>
      </c>
      <c r="B1616" s="0" t="s">
        <v>93</v>
      </c>
      <c r="C1616" s="0" t="s">
        <v>81</v>
      </c>
      <c r="D1616" s="0" t="s">
        <v>161</v>
      </c>
      <c r="E1616" s="0" t="n">
        <v>34</v>
      </c>
      <c r="F1616" s="0" t="n">
        <v>1</v>
      </c>
      <c r="G1616" s="1"/>
      <c r="H1616" s="1"/>
      <c r="I1616" s="0" t="n">
        <v>44.1</v>
      </c>
      <c r="J1616" s="0" t="n">
        <f aca="false">(I1616/32)*5</f>
        <v>6.890625</v>
      </c>
      <c r="L1616" s="0" t="n">
        <v>20</v>
      </c>
      <c r="M1616" s="0" t="n">
        <v>0</v>
      </c>
      <c r="N1616" s="0" t="n">
        <f aca="false">L1616</f>
        <v>20</v>
      </c>
      <c r="O1616" s="3" t="n">
        <f aca="false">LOOKUP(L1616,$AB$3:$AC$123)</f>
        <v>1.081</v>
      </c>
      <c r="P1616" s="3" t="n">
        <f aca="false">(O1616*(N1616/100)*(J1616/1000))*1000</f>
        <v>1.489753125</v>
      </c>
      <c r="Q1616" s="3"/>
      <c r="R1616" s="3" t="n">
        <v>1</v>
      </c>
      <c r="S1616" s="3" t="n">
        <v>7.2</v>
      </c>
      <c r="T1616" s="0" t="n">
        <f aca="false">(S1616/32)*5</f>
        <v>1.125</v>
      </c>
      <c r="V1616" s="0" t="n">
        <v>14</v>
      </c>
      <c r="W1616" s="0" t="n">
        <v>4</v>
      </c>
      <c r="X1616" s="3" t="n">
        <f aca="false">LOOKUP(V1616,$AB$3:$AC$123)</f>
        <v>1.0549</v>
      </c>
      <c r="Y1616" s="2" t="n">
        <f aca="false">(V1616*((W1616+T1616)/1000)*X1616)/((((W1616+T1616)/1000)*X1616)-((W1616/1000)*0.9982))</f>
        <v>53.5449086969978</v>
      </c>
      <c r="Z1616" s="3" t="n">
        <f aca="false">(X1616*(V1616/100)*((W1616+T1616)/1000))*1000</f>
        <v>0.75689075</v>
      </c>
    </row>
    <row r="1617" customFormat="false" ht="15" hidden="false" customHeight="false" outlineLevel="0" collapsed="false">
      <c r="A1617" s="0" t="s">
        <v>94</v>
      </c>
      <c r="B1617" s="0" t="s">
        <v>95</v>
      </c>
      <c r="C1617" s="0" t="s">
        <v>81</v>
      </c>
      <c r="D1617" s="0" t="s">
        <v>161</v>
      </c>
      <c r="E1617" s="0" t="n">
        <v>34</v>
      </c>
      <c r="F1617" s="0" t="n">
        <v>3</v>
      </c>
      <c r="G1617" s="1"/>
      <c r="H1617" s="1"/>
      <c r="I1617" s="0" t="n">
        <f aca="false">32*5</f>
        <v>160</v>
      </c>
      <c r="J1617" s="0" t="n">
        <f aca="false">(I1617/32)*5</f>
        <v>25</v>
      </c>
      <c r="L1617" s="0" t="n">
        <v>21</v>
      </c>
      <c r="M1617" s="0" t="n">
        <v>0</v>
      </c>
      <c r="N1617" s="0" t="n">
        <f aca="false">L1617</f>
        <v>21</v>
      </c>
      <c r="O1617" s="3" t="n">
        <f aca="false">LOOKUP(L1617,$AB$3:$AC$123)</f>
        <v>1.08545</v>
      </c>
      <c r="P1617" s="3" t="n">
        <f aca="false">(O1617*(N1617/100)*(J1617/1000))*1000</f>
        <v>5.6986125</v>
      </c>
      <c r="Q1617" s="3"/>
      <c r="R1617" s="3" t="n">
        <v>3</v>
      </c>
      <c r="S1617" s="3" t="n">
        <v>7.8</v>
      </c>
      <c r="T1617" s="0" t="n">
        <f aca="false">(S1617/32)*5</f>
        <v>1.21875</v>
      </c>
      <c r="V1617" s="0" t="n">
        <v>13</v>
      </c>
      <c r="W1617" s="0" t="n">
        <v>4</v>
      </c>
      <c r="X1617" s="3" t="n">
        <f aca="false">LOOKUP(V1617,$AB$3:$AC$123)</f>
        <v>1.0507</v>
      </c>
      <c r="Y1617" s="2" t="n">
        <f aca="false">(V1617*((W1617+T1617)/1000)*X1617)/((((W1617+T1617)/1000)*X1617)-((W1617/1000)*0.9982))</f>
        <v>47.8238747266617</v>
      </c>
      <c r="Z1617" s="3" t="n">
        <f aca="false">(X1617*(V1617/100)*((W1617+T1617)/1000))*1000</f>
        <v>0.71283428125</v>
      </c>
    </row>
    <row r="1618" customFormat="false" ht="15" hidden="false" customHeight="false" outlineLevel="0" collapsed="false">
      <c r="A1618" s="0" t="s">
        <v>96</v>
      </c>
      <c r="B1618" s="0" t="s">
        <v>97</v>
      </c>
      <c r="C1618" s="0" t="s">
        <v>81</v>
      </c>
      <c r="D1618" s="0" t="s">
        <v>161</v>
      </c>
      <c r="E1618" s="0" t="n">
        <v>34</v>
      </c>
      <c r="F1618" s="0" t="n">
        <v>0</v>
      </c>
      <c r="G1618" s="1"/>
      <c r="H1618" s="1"/>
      <c r="I1618" s="0" t="n">
        <v>0</v>
      </c>
      <c r="J1618" s="0" t="n">
        <f aca="false">(I1618/32)*5</f>
        <v>0</v>
      </c>
      <c r="L1618" s="0" t="n">
        <v>0</v>
      </c>
      <c r="M1618" s="0" t="n">
        <v>0</v>
      </c>
      <c r="N1618" s="0" t="n">
        <f aca="false">L1618</f>
        <v>0</v>
      </c>
      <c r="O1618" s="3" t="n">
        <v>0</v>
      </c>
      <c r="P1618" s="3" t="n">
        <f aca="false">(O1618*(N1618/100)*(J1618/1000))*1000</f>
        <v>0</v>
      </c>
      <c r="Q1618" s="3"/>
      <c r="R1618" s="3" t="n">
        <v>0</v>
      </c>
      <c r="S1618" s="3" t="n">
        <v>2.9</v>
      </c>
      <c r="T1618" s="0" t="n">
        <f aca="false">(S1618/32)*5</f>
        <v>0.453125</v>
      </c>
      <c r="V1618" s="0" t="n">
        <v>7</v>
      </c>
      <c r="W1618" s="0" t="n">
        <v>4</v>
      </c>
      <c r="X1618" s="3" t="n">
        <f aca="false">LOOKUP(V1618,$AB$3:$AC$123)</f>
        <v>1.0259</v>
      </c>
      <c r="Y1618" s="2" t="n">
        <f aca="false">(V1618*((W1618+T1618)/1000)*X1618)/((((W1618+T1618)/1000)*X1618)-((W1618/1000)*0.9982))</f>
        <v>55.5521913669886</v>
      </c>
      <c r="Z1618" s="3" t="n">
        <f aca="false">(X1618*(V1618/100)*((W1618+T1618)/1000))*1000</f>
        <v>0.319792265625</v>
      </c>
    </row>
    <row r="1619" customFormat="false" ht="15" hidden="false" customHeight="false" outlineLevel="0" collapsed="false">
      <c r="A1619" s="0" t="s">
        <v>98</v>
      </c>
      <c r="B1619" s="0" t="s">
        <v>99</v>
      </c>
      <c r="C1619" s="0" t="s">
        <v>81</v>
      </c>
      <c r="D1619" s="0" t="s">
        <v>161</v>
      </c>
      <c r="E1619" s="0" t="n">
        <v>34</v>
      </c>
      <c r="F1619" s="0" t="n">
        <v>1</v>
      </c>
      <c r="G1619" s="1"/>
      <c r="H1619" s="1"/>
      <c r="I1619" s="0" t="n">
        <v>38.5</v>
      </c>
      <c r="J1619" s="0" t="n">
        <f aca="false">(I1619/32)*5</f>
        <v>6.015625</v>
      </c>
      <c r="L1619" s="0" t="n">
        <v>24</v>
      </c>
      <c r="M1619" s="0" t="n">
        <v>0</v>
      </c>
      <c r="N1619" s="0" t="n">
        <f aca="false">L1619</f>
        <v>24</v>
      </c>
      <c r="O1619" s="3" t="n">
        <f aca="false">LOOKUP(L1619,$AB$3:$AC$123)</f>
        <v>1.099</v>
      </c>
      <c r="P1619" s="3" t="n">
        <f aca="false">(O1619*(N1619/100)*(J1619/1000))*1000</f>
        <v>1.58668125</v>
      </c>
      <c r="Q1619" s="3"/>
      <c r="R1619" s="3" t="n">
        <v>1</v>
      </c>
      <c r="S1619" s="3" t="n">
        <v>2.2</v>
      </c>
      <c r="T1619" s="0" t="n">
        <f aca="false">(S1619/32)*5</f>
        <v>0.34375</v>
      </c>
      <c r="V1619" s="0" t="n">
        <v>6</v>
      </c>
      <c r="W1619" s="0" t="n">
        <v>4</v>
      </c>
      <c r="X1619" s="3" t="n">
        <f aca="false">LOOKUP(V1619,$AB$3:$AC$123)</f>
        <v>1.0218</v>
      </c>
      <c r="Y1619" s="2" t="n">
        <f aca="false">(V1619*((W1619+T1619)/1000)*X1619)/((((W1619+T1619)/1000)*X1619)-((W1619/1000)*0.9982))</f>
        <v>59.7577381035861</v>
      </c>
      <c r="Z1619" s="3" t="n">
        <f aca="false">(X1619*(V1619/100)*((W1619+T1619)/1000))*1000</f>
        <v>0.266306625</v>
      </c>
    </row>
    <row r="1620" customFormat="false" ht="15" hidden="false" customHeight="false" outlineLevel="0" collapsed="false">
      <c r="A1620" s="0" t="s">
        <v>100</v>
      </c>
      <c r="B1620" s="0" t="s">
        <v>101</v>
      </c>
      <c r="C1620" s="0" t="s">
        <v>81</v>
      </c>
      <c r="D1620" s="0" t="s">
        <v>161</v>
      </c>
      <c r="E1620" s="0" t="n">
        <v>34</v>
      </c>
      <c r="F1620" s="0" t="n">
        <v>0</v>
      </c>
      <c r="G1620" s="1"/>
      <c r="H1620" s="1"/>
      <c r="I1620" s="0" t="n">
        <v>0</v>
      </c>
      <c r="J1620" s="0" t="n">
        <f aca="false">(I1620/32)*5</f>
        <v>0</v>
      </c>
      <c r="L1620" s="0" t="n">
        <v>0</v>
      </c>
      <c r="M1620" s="0" t="n">
        <v>0</v>
      </c>
      <c r="N1620" s="0" t="n">
        <f aca="false">L1620</f>
        <v>0</v>
      </c>
      <c r="O1620" s="3" t="n">
        <v>0</v>
      </c>
      <c r="P1620" s="3" t="n">
        <f aca="false">(O1620*(N1620/100)*(J1620/1000))*1000</f>
        <v>0</v>
      </c>
      <c r="Q1620" s="3"/>
      <c r="R1620" s="3" t="n">
        <v>0</v>
      </c>
      <c r="S1620" s="3" t="n">
        <v>0</v>
      </c>
      <c r="T1620" s="0" t="n">
        <f aca="false">(S1620/32)*5</f>
        <v>0</v>
      </c>
      <c r="V1620" s="0" t="n">
        <v>0</v>
      </c>
      <c r="W1620" s="0" t="n">
        <v>0</v>
      </c>
      <c r="X1620" s="3" t="n">
        <f aca="false">LOOKUP(V1620,$AB$3:$AC$123)</f>
        <v>0.9982</v>
      </c>
      <c r="Y1620" s="2" t="n">
        <v>0</v>
      </c>
      <c r="Z1620" s="3" t="n">
        <f aca="false">(X1620*(V1620/100)*((W1620+T1620)/1000))*1000</f>
        <v>0</v>
      </c>
    </row>
    <row r="1621" customFormat="false" ht="15" hidden="false" customHeight="false" outlineLevel="0" collapsed="false">
      <c r="A1621" s="0" t="s">
        <v>102</v>
      </c>
      <c r="B1621" s="0" t="s">
        <v>103</v>
      </c>
      <c r="C1621" s="0" t="s">
        <v>81</v>
      </c>
      <c r="D1621" s="0" t="s">
        <v>161</v>
      </c>
      <c r="E1621" s="0" t="n">
        <v>34</v>
      </c>
      <c r="F1621" s="0" t="n">
        <v>0</v>
      </c>
      <c r="G1621" s="1"/>
      <c r="H1621" s="1"/>
      <c r="I1621" s="0" t="n">
        <v>0</v>
      </c>
      <c r="J1621" s="0" t="n">
        <f aca="false">(I1621/32)*5</f>
        <v>0</v>
      </c>
      <c r="L1621" s="0" t="n">
        <v>0</v>
      </c>
      <c r="M1621" s="0" t="n">
        <v>0</v>
      </c>
      <c r="N1621" s="0" t="n">
        <f aca="false">L1621</f>
        <v>0</v>
      </c>
      <c r="O1621" s="3" t="n">
        <v>0</v>
      </c>
      <c r="P1621" s="3" t="n">
        <f aca="false">(O1621*(N1621/100)*(J1621/1000))*1000</f>
        <v>0</v>
      </c>
      <c r="Q1621" s="3"/>
      <c r="R1621" s="3" t="n">
        <v>0</v>
      </c>
      <c r="S1621" s="3" t="n">
        <v>3.6</v>
      </c>
      <c r="T1621" s="0" t="n">
        <f aca="false">(S1621/32)*5</f>
        <v>0.5625</v>
      </c>
      <c r="V1621" s="0" t="n">
        <v>4.5</v>
      </c>
      <c r="W1621" s="0" t="n">
        <v>4</v>
      </c>
      <c r="X1621" s="3" t="n">
        <f aca="false">LOOKUP(V1621,$AB$3:$AC$123)</f>
        <v>1.0159</v>
      </c>
      <c r="Y1621" s="2" t="n">
        <f aca="false">(V1621*((W1621+T1621)/1000)*X1621)/((((W1621+T1621)/1000)*X1621)-((W1621/1000)*0.9982))</f>
        <v>32.4762940472368</v>
      </c>
      <c r="Z1621" s="3" t="n">
        <f aca="false">(X1621*(V1621/100)*((W1621+T1621)/1000))*1000</f>
        <v>0.20857696875</v>
      </c>
    </row>
    <row r="1622" customFormat="false" ht="15" hidden="false" customHeight="false" outlineLevel="0" collapsed="false">
      <c r="A1622" s="0" t="s">
        <v>104</v>
      </c>
      <c r="B1622" s="0" t="s">
        <v>105</v>
      </c>
      <c r="C1622" s="0" t="s">
        <v>106</v>
      </c>
      <c r="D1622" s="0" t="s">
        <v>161</v>
      </c>
      <c r="E1622" s="0" t="n">
        <v>34</v>
      </c>
      <c r="F1622" s="0" t="n">
        <v>0</v>
      </c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3" t="n">
        <v>9</v>
      </c>
      <c r="S1622" s="1"/>
      <c r="T1622" s="1"/>
      <c r="U1622" s="1"/>
      <c r="V1622" s="1"/>
      <c r="W1622" s="1"/>
      <c r="X1622" s="1"/>
      <c r="Y1622" s="5"/>
      <c r="Z1622" s="1"/>
    </row>
    <row r="1623" customFormat="false" ht="15" hidden="false" customHeight="false" outlineLevel="0" collapsed="false">
      <c r="A1623" s="0" t="s">
        <v>107</v>
      </c>
      <c r="B1623" s="0" t="s">
        <v>37</v>
      </c>
      <c r="C1623" s="0" t="s">
        <v>106</v>
      </c>
      <c r="D1623" s="0" t="s">
        <v>161</v>
      </c>
      <c r="E1623" s="0" t="n">
        <v>34</v>
      </c>
      <c r="F1623" s="0" t="n">
        <v>0</v>
      </c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3" t="n">
        <v>8</v>
      </c>
      <c r="S1623" s="1"/>
      <c r="T1623" s="1"/>
      <c r="U1623" s="1"/>
      <c r="V1623" s="1"/>
      <c r="W1623" s="1"/>
      <c r="X1623" s="1"/>
      <c r="Y1623" s="5"/>
      <c r="Z1623" s="1"/>
    </row>
    <row r="1624" customFormat="false" ht="15" hidden="false" customHeight="false" outlineLevel="0" collapsed="false">
      <c r="A1624" s="0" t="s">
        <v>108</v>
      </c>
      <c r="B1624" s="0" t="s">
        <v>109</v>
      </c>
      <c r="C1624" s="0" t="s">
        <v>106</v>
      </c>
      <c r="D1624" s="0" t="s">
        <v>161</v>
      </c>
      <c r="E1624" s="0" t="n">
        <v>34</v>
      </c>
      <c r="F1624" s="0" t="n">
        <v>1</v>
      </c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3" t="n">
        <v>13</v>
      </c>
      <c r="S1624" s="1"/>
      <c r="T1624" s="1"/>
      <c r="U1624" s="1"/>
      <c r="V1624" s="1"/>
      <c r="W1624" s="1"/>
      <c r="X1624" s="1"/>
      <c r="Y1624" s="5"/>
      <c r="Z1624" s="1"/>
    </row>
    <row r="1625" customFormat="false" ht="15" hidden="false" customHeight="false" outlineLevel="0" collapsed="false">
      <c r="A1625" s="0" t="s">
        <v>110</v>
      </c>
      <c r="B1625" s="0" t="s">
        <v>111</v>
      </c>
      <c r="C1625" s="0" t="s">
        <v>106</v>
      </c>
      <c r="D1625" s="0" t="s">
        <v>161</v>
      </c>
      <c r="E1625" s="0" t="n">
        <v>34</v>
      </c>
      <c r="F1625" s="0" t="n">
        <v>0</v>
      </c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3" t="n">
        <v>7</v>
      </c>
      <c r="S1625" s="1"/>
      <c r="T1625" s="1"/>
      <c r="U1625" s="1"/>
      <c r="V1625" s="1"/>
      <c r="W1625" s="1"/>
      <c r="X1625" s="1"/>
      <c r="Y1625" s="5"/>
      <c r="Z1625" s="1"/>
    </row>
    <row r="1626" customFormat="false" ht="15" hidden="false" customHeight="false" outlineLevel="0" collapsed="false">
      <c r="A1626" s="0" t="s">
        <v>112</v>
      </c>
      <c r="B1626" s="0" t="s">
        <v>113</v>
      </c>
      <c r="C1626" s="0" t="s">
        <v>106</v>
      </c>
      <c r="D1626" s="0" t="s">
        <v>161</v>
      </c>
      <c r="E1626" s="0" t="n">
        <v>34</v>
      </c>
      <c r="F1626" s="0" t="n">
        <v>1</v>
      </c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3" t="n">
        <v>7</v>
      </c>
      <c r="S1626" s="1"/>
      <c r="T1626" s="1"/>
      <c r="U1626" s="1"/>
      <c r="V1626" s="1"/>
      <c r="W1626" s="1"/>
      <c r="X1626" s="1"/>
      <c r="Y1626" s="5"/>
      <c r="Z1626" s="1"/>
    </row>
    <row r="1627" customFormat="false" ht="15" hidden="false" customHeight="false" outlineLevel="0" collapsed="false">
      <c r="A1627" s="0" t="s">
        <v>114</v>
      </c>
      <c r="B1627" s="0" t="s">
        <v>115</v>
      </c>
      <c r="C1627" s="0" t="s">
        <v>106</v>
      </c>
      <c r="D1627" s="0" t="s">
        <v>161</v>
      </c>
      <c r="E1627" s="0" t="n">
        <v>34</v>
      </c>
      <c r="F1627" s="0" t="n">
        <v>2</v>
      </c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3" t="n">
        <v>5</v>
      </c>
      <c r="S1627" s="1"/>
      <c r="T1627" s="1"/>
      <c r="U1627" s="1"/>
      <c r="V1627" s="1"/>
      <c r="W1627" s="1"/>
      <c r="X1627" s="1"/>
      <c r="Y1627" s="5"/>
      <c r="Z1627" s="1"/>
    </row>
    <row r="1628" customFormat="false" ht="15" hidden="false" customHeight="false" outlineLevel="0" collapsed="false">
      <c r="A1628" s="0" t="s">
        <v>116</v>
      </c>
      <c r="B1628" s="0" t="s">
        <v>117</v>
      </c>
      <c r="C1628" s="0" t="s">
        <v>106</v>
      </c>
      <c r="D1628" s="0" t="s">
        <v>161</v>
      </c>
      <c r="E1628" s="0" t="n">
        <v>34</v>
      </c>
      <c r="F1628" s="0" t="n">
        <v>0</v>
      </c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3" t="n">
        <v>6</v>
      </c>
      <c r="S1628" s="1"/>
      <c r="T1628" s="1"/>
      <c r="U1628" s="1"/>
      <c r="V1628" s="1"/>
      <c r="W1628" s="1"/>
      <c r="X1628" s="1"/>
      <c r="Y1628" s="5"/>
      <c r="Z1628" s="1"/>
    </row>
    <row r="1629" customFormat="false" ht="15" hidden="false" customHeight="false" outlineLevel="0" collapsed="false">
      <c r="A1629" s="0" t="s">
        <v>118</v>
      </c>
      <c r="B1629" s="0" t="s">
        <v>119</v>
      </c>
      <c r="C1629" s="0" t="s">
        <v>106</v>
      </c>
      <c r="D1629" s="0" t="s">
        <v>161</v>
      </c>
      <c r="E1629" s="0" t="n">
        <v>34</v>
      </c>
      <c r="F1629" s="0" t="n">
        <v>1</v>
      </c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3" t="n">
        <v>13</v>
      </c>
      <c r="S1629" s="1"/>
      <c r="T1629" s="1"/>
      <c r="U1629" s="1"/>
      <c r="V1629" s="1"/>
      <c r="W1629" s="1"/>
      <c r="X1629" s="1"/>
      <c r="Y1629" s="5"/>
      <c r="Z1629" s="1"/>
    </row>
    <row r="1630" customFormat="false" ht="15" hidden="false" customHeight="false" outlineLevel="0" collapsed="false">
      <c r="A1630" s="0" t="s">
        <v>120</v>
      </c>
      <c r="B1630" s="0" t="s">
        <v>121</v>
      </c>
      <c r="C1630" s="0" t="s">
        <v>106</v>
      </c>
      <c r="D1630" s="0" t="s">
        <v>161</v>
      </c>
      <c r="E1630" s="0" t="n">
        <v>34</v>
      </c>
      <c r="F1630" s="0" t="n">
        <v>2</v>
      </c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3" t="n">
        <v>11</v>
      </c>
      <c r="S1630" s="1"/>
      <c r="T1630" s="1"/>
      <c r="U1630" s="1"/>
      <c r="V1630" s="1"/>
      <c r="W1630" s="1"/>
      <c r="X1630" s="1"/>
      <c r="Y1630" s="5"/>
      <c r="Z1630" s="1"/>
    </row>
    <row r="1631" customFormat="false" ht="15" hidden="false" customHeight="false" outlineLevel="0" collapsed="false">
      <c r="A1631" s="0" t="s">
        <v>122</v>
      </c>
      <c r="B1631" s="0" t="s">
        <v>123</v>
      </c>
      <c r="C1631" s="0" t="s">
        <v>106</v>
      </c>
      <c r="D1631" s="0" t="s">
        <v>161</v>
      </c>
      <c r="E1631" s="0" t="n">
        <v>34</v>
      </c>
      <c r="F1631" s="0" t="n">
        <v>0</v>
      </c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3" t="n">
        <v>20</v>
      </c>
      <c r="S1631" s="1"/>
      <c r="T1631" s="1"/>
      <c r="U1631" s="1"/>
      <c r="V1631" s="1"/>
      <c r="W1631" s="1"/>
      <c r="X1631" s="1"/>
      <c r="Y1631" s="5"/>
      <c r="Z1631" s="1"/>
    </row>
    <row r="1632" customFormat="false" ht="15" hidden="false" customHeight="false" outlineLevel="0" collapsed="false">
      <c r="A1632" s="0" t="s">
        <v>124</v>
      </c>
      <c r="B1632" s="0" t="s">
        <v>125</v>
      </c>
      <c r="C1632" s="0" t="s">
        <v>106</v>
      </c>
      <c r="D1632" s="0" t="s">
        <v>161</v>
      </c>
      <c r="E1632" s="0" t="n">
        <v>34</v>
      </c>
      <c r="F1632" s="0" t="n">
        <v>3</v>
      </c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3" t="n">
        <v>13</v>
      </c>
      <c r="S1632" s="1"/>
      <c r="T1632" s="1"/>
      <c r="U1632" s="1"/>
      <c r="V1632" s="1"/>
      <c r="W1632" s="1"/>
      <c r="X1632" s="1"/>
      <c r="Y1632" s="5"/>
      <c r="Z1632" s="1"/>
    </row>
    <row r="1633" customFormat="false" ht="15" hidden="false" customHeight="false" outlineLevel="0" collapsed="false">
      <c r="A1633" s="0" t="s">
        <v>126</v>
      </c>
      <c r="B1633" s="0" t="s">
        <v>127</v>
      </c>
      <c r="C1633" s="0" t="s">
        <v>106</v>
      </c>
      <c r="D1633" s="0" t="s">
        <v>161</v>
      </c>
      <c r="E1633" s="0" t="n">
        <v>34</v>
      </c>
      <c r="F1633" s="0" t="n">
        <v>2</v>
      </c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3" t="n">
        <v>10</v>
      </c>
      <c r="S1633" s="1"/>
      <c r="T1633" s="1"/>
      <c r="U1633" s="1"/>
      <c r="V1633" s="1"/>
      <c r="W1633" s="1"/>
      <c r="X1633" s="1"/>
      <c r="Y1633" s="5"/>
      <c r="Z1633" s="1"/>
    </row>
    <row r="1634" customFormat="false" ht="15" hidden="false" customHeight="false" outlineLevel="0" collapsed="false">
      <c r="A1634" s="0" t="s">
        <v>26</v>
      </c>
      <c r="B1634" s="0" t="s">
        <v>27</v>
      </c>
      <c r="C1634" s="0" t="s">
        <v>28</v>
      </c>
      <c r="D1634" s="0" t="s">
        <v>162</v>
      </c>
      <c r="E1634" s="0" t="n">
        <v>35</v>
      </c>
      <c r="F1634" s="0" t="n">
        <v>2</v>
      </c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3" t="n">
        <v>3</v>
      </c>
      <c r="S1634" s="0" t="n">
        <v>17.7</v>
      </c>
      <c r="T1634" s="0" t="n">
        <f aca="false">(S1634/32)*5</f>
        <v>2.765625</v>
      </c>
      <c r="V1634" s="0" t="n">
        <v>33</v>
      </c>
      <c r="W1634" s="0" t="n">
        <v>4</v>
      </c>
      <c r="X1634" s="3" t="n">
        <f aca="false">LOOKUP(V1634,$AB$3:$AC$123)</f>
        <v>1.1415</v>
      </c>
      <c r="Y1634" s="2" t="n">
        <f aca="false">(V1634*((W1634+T1634)/1000)*X1634)/((((W1634+T1634)/1000)*X1634)-((W1634/1000)*0.9982))</f>
        <v>68.323516118398</v>
      </c>
      <c r="Z1634" s="3" t="n">
        <f aca="false">(X1634*(V1634/100)*((W1634+T1634)/1000))*1000</f>
        <v>2.548577109375</v>
      </c>
    </row>
    <row r="1635" customFormat="false" ht="15" hidden="false" customHeight="false" outlineLevel="0" collapsed="false">
      <c r="A1635" s="0" t="s">
        <v>32</v>
      </c>
      <c r="B1635" s="0" t="s">
        <v>33</v>
      </c>
      <c r="C1635" s="0" t="s">
        <v>28</v>
      </c>
      <c r="D1635" s="0" t="s">
        <v>162</v>
      </c>
      <c r="E1635" s="0" t="n">
        <v>35</v>
      </c>
      <c r="F1635" s="0" t="n">
        <v>4</v>
      </c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3" t="n">
        <v>6</v>
      </c>
      <c r="S1635" s="0" t="n">
        <v>16.9</v>
      </c>
      <c r="T1635" s="0" t="n">
        <f aca="false">(S1635/32)*5</f>
        <v>2.640625</v>
      </c>
      <c r="V1635" s="0" t="n">
        <v>30.5</v>
      </c>
      <c r="W1635" s="0" t="n">
        <v>4</v>
      </c>
      <c r="X1635" s="3" t="n">
        <f aca="false">LOOKUP(V1635,$AB$3:$AC$123)</f>
        <v>1.1294</v>
      </c>
      <c r="Y1635" s="2" t="n">
        <f aca="false">(V1635*((W1635+T1635)/1000)*X1635)/((((W1635+T1635)/1000)*X1635)-((W1635/1000)*0.9982))</f>
        <v>65.2237433828843</v>
      </c>
      <c r="Z1635" s="3" t="n">
        <f aca="false">(X1635*(V1635/100)*((W1635+T1635)/1000))*1000</f>
        <v>2.287476171875</v>
      </c>
    </row>
    <row r="1636" customFormat="false" ht="15" hidden="false" customHeight="false" outlineLevel="0" collapsed="false">
      <c r="A1636" s="0" t="s">
        <v>34</v>
      </c>
      <c r="B1636" s="0" t="s">
        <v>35</v>
      </c>
      <c r="C1636" s="0" t="s">
        <v>28</v>
      </c>
      <c r="D1636" s="0" t="s">
        <v>162</v>
      </c>
      <c r="E1636" s="0" t="n">
        <v>35</v>
      </c>
      <c r="F1636" s="0" t="n">
        <v>1</v>
      </c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3" t="n">
        <v>5</v>
      </c>
      <c r="S1636" s="0" t="n">
        <v>21.3</v>
      </c>
      <c r="T1636" s="0" t="n">
        <f aca="false">(S1636/32)*5</f>
        <v>3.328125</v>
      </c>
      <c r="V1636" s="0" t="n">
        <v>27.5</v>
      </c>
      <c r="W1636" s="0" t="n">
        <v>4</v>
      </c>
      <c r="X1636" s="3" t="n">
        <f aca="false">LOOKUP(V1636,$AB$3:$AC$123)</f>
        <v>1.11515</v>
      </c>
      <c r="Y1636" s="2" t="n">
        <f aca="false">(V1636*((W1636+T1636)/1000)*X1636)/((((W1636+T1636)/1000)*X1636)-((W1636/1000)*0.9982))</f>
        <v>53.7737097759847</v>
      </c>
      <c r="Z1636" s="3" t="n">
        <f aca="false">(X1636*(V1636/100)*((W1636+T1636)/1000))*1000</f>
        <v>2.24728861328125</v>
      </c>
    </row>
    <row r="1637" customFormat="false" ht="15" hidden="false" customHeight="false" outlineLevel="0" collapsed="false">
      <c r="A1637" s="0" t="s">
        <v>36</v>
      </c>
      <c r="B1637" s="0" t="s">
        <v>37</v>
      </c>
      <c r="C1637" s="0" t="s">
        <v>28</v>
      </c>
      <c r="D1637" s="0" t="s">
        <v>162</v>
      </c>
      <c r="E1637" s="0" t="n">
        <v>35</v>
      </c>
      <c r="F1637" s="0" t="n">
        <v>0</v>
      </c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3" t="n">
        <v>3</v>
      </c>
      <c r="S1637" s="0" t="n">
        <v>13.6</v>
      </c>
      <c r="T1637" s="0" t="n">
        <f aca="false">(S1637/32)*5</f>
        <v>2.125</v>
      </c>
      <c r="V1637" s="0" t="n">
        <v>14.5</v>
      </c>
      <c r="W1637" s="0" t="n">
        <v>4</v>
      </c>
      <c r="X1637" s="3" t="n">
        <f aca="false">LOOKUP(V1637,$AB$3:$AC$123)</f>
        <v>1.05705</v>
      </c>
      <c r="Y1637" s="2" t="n">
        <f aca="false">(V1637*((W1637+T1637)/1000)*X1637)/((((W1637+T1637)/1000)*X1637)-((W1637/1000)*0.9982))</f>
        <v>37.8296546374486</v>
      </c>
      <c r="Z1637" s="3" t="n">
        <f aca="false">(X1637*(V1637/100)*((W1637+T1637)/1000))*1000</f>
        <v>0.93879253125</v>
      </c>
    </row>
    <row r="1638" customFormat="false" ht="15" hidden="false" customHeight="false" outlineLevel="0" collapsed="false">
      <c r="A1638" s="0" t="s">
        <v>38</v>
      </c>
      <c r="B1638" s="0" t="s">
        <v>39</v>
      </c>
      <c r="C1638" s="0" t="s">
        <v>28</v>
      </c>
      <c r="D1638" s="0" t="s">
        <v>162</v>
      </c>
      <c r="E1638" s="0" t="n">
        <v>35</v>
      </c>
      <c r="F1638" s="0" t="n">
        <v>1</v>
      </c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3" t="n">
        <v>4</v>
      </c>
      <c r="S1638" s="0" t="n">
        <v>28.4</v>
      </c>
      <c r="T1638" s="0" t="n">
        <f aca="false">(S1638/32)*5</f>
        <v>4.4375</v>
      </c>
      <c r="V1638" s="0" t="n">
        <v>31.5</v>
      </c>
      <c r="W1638" s="0" t="n">
        <v>8</v>
      </c>
      <c r="X1638" s="3" t="n">
        <f aca="false">LOOKUP(V1638,$AB$3:$AC$123)</f>
        <v>1.1342</v>
      </c>
      <c r="Y1638" s="2" t="n">
        <f aca="false">(V1638*((W1638+T1638)/1000)*X1638)/((((W1638+T1638)/1000)*X1638)-((W1638/1000)*0.9982))</f>
        <v>72.5955540443677</v>
      </c>
      <c r="Z1638" s="3" t="n">
        <f aca="false">(X1638*(V1638/100)*((W1638+T1638)/1000))*1000</f>
        <v>4.4435829375</v>
      </c>
    </row>
    <row r="1639" customFormat="false" ht="15" hidden="false" customHeight="false" outlineLevel="0" collapsed="false">
      <c r="A1639" s="0" t="s">
        <v>40</v>
      </c>
      <c r="B1639" s="0" t="s">
        <v>41</v>
      </c>
      <c r="C1639" s="0" t="s">
        <v>28</v>
      </c>
      <c r="D1639" s="0" t="s">
        <v>162</v>
      </c>
      <c r="E1639" s="0" t="n">
        <v>35</v>
      </c>
      <c r="F1639" s="0" t="n">
        <v>0</v>
      </c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3" t="n">
        <v>5</v>
      </c>
      <c r="S1639" s="0" t="n">
        <v>15.3</v>
      </c>
      <c r="T1639" s="0" t="n">
        <f aca="false">(S1639/32)*5</f>
        <v>2.390625</v>
      </c>
      <c r="V1639" s="0" t="n">
        <v>39.5</v>
      </c>
      <c r="W1639" s="0" t="n">
        <v>4</v>
      </c>
      <c r="X1639" s="3" t="n">
        <f aca="false">LOOKUP(V1639,$AB$3:$AC$123)</f>
        <v>1.17395</v>
      </c>
      <c r="Y1639" s="2" t="n">
        <f aca="false">(V1639*((W1639+T1639)/1000)*X1639)/((((W1639+T1639)/1000)*X1639)-((W1639/1000)*0.9982))</f>
        <v>84.4399511634466</v>
      </c>
      <c r="Z1639" s="3" t="n">
        <f aca="false">(X1639*(V1639/100)*((W1639+T1639)/1000))*1000</f>
        <v>2.96339831640625</v>
      </c>
    </row>
    <row r="1640" customFormat="false" ht="15" hidden="false" customHeight="false" outlineLevel="0" collapsed="false">
      <c r="A1640" s="0" t="s">
        <v>42</v>
      </c>
      <c r="B1640" s="0" t="s">
        <v>43</v>
      </c>
      <c r="C1640" s="0" t="s">
        <v>28</v>
      </c>
      <c r="D1640" s="0" t="s">
        <v>162</v>
      </c>
      <c r="E1640" s="0" t="n">
        <v>35</v>
      </c>
      <c r="F1640" s="0" t="n">
        <v>0</v>
      </c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3" t="n">
        <v>5</v>
      </c>
      <c r="S1640" s="0" t="n">
        <v>18.8</v>
      </c>
      <c r="T1640" s="0" t="n">
        <f aca="false">(S1640/32)*5</f>
        <v>2.9375</v>
      </c>
      <c r="V1640" s="0" t="n">
        <v>27</v>
      </c>
      <c r="W1640" s="0" t="n">
        <v>4</v>
      </c>
      <c r="X1640" s="3" t="n">
        <f aca="false">LOOKUP(V1640,$AB$3:$AC$123)</f>
        <v>1.1128</v>
      </c>
      <c r="Y1640" s="2" t="n">
        <f aca="false">(V1640*((W1640+T1640)/1000)*X1640)/((((W1640+T1640)/1000)*X1640)-((W1640/1000)*0.9982))</f>
        <v>55.9236300221343</v>
      </c>
      <c r="Z1640" s="3" t="n">
        <f aca="false">(X1640*(V1640/100)*((W1640+T1640)/1000))*1000</f>
        <v>2.0844135</v>
      </c>
    </row>
    <row r="1641" customFormat="false" ht="15" hidden="false" customHeight="false" outlineLevel="0" collapsed="false">
      <c r="A1641" s="0" t="s">
        <v>44</v>
      </c>
      <c r="B1641" s="0" t="s">
        <v>45</v>
      </c>
      <c r="C1641" s="0" t="s">
        <v>28</v>
      </c>
      <c r="D1641" s="0" t="s">
        <v>162</v>
      </c>
      <c r="E1641" s="0" t="n">
        <v>35</v>
      </c>
      <c r="F1641" s="0" t="n">
        <v>3</v>
      </c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3" t="n">
        <v>4</v>
      </c>
      <c r="S1641" s="0" t="n">
        <v>12.2</v>
      </c>
      <c r="T1641" s="0" t="n">
        <f aca="false">(S1641/32)*5</f>
        <v>1.90625</v>
      </c>
      <c r="V1641" s="0" t="n">
        <v>19.5</v>
      </c>
      <c r="W1641" s="0" t="n">
        <v>4</v>
      </c>
      <c r="X1641" s="3" t="n">
        <f aca="false">LOOKUP(V1641,$AB$3:$AC$123)</f>
        <v>1.07875</v>
      </c>
      <c r="Y1641" s="2" t="n">
        <f aca="false">(V1641*((W1641+T1641)/1000)*X1641)/((((W1641+T1641)/1000)*X1641)-((W1641/1000)*0.9982))</f>
        <v>52.2338241312555</v>
      </c>
      <c r="Z1641" s="3" t="n">
        <f aca="false">(X1641*(V1641/100)*((W1641+T1641)/1000))*1000</f>
        <v>1.2424166015625</v>
      </c>
    </row>
    <row r="1642" customFormat="false" ht="15" hidden="false" customHeight="false" outlineLevel="0" collapsed="false">
      <c r="A1642" s="0" t="s">
        <v>46</v>
      </c>
      <c r="B1642" s="0" t="s">
        <v>47</v>
      </c>
      <c r="C1642" s="0" t="s">
        <v>28</v>
      </c>
      <c r="D1642" s="0" t="s">
        <v>162</v>
      </c>
      <c r="E1642" s="0" t="n">
        <v>35</v>
      </c>
      <c r="F1642" s="0" t="n">
        <v>0</v>
      </c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3" t="n">
        <v>5</v>
      </c>
      <c r="S1642" s="0" t="n">
        <v>13.6</v>
      </c>
      <c r="T1642" s="0" t="n">
        <f aca="false">(S1642/32)*5</f>
        <v>2.125</v>
      </c>
      <c r="V1642" s="0" t="n">
        <v>40</v>
      </c>
      <c r="W1642" s="0" t="n">
        <v>4</v>
      </c>
      <c r="X1642" s="3" t="n">
        <f aca="false">LOOKUP(V1642,$AB$3:$AC$123)</f>
        <v>1.1765</v>
      </c>
      <c r="Y1642" s="2" t="n">
        <f aca="false">(V1642*((W1642+T1642)/1000)*X1642)/((((W1642+T1642)/1000)*X1642)-((W1642/1000)*0.9982))</f>
        <v>89.7040002178471</v>
      </c>
      <c r="Z1642" s="3" t="n">
        <f aca="false">(X1642*(V1642/100)*((W1642+T1642)/1000))*1000</f>
        <v>2.882425</v>
      </c>
    </row>
    <row r="1643" customFormat="false" ht="15" hidden="false" customHeight="false" outlineLevel="0" collapsed="false">
      <c r="A1643" s="0" t="s">
        <v>48</v>
      </c>
      <c r="B1643" s="0" t="s">
        <v>49</v>
      </c>
      <c r="C1643" s="0" t="s">
        <v>28</v>
      </c>
      <c r="D1643" s="0" t="s">
        <v>162</v>
      </c>
      <c r="E1643" s="0" t="n">
        <v>35</v>
      </c>
      <c r="F1643" s="0" t="n">
        <v>0</v>
      </c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3" t="n">
        <v>3</v>
      </c>
      <c r="S1643" s="0" t="n">
        <v>10.1</v>
      </c>
      <c r="T1643" s="0" t="n">
        <f aca="false">(S1643/32)*5</f>
        <v>1.578125</v>
      </c>
      <c r="V1643" s="0" t="n">
        <v>38</v>
      </c>
      <c r="W1643" s="0" t="n">
        <v>4</v>
      </c>
      <c r="X1643" s="3" t="n">
        <f aca="false">LOOKUP(V1643,$AB$3:$AC$123)</f>
        <v>1.1663</v>
      </c>
      <c r="Y1643" s="2" t="n">
        <f aca="false">(V1643*((W1643+T1643)/1000)*X1643)/((((W1643+T1643)/1000)*X1643)-((W1643/1000)*0.9982))</f>
        <v>98.3773900251135</v>
      </c>
      <c r="Z1643" s="3" t="n">
        <f aca="false">(X1643*(V1643/100)*((W1643+T1643)/1000))*1000</f>
        <v>2.47219153125</v>
      </c>
    </row>
    <row r="1644" customFormat="false" ht="15" hidden="false" customHeight="false" outlineLevel="0" collapsed="false">
      <c r="A1644" s="0" t="s">
        <v>50</v>
      </c>
      <c r="B1644" s="0" t="s">
        <v>51</v>
      </c>
      <c r="C1644" s="0" t="s">
        <v>28</v>
      </c>
      <c r="D1644" s="0" t="s">
        <v>162</v>
      </c>
      <c r="E1644" s="0" t="n">
        <v>35</v>
      </c>
      <c r="F1644" s="0" t="n">
        <v>1</v>
      </c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3" t="n">
        <v>4</v>
      </c>
      <c r="S1644" s="0" t="n">
        <v>7.9</v>
      </c>
      <c r="T1644" s="0" t="n">
        <f aca="false">(S1644/32)*5</f>
        <v>1.234375</v>
      </c>
      <c r="V1644" s="0" t="n">
        <v>19</v>
      </c>
      <c r="W1644" s="0" t="n">
        <v>4</v>
      </c>
      <c r="X1644" s="3" t="n">
        <f aca="false">LOOKUP(V1644,$AB$3:$AC$123)</f>
        <v>1.0765</v>
      </c>
      <c r="Y1644" s="2" t="n">
        <f aca="false">(V1644*((W1644+T1644)/1000)*X1644)/((((W1644+T1644)/1000)*X1644)-((W1644/1000)*0.9982))</f>
        <v>65.2015733435596</v>
      </c>
      <c r="Z1644" s="3" t="n">
        <f aca="false">(X1644*(V1644/100)*((W1644+T1644)/1000))*1000</f>
        <v>1.070612890625</v>
      </c>
    </row>
    <row r="1645" customFormat="false" ht="15" hidden="false" customHeight="false" outlineLevel="0" collapsed="false">
      <c r="A1645" s="0" t="s">
        <v>52</v>
      </c>
      <c r="B1645" s="0" t="s">
        <v>53</v>
      </c>
      <c r="C1645" s="0" t="s">
        <v>28</v>
      </c>
      <c r="D1645" s="0" t="s">
        <v>162</v>
      </c>
      <c r="E1645" s="0" t="n">
        <v>35</v>
      </c>
      <c r="F1645" s="0" t="n">
        <v>0</v>
      </c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3" t="n">
        <v>3</v>
      </c>
      <c r="S1645" s="0" t="n">
        <v>6.6</v>
      </c>
      <c r="T1645" s="0" t="n">
        <f aca="false">(S1645/32)*5</f>
        <v>1.03125</v>
      </c>
      <c r="V1645" s="0" t="n">
        <v>14.5</v>
      </c>
      <c r="W1645" s="0" t="n">
        <v>4</v>
      </c>
      <c r="X1645" s="3" t="n">
        <f aca="false">LOOKUP(V1645,$AB$3:$AC$123)</f>
        <v>1.05705</v>
      </c>
      <c r="Y1645" s="2" t="n">
        <f aca="false">(V1645*((W1645+T1645)/1000)*X1645)/((((W1645+T1645)/1000)*X1645)-((W1645/1000)*0.9982))</f>
        <v>58.1788764471436</v>
      </c>
      <c r="Z1645" s="3" t="n">
        <f aca="false">(X1645*(V1645/100)*((W1645+T1645)/1000))*1000</f>
        <v>0.7711510078125</v>
      </c>
    </row>
    <row r="1646" customFormat="false" ht="15" hidden="false" customHeight="false" outlineLevel="0" collapsed="false">
      <c r="A1646" s="0" t="s">
        <v>54</v>
      </c>
      <c r="B1646" s="0" t="s">
        <v>55</v>
      </c>
      <c r="C1646" s="0" t="s">
        <v>56</v>
      </c>
      <c r="D1646" s="0" t="s">
        <v>162</v>
      </c>
      <c r="E1646" s="0" t="n">
        <v>35</v>
      </c>
      <c r="F1646" s="0" t="n">
        <v>0</v>
      </c>
      <c r="G1646" s="1"/>
      <c r="H1646" s="1"/>
      <c r="I1646" s="0" t="n">
        <v>0</v>
      </c>
      <c r="J1646" s="0" t="n">
        <f aca="false">(I1646/32)*5</f>
        <v>0</v>
      </c>
      <c r="L1646" s="0" t="n">
        <v>0</v>
      </c>
      <c r="M1646" s="0" t="n">
        <v>0</v>
      </c>
      <c r="N1646" s="0" t="n">
        <f aca="false">L1646</f>
        <v>0</v>
      </c>
      <c r="O1646" s="3" t="n">
        <f aca="false">LOOKUP(L1646,$AB$3:$AC$123)</f>
        <v>0.9982</v>
      </c>
      <c r="P1646" s="3" t="n">
        <f aca="false">(O1646*(N1646/100)*(J1646/1000))*1000</f>
        <v>0</v>
      </c>
      <c r="Q1646" s="3"/>
      <c r="R1646" s="1"/>
      <c r="S1646" s="1"/>
      <c r="T1646" s="1"/>
      <c r="U1646" s="1"/>
      <c r="V1646" s="1"/>
      <c r="W1646" s="1"/>
      <c r="X1646" s="1"/>
      <c r="Y1646" s="5"/>
      <c r="Z1646" s="1"/>
    </row>
    <row r="1647" customFormat="false" ht="15" hidden="false" customHeight="false" outlineLevel="0" collapsed="false">
      <c r="A1647" s="0" t="s">
        <v>57</v>
      </c>
      <c r="B1647" s="0" t="s">
        <v>58</v>
      </c>
      <c r="C1647" s="0" t="s">
        <v>56</v>
      </c>
      <c r="D1647" s="0" t="s">
        <v>162</v>
      </c>
      <c r="E1647" s="0" t="n">
        <v>35</v>
      </c>
      <c r="F1647" s="0" t="n">
        <v>0</v>
      </c>
      <c r="G1647" s="1"/>
      <c r="H1647" s="1"/>
      <c r="I1647" s="0" t="n">
        <v>0</v>
      </c>
      <c r="J1647" s="0" t="n">
        <f aca="false">(I1647/32)*5</f>
        <v>0</v>
      </c>
      <c r="L1647" s="0" t="n">
        <v>0</v>
      </c>
      <c r="M1647" s="0" t="n">
        <v>0</v>
      </c>
      <c r="N1647" s="0" t="n">
        <f aca="false">L1647</f>
        <v>0</v>
      </c>
      <c r="O1647" s="3" t="n">
        <f aca="false">LOOKUP(L1647,$AB$3:$AC$123)</f>
        <v>0.9982</v>
      </c>
      <c r="P1647" s="3" t="n">
        <f aca="false">(O1647*(N1647/100)*(J1647/1000))*1000</f>
        <v>0</v>
      </c>
      <c r="Q1647" s="3"/>
      <c r="R1647" s="1"/>
      <c r="S1647" s="1"/>
      <c r="T1647" s="1"/>
      <c r="U1647" s="1"/>
      <c r="V1647" s="1"/>
      <c r="W1647" s="1"/>
      <c r="X1647" s="1"/>
      <c r="Y1647" s="5"/>
      <c r="Z1647" s="1"/>
    </row>
    <row r="1648" customFormat="false" ht="15" hidden="false" customHeight="false" outlineLevel="0" collapsed="false">
      <c r="A1648" s="0" t="s">
        <v>59</v>
      </c>
      <c r="B1648" s="0" t="s">
        <v>60</v>
      </c>
      <c r="C1648" s="0" t="s">
        <v>56</v>
      </c>
      <c r="D1648" s="0" t="s">
        <v>162</v>
      </c>
      <c r="E1648" s="0" t="n">
        <v>35</v>
      </c>
      <c r="F1648" s="0" t="n">
        <v>1</v>
      </c>
      <c r="G1648" s="1"/>
      <c r="H1648" s="1"/>
      <c r="I1648" s="0" t="n">
        <v>52</v>
      </c>
      <c r="J1648" s="0" t="n">
        <f aca="false">(I1648/32)*5</f>
        <v>8.125</v>
      </c>
      <c r="L1648" s="0" t="n">
        <v>26.5</v>
      </c>
      <c r="M1648" s="0" t="n">
        <v>0</v>
      </c>
      <c r="N1648" s="0" t="n">
        <f aca="false">L1648</f>
        <v>26.5</v>
      </c>
      <c r="O1648" s="3" t="n">
        <f aca="false">LOOKUP(L1648,$AB$3:$AC$123)</f>
        <v>1.11045</v>
      </c>
      <c r="P1648" s="3" t="n">
        <f aca="false">(O1648*(N1648/100)*(J1648/1000))*1000</f>
        <v>2.39093765625</v>
      </c>
      <c r="Q1648" s="3"/>
      <c r="R1648" s="1"/>
      <c r="S1648" s="1"/>
      <c r="T1648" s="1"/>
      <c r="U1648" s="1"/>
      <c r="V1648" s="1"/>
      <c r="W1648" s="1"/>
      <c r="X1648" s="1"/>
      <c r="Y1648" s="5"/>
      <c r="Z1648" s="1"/>
    </row>
    <row r="1649" customFormat="false" ht="15" hidden="false" customHeight="false" outlineLevel="0" collapsed="false">
      <c r="A1649" s="0" t="s">
        <v>61</v>
      </c>
      <c r="B1649" s="0" t="s">
        <v>62</v>
      </c>
      <c r="C1649" s="0" t="s">
        <v>56</v>
      </c>
      <c r="D1649" s="0" t="s">
        <v>162</v>
      </c>
      <c r="E1649" s="0" t="n">
        <v>35</v>
      </c>
      <c r="F1649" s="0" t="n">
        <v>2</v>
      </c>
      <c r="G1649" s="1"/>
      <c r="H1649" s="1"/>
      <c r="I1649" s="0" t="n">
        <f aca="false">32*4+11.4</f>
        <v>139.4</v>
      </c>
      <c r="J1649" s="0" t="n">
        <f aca="false">(I1649/32)*5</f>
        <v>21.78125</v>
      </c>
      <c r="L1649" s="0" t="n">
        <v>24</v>
      </c>
      <c r="M1649" s="0" t="n">
        <v>0</v>
      </c>
      <c r="N1649" s="0" t="n">
        <f aca="false">L1649</f>
        <v>24</v>
      </c>
      <c r="O1649" s="3" t="n">
        <f aca="false">LOOKUP(L1649,$AB$3:$AC$123)</f>
        <v>1.099</v>
      </c>
      <c r="P1649" s="3" t="n">
        <f aca="false">(O1649*(N1649/100)*(J1649/1000))*1000</f>
        <v>5.7450225</v>
      </c>
      <c r="Q1649" s="3"/>
      <c r="R1649" s="1"/>
      <c r="S1649" s="1"/>
      <c r="T1649" s="1"/>
      <c r="U1649" s="1"/>
      <c r="V1649" s="1"/>
      <c r="W1649" s="1"/>
      <c r="X1649" s="1"/>
      <c r="Y1649" s="5"/>
      <c r="Z1649" s="1"/>
    </row>
    <row r="1650" customFormat="false" ht="15" hidden="false" customHeight="false" outlineLevel="0" collapsed="false">
      <c r="A1650" s="0" t="s">
        <v>63</v>
      </c>
      <c r="B1650" s="0" t="s">
        <v>64</v>
      </c>
      <c r="C1650" s="0" t="s">
        <v>56</v>
      </c>
      <c r="D1650" s="0" t="s">
        <v>162</v>
      </c>
      <c r="E1650" s="0" t="n">
        <v>35</v>
      </c>
      <c r="F1650" s="0" t="n">
        <v>1</v>
      </c>
      <c r="G1650" s="1"/>
      <c r="H1650" s="1"/>
      <c r="I1650" s="0" t="n">
        <v>35.1</v>
      </c>
      <c r="J1650" s="0" t="n">
        <f aca="false">(I1650/32)*5</f>
        <v>5.484375</v>
      </c>
      <c r="L1650" s="0" t="n">
        <v>18</v>
      </c>
      <c r="M1650" s="0" t="n">
        <v>0</v>
      </c>
      <c r="N1650" s="0" t="n">
        <f aca="false">L1650</f>
        <v>18</v>
      </c>
      <c r="O1650" s="3" t="n">
        <f aca="false">LOOKUP(L1650,$AB$3:$AC$123)</f>
        <v>1.0722</v>
      </c>
      <c r="P1650" s="3" t="n">
        <f aca="false">(O1650*(N1650/100)*(J1650/1000))*1000</f>
        <v>1.0584624375</v>
      </c>
      <c r="Q1650" s="3"/>
      <c r="R1650" s="1"/>
      <c r="S1650" s="1"/>
      <c r="T1650" s="1"/>
      <c r="U1650" s="1"/>
      <c r="V1650" s="1"/>
      <c r="W1650" s="1"/>
      <c r="X1650" s="1"/>
      <c r="Y1650" s="5"/>
      <c r="Z1650" s="1"/>
    </row>
    <row r="1651" customFormat="false" ht="15" hidden="false" customHeight="false" outlineLevel="0" collapsed="false">
      <c r="A1651" s="0" t="s">
        <v>65</v>
      </c>
      <c r="B1651" s="0" t="s">
        <v>66</v>
      </c>
      <c r="C1651" s="0" t="s">
        <v>56</v>
      </c>
      <c r="D1651" s="0" t="s">
        <v>162</v>
      </c>
      <c r="E1651" s="0" t="n">
        <v>35</v>
      </c>
      <c r="F1651" s="0" t="n">
        <v>3</v>
      </c>
      <c r="G1651" s="1"/>
      <c r="H1651" s="1"/>
      <c r="I1651" s="0" t="n">
        <f aca="false">32*6</f>
        <v>192</v>
      </c>
      <c r="J1651" s="0" t="n">
        <f aca="false">(I1651/32)*5</f>
        <v>30</v>
      </c>
      <c r="L1651" s="0" t="n">
        <v>27</v>
      </c>
      <c r="M1651" s="0" t="n">
        <v>0</v>
      </c>
      <c r="N1651" s="0" t="n">
        <f aca="false">L1651</f>
        <v>27</v>
      </c>
      <c r="O1651" s="3" t="n">
        <f aca="false">LOOKUP(L1651,$AB$3:$AC$123)</f>
        <v>1.1128</v>
      </c>
      <c r="P1651" s="3" t="n">
        <f aca="false">(O1651*(N1651/100)*(J1651/1000))*1000</f>
        <v>9.01368</v>
      </c>
      <c r="Q1651" s="3"/>
      <c r="R1651" s="1"/>
      <c r="S1651" s="1"/>
      <c r="T1651" s="1"/>
      <c r="U1651" s="1"/>
      <c r="V1651" s="1"/>
      <c r="W1651" s="1"/>
      <c r="X1651" s="1"/>
      <c r="Y1651" s="5"/>
      <c r="Z1651" s="1"/>
    </row>
    <row r="1652" customFormat="false" ht="15" hidden="false" customHeight="false" outlineLevel="0" collapsed="false">
      <c r="A1652" s="0" t="s">
        <v>67</v>
      </c>
      <c r="B1652" s="0" t="s">
        <v>68</v>
      </c>
      <c r="C1652" s="0" t="s">
        <v>56</v>
      </c>
      <c r="D1652" s="0" t="s">
        <v>162</v>
      </c>
      <c r="E1652" s="0" t="n">
        <v>35</v>
      </c>
      <c r="F1652" s="0" t="n">
        <v>0</v>
      </c>
      <c r="G1652" s="1"/>
      <c r="H1652" s="1"/>
      <c r="I1652" s="0" t="n">
        <v>0</v>
      </c>
      <c r="J1652" s="0" t="n">
        <f aca="false">(I1652/32)*5</f>
        <v>0</v>
      </c>
      <c r="L1652" s="0" t="n">
        <v>0</v>
      </c>
      <c r="M1652" s="0" t="n">
        <v>0</v>
      </c>
      <c r="N1652" s="0" t="n">
        <f aca="false">L1652</f>
        <v>0</v>
      </c>
      <c r="O1652" s="3" t="n">
        <f aca="false">LOOKUP(L1652,$AB$3:$AC$123)</f>
        <v>0.9982</v>
      </c>
      <c r="P1652" s="3" t="n">
        <f aca="false">(O1652*(N1652/100)*(J1652/1000))*1000</f>
        <v>0</v>
      </c>
      <c r="Q1652" s="3"/>
      <c r="R1652" s="1"/>
      <c r="S1652" s="1"/>
      <c r="T1652" s="1"/>
      <c r="U1652" s="1"/>
      <c r="V1652" s="1"/>
      <c r="W1652" s="1"/>
      <c r="X1652" s="1"/>
      <c r="Y1652" s="5"/>
      <c r="Z1652" s="1"/>
    </row>
    <row r="1653" customFormat="false" ht="15" hidden="false" customHeight="false" outlineLevel="0" collapsed="false">
      <c r="A1653" s="0" t="s">
        <v>69</v>
      </c>
      <c r="B1653" s="0" t="s">
        <v>70</v>
      </c>
      <c r="C1653" s="0" t="s">
        <v>56</v>
      </c>
      <c r="D1653" s="0" t="s">
        <v>162</v>
      </c>
      <c r="E1653" s="0" t="n">
        <v>35</v>
      </c>
      <c r="F1653" s="0" t="n">
        <v>3</v>
      </c>
      <c r="G1653" s="1"/>
      <c r="H1653" s="1"/>
      <c r="I1653" s="0" t="n">
        <f aca="false">32*3</f>
        <v>96</v>
      </c>
      <c r="J1653" s="0" t="n">
        <f aca="false">(I1653/32)*5</f>
        <v>15</v>
      </c>
      <c r="L1653" s="0" t="n">
        <v>19.5</v>
      </c>
      <c r="M1653" s="0" t="n">
        <v>0</v>
      </c>
      <c r="N1653" s="0" t="n">
        <f aca="false">L1653</f>
        <v>19.5</v>
      </c>
      <c r="O1653" s="3" t="n">
        <f aca="false">LOOKUP(L1653,$AB$3:$AC$123)</f>
        <v>1.07875</v>
      </c>
      <c r="P1653" s="3" t="n">
        <f aca="false">(O1653*(N1653/100)*(J1653/1000))*1000</f>
        <v>3.15534375</v>
      </c>
      <c r="Q1653" s="3"/>
      <c r="R1653" s="1"/>
      <c r="S1653" s="1"/>
      <c r="T1653" s="1"/>
      <c r="U1653" s="1"/>
      <c r="V1653" s="1"/>
      <c r="W1653" s="1"/>
      <c r="X1653" s="1"/>
      <c r="Y1653" s="5"/>
      <c r="Z1653" s="1"/>
    </row>
    <row r="1654" customFormat="false" ht="15" hidden="false" customHeight="false" outlineLevel="0" collapsed="false">
      <c r="A1654" s="0" t="s">
        <v>71</v>
      </c>
      <c r="B1654" s="0" t="s">
        <v>72</v>
      </c>
      <c r="C1654" s="0" t="s">
        <v>56</v>
      </c>
      <c r="D1654" s="0" t="s">
        <v>162</v>
      </c>
      <c r="E1654" s="0" t="n">
        <v>35</v>
      </c>
      <c r="F1654" s="0" t="n">
        <v>2</v>
      </c>
      <c r="G1654" s="1"/>
      <c r="H1654" s="1"/>
      <c r="I1654" s="0" t="n">
        <f aca="false">32*3+10.4</f>
        <v>106.4</v>
      </c>
      <c r="J1654" s="0" t="n">
        <f aca="false">(I1654/32)*5</f>
        <v>16.625</v>
      </c>
      <c r="L1654" s="0" t="n">
        <v>22</v>
      </c>
      <c r="M1654" s="0" t="n">
        <v>0</v>
      </c>
      <c r="N1654" s="0" t="n">
        <f aca="false">L1654</f>
        <v>22</v>
      </c>
      <c r="O1654" s="3" t="n">
        <f aca="false">LOOKUP(L1654,$AB$3:$AC$123)</f>
        <v>1.0899</v>
      </c>
      <c r="P1654" s="3" t="n">
        <f aca="false">(O1654*(N1654/100)*(J1654/1000))*1000</f>
        <v>3.98630925</v>
      </c>
      <c r="Q1654" s="3"/>
      <c r="R1654" s="1"/>
      <c r="S1654" s="1"/>
      <c r="T1654" s="1"/>
      <c r="U1654" s="1"/>
      <c r="V1654" s="1"/>
      <c r="W1654" s="1"/>
      <c r="X1654" s="1"/>
      <c r="Y1654" s="5"/>
      <c r="Z1654" s="1"/>
    </row>
    <row r="1655" customFormat="false" ht="15" hidden="false" customHeight="false" outlineLevel="0" collapsed="false">
      <c r="A1655" s="0" t="s">
        <v>73</v>
      </c>
      <c r="B1655" s="0" t="s">
        <v>74</v>
      </c>
      <c r="C1655" s="0" t="s">
        <v>56</v>
      </c>
      <c r="D1655" s="0" t="s">
        <v>162</v>
      </c>
      <c r="E1655" s="0" t="n">
        <v>35</v>
      </c>
      <c r="F1655" s="0" t="n">
        <v>0</v>
      </c>
      <c r="G1655" s="1"/>
      <c r="H1655" s="1"/>
      <c r="I1655" s="0" t="n">
        <v>0</v>
      </c>
      <c r="J1655" s="0" t="n">
        <f aca="false">(I1655/32)*5</f>
        <v>0</v>
      </c>
      <c r="L1655" s="0" t="n">
        <v>0</v>
      </c>
      <c r="M1655" s="0" t="n">
        <v>0</v>
      </c>
      <c r="N1655" s="0" t="n">
        <f aca="false">L1655</f>
        <v>0</v>
      </c>
      <c r="O1655" s="3" t="n">
        <f aca="false">LOOKUP(L1655,$AB$3:$AC$123)</f>
        <v>0.9982</v>
      </c>
      <c r="P1655" s="3" t="n">
        <f aca="false">(O1655*(N1655/100)*(J1655/1000))*1000</f>
        <v>0</v>
      </c>
      <c r="Q1655" s="3"/>
      <c r="R1655" s="1"/>
      <c r="S1655" s="1"/>
      <c r="T1655" s="1"/>
      <c r="U1655" s="1"/>
      <c r="V1655" s="1"/>
      <c r="W1655" s="1"/>
      <c r="X1655" s="1"/>
      <c r="Y1655" s="5"/>
      <c r="Z1655" s="1"/>
    </row>
    <row r="1656" customFormat="false" ht="15" hidden="false" customHeight="false" outlineLevel="0" collapsed="false">
      <c r="A1656" s="0" t="s">
        <v>75</v>
      </c>
      <c r="B1656" s="0" t="s">
        <v>76</v>
      </c>
      <c r="C1656" s="0" t="s">
        <v>56</v>
      </c>
      <c r="D1656" s="0" t="s">
        <v>162</v>
      </c>
      <c r="E1656" s="0" t="n">
        <v>35</v>
      </c>
      <c r="F1656" s="0" t="n">
        <v>3</v>
      </c>
      <c r="G1656" s="1"/>
      <c r="H1656" s="1"/>
      <c r="I1656" s="0" t="n">
        <f aca="false">32*4+10.9</f>
        <v>138.9</v>
      </c>
      <c r="J1656" s="0" t="n">
        <f aca="false">(I1656/32)*5</f>
        <v>21.703125</v>
      </c>
      <c r="L1656" s="0" t="n">
        <v>28</v>
      </c>
      <c r="M1656" s="0" t="n">
        <v>0</v>
      </c>
      <c r="N1656" s="0" t="n">
        <f aca="false">L1656</f>
        <v>28</v>
      </c>
      <c r="O1656" s="3" t="n">
        <f aca="false">LOOKUP(L1656,$AB$3:$AC$123)</f>
        <v>1.1175</v>
      </c>
      <c r="P1656" s="3" t="n">
        <f aca="false">(O1656*(N1656/100)*(J1656/1000))*1000</f>
        <v>6.7909078125</v>
      </c>
      <c r="Q1656" s="3"/>
      <c r="R1656" s="1"/>
      <c r="S1656" s="1"/>
      <c r="T1656" s="1"/>
      <c r="U1656" s="1"/>
      <c r="V1656" s="1"/>
      <c r="W1656" s="1"/>
      <c r="X1656" s="1"/>
      <c r="Y1656" s="5"/>
      <c r="Z1656" s="1"/>
    </row>
    <row r="1657" customFormat="false" ht="15" hidden="false" customHeight="false" outlineLevel="0" collapsed="false">
      <c r="A1657" s="0" t="s">
        <v>77</v>
      </c>
      <c r="B1657" s="0" t="s">
        <v>78</v>
      </c>
      <c r="C1657" s="0" t="s">
        <v>56</v>
      </c>
      <c r="D1657" s="0" t="s">
        <v>162</v>
      </c>
      <c r="E1657" s="0" t="n">
        <v>35</v>
      </c>
      <c r="F1657" s="0" t="n">
        <v>1</v>
      </c>
      <c r="G1657" s="1"/>
      <c r="H1657" s="1"/>
      <c r="I1657" s="0" t="n">
        <v>0</v>
      </c>
      <c r="J1657" s="0" t="n">
        <f aca="false">(I1657/32)*5</f>
        <v>0</v>
      </c>
      <c r="L1657" s="0" t="n">
        <v>0</v>
      </c>
      <c r="M1657" s="0" t="n">
        <v>0</v>
      </c>
      <c r="N1657" s="0" t="n">
        <f aca="false">L1657</f>
        <v>0</v>
      </c>
      <c r="O1657" s="3" t="n">
        <f aca="false">LOOKUP(L1657,$AB$3:$AC$123)</f>
        <v>0.9982</v>
      </c>
      <c r="P1657" s="3" t="n">
        <f aca="false">(O1657*(N1657/100)*(J1657/1000))*1000</f>
        <v>0</v>
      </c>
      <c r="Q1657" s="3"/>
      <c r="R1657" s="1"/>
      <c r="S1657" s="1"/>
      <c r="T1657" s="1"/>
      <c r="U1657" s="1"/>
      <c r="V1657" s="1"/>
      <c r="W1657" s="1"/>
      <c r="X1657" s="1"/>
      <c r="Y1657" s="5"/>
      <c r="Z1657" s="1"/>
    </row>
    <row r="1658" customFormat="false" ht="15" hidden="false" customHeight="false" outlineLevel="0" collapsed="false">
      <c r="A1658" s="0" t="s">
        <v>79</v>
      </c>
      <c r="B1658" s="0" t="s">
        <v>80</v>
      </c>
      <c r="C1658" s="0" t="s">
        <v>81</v>
      </c>
      <c r="D1658" s="0" t="s">
        <v>162</v>
      </c>
      <c r="E1658" s="0" t="n">
        <v>35</v>
      </c>
      <c r="F1658" s="0" t="n">
        <v>0</v>
      </c>
      <c r="G1658" s="1"/>
      <c r="H1658" s="1"/>
      <c r="I1658" s="0" t="n">
        <v>0</v>
      </c>
      <c r="J1658" s="0" t="n">
        <f aca="false">(I1658/32)*5</f>
        <v>0</v>
      </c>
      <c r="L1658" s="0" t="n">
        <v>0</v>
      </c>
      <c r="M1658" s="0" t="n">
        <v>0</v>
      </c>
      <c r="N1658" s="0" t="n">
        <f aca="false">L1658</f>
        <v>0</v>
      </c>
      <c r="O1658" s="3" t="n">
        <f aca="false">LOOKUP(L1658,$AB$3:$AC$123)</f>
        <v>0.9982</v>
      </c>
      <c r="P1658" s="3" t="n">
        <f aca="false">(O1658*(N1658/100)*(J1658/1000))*1000</f>
        <v>0</v>
      </c>
      <c r="Q1658" s="3"/>
      <c r="R1658" s="0" t="n">
        <v>3</v>
      </c>
      <c r="S1658" s="0" t="n">
        <v>7.6</v>
      </c>
      <c r="T1658" s="0" t="n">
        <f aca="false">(S1658/32)*5</f>
        <v>1.1875</v>
      </c>
      <c r="V1658" s="0" t="n">
        <v>12.5</v>
      </c>
      <c r="W1658" s="0" t="n">
        <v>4</v>
      </c>
      <c r="X1658" s="3" t="n">
        <f aca="false">LOOKUP(V1658,$AB$3:$AC$123)</f>
        <v>1.0486</v>
      </c>
      <c r="Y1658" s="2" t="n">
        <f aca="false">(V1658*((W1658+T1658)/1000)*X1658)/((((W1658+T1658)/1000)*X1658)-((W1658/1000)*0.9982))</f>
        <v>46.996522527971</v>
      </c>
      <c r="Z1658" s="3" t="n">
        <f aca="false">(X1658*(V1658/100)*((W1658+T1658)/1000))*1000</f>
        <v>0.6799515625</v>
      </c>
    </row>
    <row r="1659" customFormat="false" ht="15" hidden="false" customHeight="false" outlineLevel="0" collapsed="false">
      <c r="A1659" s="0" t="s">
        <v>82</v>
      </c>
      <c r="B1659" s="0" t="s">
        <v>83</v>
      </c>
      <c r="C1659" s="0" t="s">
        <v>81</v>
      </c>
      <c r="D1659" s="0" t="s">
        <v>162</v>
      </c>
      <c r="E1659" s="0" t="n">
        <v>35</v>
      </c>
      <c r="F1659" s="0" t="n">
        <v>0</v>
      </c>
      <c r="G1659" s="1"/>
      <c r="H1659" s="1"/>
      <c r="I1659" s="0" t="n">
        <v>0</v>
      </c>
      <c r="J1659" s="0" t="n">
        <f aca="false">(I1659/32)*5</f>
        <v>0</v>
      </c>
      <c r="L1659" s="0" t="n">
        <v>0</v>
      </c>
      <c r="M1659" s="0" t="n">
        <v>0</v>
      </c>
      <c r="N1659" s="0" t="n">
        <f aca="false">L1659</f>
        <v>0</v>
      </c>
      <c r="O1659" s="3" t="n">
        <f aca="false">LOOKUP(L1659,$AB$3:$AC$123)</f>
        <v>0.9982</v>
      </c>
      <c r="P1659" s="3" t="n">
        <f aca="false">(O1659*(N1659/100)*(J1659/1000))*1000</f>
        <v>0</v>
      </c>
      <c r="Q1659" s="3"/>
      <c r="R1659" s="0" t="n">
        <v>2</v>
      </c>
      <c r="S1659" s="0" t="n">
        <v>14.2</v>
      </c>
      <c r="T1659" s="0" t="n">
        <f aca="false">(S1659/32)*5</f>
        <v>2.21875</v>
      </c>
      <c r="V1659" s="0" t="n">
        <v>27.5</v>
      </c>
      <c r="W1659" s="0" t="n">
        <v>4</v>
      </c>
      <c r="X1659" s="3" t="n">
        <f aca="false">LOOKUP(V1659,$AB$3:$AC$123)</f>
        <v>1.11515</v>
      </c>
      <c r="Y1659" s="2" t="n">
        <f aca="false">(V1659*((W1659+T1659)/1000)*X1659)/((((W1659+T1659)/1000)*X1659)-((W1659/1000)*0.9982))</f>
        <v>64.8217342351313</v>
      </c>
      <c r="Z1659" s="3" t="n">
        <f aca="false">(X1659*(V1659/100)*((W1659+T1659)/1000))*1000</f>
        <v>1.9070807421875</v>
      </c>
    </row>
    <row r="1660" customFormat="false" ht="15" hidden="false" customHeight="false" outlineLevel="0" collapsed="false">
      <c r="A1660" s="0" t="s">
        <v>84</v>
      </c>
      <c r="B1660" s="0" t="s">
        <v>85</v>
      </c>
      <c r="C1660" s="0" t="s">
        <v>81</v>
      </c>
      <c r="D1660" s="0" t="s">
        <v>162</v>
      </c>
      <c r="E1660" s="0" t="n">
        <v>35</v>
      </c>
      <c r="F1660" s="0" t="n">
        <v>2</v>
      </c>
      <c r="G1660" s="1"/>
      <c r="H1660" s="1"/>
      <c r="I1660" s="0" t="n">
        <f aca="false">32*4-9.4</f>
        <v>118.6</v>
      </c>
      <c r="J1660" s="0" t="n">
        <f aca="false">(I1660/32)*5</f>
        <v>18.53125</v>
      </c>
      <c r="L1660" s="0" t="n">
        <v>22</v>
      </c>
      <c r="M1660" s="0" t="n">
        <v>0</v>
      </c>
      <c r="N1660" s="0" t="n">
        <f aca="false">L1660</f>
        <v>22</v>
      </c>
      <c r="O1660" s="3" t="n">
        <f aca="false">LOOKUP(L1660,$AB$3:$AC$123)</f>
        <v>1.0899</v>
      </c>
      <c r="P1660" s="3" t="n">
        <f aca="false">(O1660*(N1660/100)*(J1660/1000))*1000</f>
        <v>4.4433860625</v>
      </c>
      <c r="Q1660" s="3"/>
      <c r="R1660" s="0" t="n">
        <v>3</v>
      </c>
      <c r="S1660" s="0" t="n">
        <v>25</v>
      </c>
      <c r="T1660" s="0" t="n">
        <f aca="false">(S1660/32)*5</f>
        <v>3.90625</v>
      </c>
      <c r="V1660" s="0" t="n">
        <v>33.5</v>
      </c>
      <c r="W1660" s="0" t="n">
        <v>8</v>
      </c>
      <c r="X1660" s="3" t="n">
        <f aca="false">LOOKUP(V1660,$AB$3:$AC$123)</f>
        <v>1.14395</v>
      </c>
      <c r="Y1660" s="2" t="n">
        <f aca="false">(V1660*((W1660+T1660)/1000)*X1660)/((((W1660+T1660)/1000)*X1660)-((W1660/1000)*0.9982))</f>
        <v>80.9780377220361</v>
      </c>
      <c r="Z1660" s="3" t="n">
        <f aca="false">(X1660*(V1660/100)*((W1660+T1660)/1000))*1000</f>
        <v>4.5627518203125</v>
      </c>
    </row>
    <row r="1661" customFormat="false" ht="15" hidden="false" customHeight="false" outlineLevel="0" collapsed="false">
      <c r="A1661" s="0" t="s">
        <v>86</v>
      </c>
      <c r="B1661" s="0" t="s">
        <v>87</v>
      </c>
      <c r="C1661" s="0" t="s">
        <v>81</v>
      </c>
      <c r="D1661" s="0" t="s">
        <v>162</v>
      </c>
      <c r="E1661" s="0" t="n">
        <v>35</v>
      </c>
      <c r="F1661" s="0" t="n">
        <v>0</v>
      </c>
      <c r="G1661" s="1"/>
      <c r="H1661" s="1"/>
      <c r="I1661" s="0" t="n">
        <v>0</v>
      </c>
      <c r="J1661" s="0" t="n">
        <f aca="false">(I1661/32)*5</f>
        <v>0</v>
      </c>
      <c r="L1661" s="0" t="n">
        <v>0</v>
      </c>
      <c r="M1661" s="0" t="n">
        <v>0</v>
      </c>
      <c r="N1661" s="0" t="n">
        <f aca="false">L1661</f>
        <v>0</v>
      </c>
      <c r="O1661" s="3" t="n">
        <f aca="false">LOOKUP(L1661,$AB$3:$AC$123)</f>
        <v>0.9982</v>
      </c>
      <c r="P1661" s="3" t="n">
        <f aca="false">(O1661*(N1661/100)*(J1661/1000))*1000</f>
        <v>0</v>
      </c>
      <c r="Q1661" s="3"/>
      <c r="R1661" s="0" t="n">
        <v>2</v>
      </c>
      <c r="S1661" s="0" t="n">
        <v>13.3</v>
      </c>
      <c r="T1661" s="0" t="n">
        <f aca="false">(S1661/32)*5</f>
        <v>2.078125</v>
      </c>
      <c r="V1661" s="0" t="n">
        <v>22.5</v>
      </c>
      <c r="W1661" s="0" t="n">
        <v>4</v>
      </c>
      <c r="X1661" s="3" t="n">
        <f aca="false">LOOKUP(V1661,$AB$3:$AC$123)</f>
        <v>1.092175</v>
      </c>
      <c r="Y1661" s="2" t="n">
        <f aca="false">(V1661*((W1661+T1661)/1000)*X1661)/((((W1661+T1661)/1000)*X1661)-((W1661/1000)*0.9982))</f>
        <v>56.457820211364</v>
      </c>
      <c r="Z1661" s="3" t="n">
        <f aca="false">(X1661*(V1661/100)*((W1661+T1661)/1000))*1000</f>
        <v>1.49363463867188</v>
      </c>
    </row>
    <row r="1662" customFormat="false" ht="15" hidden="false" customHeight="false" outlineLevel="0" collapsed="false">
      <c r="A1662" s="0" t="s">
        <v>88</v>
      </c>
      <c r="B1662" s="0" t="s">
        <v>89</v>
      </c>
      <c r="C1662" s="0" t="s">
        <v>81</v>
      </c>
      <c r="D1662" s="0" t="s">
        <v>162</v>
      </c>
      <c r="E1662" s="0" t="n">
        <v>35</v>
      </c>
      <c r="F1662" s="0" t="n">
        <v>4</v>
      </c>
      <c r="G1662" s="1"/>
      <c r="H1662" s="1"/>
      <c r="I1662" s="0" t="n">
        <f aca="false">32*6+4.3</f>
        <v>196.3</v>
      </c>
      <c r="J1662" s="0" t="n">
        <f aca="false">(I1662/32)*5</f>
        <v>30.671875</v>
      </c>
      <c r="L1662" s="0" t="n">
        <v>23</v>
      </c>
      <c r="M1662" s="0" t="n">
        <v>0</v>
      </c>
      <c r="N1662" s="0" t="n">
        <f aca="false">L1662</f>
        <v>23</v>
      </c>
      <c r="O1662" s="3" t="n">
        <f aca="false">LOOKUP(L1662,$AB$3:$AC$123)</f>
        <v>1.09445</v>
      </c>
      <c r="P1662" s="3" t="n">
        <f aca="false">(O1662*(N1662/100)*(J1662/1000))*1000</f>
        <v>7.7208317265625</v>
      </c>
      <c r="Q1662" s="3"/>
      <c r="R1662" s="0" t="n">
        <v>6</v>
      </c>
      <c r="S1662" s="0" t="n">
        <v>15.6</v>
      </c>
      <c r="T1662" s="0" t="n">
        <f aca="false">(S1662/32)*5</f>
        <v>2.4375</v>
      </c>
      <c r="V1662" s="0" t="n">
        <v>32</v>
      </c>
      <c r="W1662" s="0" t="n">
        <v>4</v>
      </c>
      <c r="X1662" s="3" t="n">
        <f aca="false">LOOKUP(V1662,$AB$3:$AC$123)</f>
        <v>1.1366</v>
      </c>
      <c r="Y1662" s="2" t="n">
        <f aca="false">(V1662*((W1662+T1662)/1000)*X1662)/((((W1662+T1662)/1000)*X1662)-((W1662/1000)*0.9982))</f>
        <v>70.437785089781</v>
      </c>
      <c r="Z1662" s="3" t="n">
        <f aca="false">(X1662*(V1662/100)*((W1662+T1662)/1000))*1000</f>
        <v>2.341396</v>
      </c>
    </row>
    <row r="1663" customFormat="false" ht="15" hidden="false" customHeight="false" outlineLevel="0" collapsed="false">
      <c r="A1663" s="0" t="s">
        <v>90</v>
      </c>
      <c r="B1663" s="0" t="s">
        <v>91</v>
      </c>
      <c r="C1663" s="0" t="s">
        <v>81</v>
      </c>
      <c r="D1663" s="0" t="s">
        <v>162</v>
      </c>
      <c r="E1663" s="0" t="n">
        <v>35</v>
      </c>
      <c r="F1663" s="0" t="n">
        <v>3</v>
      </c>
      <c r="G1663" s="1"/>
      <c r="H1663" s="1"/>
      <c r="I1663" s="0" t="n">
        <f aca="false">32*5+9.2</f>
        <v>169.2</v>
      </c>
      <c r="J1663" s="0" t="n">
        <f aca="false">(I1663/32)*5</f>
        <v>26.4375</v>
      </c>
      <c r="L1663" s="0" t="n">
        <v>23</v>
      </c>
      <c r="M1663" s="0" t="n">
        <v>0</v>
      </c>
      <c r="N1663" s="0" t="n">
        <f aca="false">L1663</f>
        <v>23</v>
      </c>
      <c r="O1663" s="3" t="n">
        <f aca="false">LOOKUP(L1663,$AB$3:$AC$123)</f>
        <v>1.09445</v>
      </c>
      <c r="P1663" s="3" t="n">
        <f aca="false">(O1663*(N1663/100)*(J1663/1000))*1000</f>
        <v>6.65494003125</v>
      </c>
      <c r="Q1663" s="3"/>
      <c r="R1663" s="0" t="n">
        <v>3</v>
      </c>
      <c r="S1663" s="0" t="n">
        <v>10.6</v>
      </c>
      <c r="T1663" s="0" t="n">
        <f aca="false">(S1663/32)*5</f>
        <v>1.65625</v>
      </c>
      <c r="V1663" s="0" t="n">
        <v>14</v>
      </c>
      <c r="W1663" s="0" t="n">
        <v>4</v>
      </c>
      <c r="X1663" s="3" t="n">
        <f aca="false">LOOKUP(V1663,$AB$3:$AC$123)</f>
        <v>1.0549</v>
      </c>
      <c r="Y1663" s="2" t="n">
        <f aca="false">(V1663*((W1663+T1663)/1000)*X1663)/((((W1663+T1663)/1000)*X1663)-((W1663/1000)*0.9982))</f>
        <v>42.318044304569</v>
      </c>
      <c r="Z1663" s="3" t="n">
        <f aca="false">(X1663*(V1663/100)*((W1663+T1663)/1000))*1000</f>
        <v>0.8353489375</v>
      </c>
    </row>
    <row r="1664" customFormat="false" ht="15" hidden="false" customHeight="false" outlineLevel="0" collapsed="false">
      <c r="A1664" s="0" t="s">
        <v>92</v>
      </c>
      <c r="B1664" s="0" t="s">
        <v>93</v>
      </c>
      <c r="C1664" s="0" t="s">
        <v>81</v>
      </c>
      <c r="D1664" s="0" t="s">
        <v>162</v>
      </c>
      <c r="E1664" s="0" t="n">
        <v>35</v>
      </c>
      <c r="F1664" s="0" t="n">
        <v>1</v>
      </c>
      <c r="G1664" s="1"/>
      <c r="H1664" s="1"/>
      <c r="I1664" s="0" t="n">
        <v>40.4</v>
      </c>
      <c r="J1664" s="0" t="n">
        <f aca="false">(I1664/32)*5</f>
        <v>6.3125</v>
      </c>
      <c r="L1664" s="0" t="n">
        <v>24</v>
      </c>
      <c r="M1664" s="0" t="n">
        <v>0</v>
      </c>
      <c r="N1664" s="0" t="n">
        <f aca="false">L1664</f>
        <v>24</v>
      </c>
      <c r="O1664" s="3" t="n">
        <f aca="false">LOOKUP(L1664,$AB$3:$AC$123)</f>
        <v>1.099</v>
      </c>
      <c r="P1664" s="3" t="n">
        <f aca="false">(O1664*(N1664/100)*(J1664/1000))*1000</f>
        <v>1.664985</v>
      </c>
      <c r="Q1664" s="3"/>
      <c r="R1664" s="0" t="n">
        <v>2</v>
      </c>
      <c r="S1664" s="0" t="n">
        <v>6</v>
      </c>
      <c r="T1664" s="0" t="n">
        <f aca="false">(S1664/32)*5</f>
        <v>0.9375</v>
      </c>
      <c r="V1664" s="0" t="n">
        <v>15.5</v>
      </c>
      <c r="W1664" s="0" t="n">
        <v>4</v>
      </c>
      <c r="X1664" s="3" t="n">
        <f aca="false">LOOKUP(V1664,$AB$3:$AC$123)</f>
        <v>1.06135</v>
      </c>
      <c r="Y1664" s="2" t="n">
        <f aca="false">(V1664*((W1664+T1664)/1000)*X1664)/((((W1664+T1664)/1000)*X1664)-((W1664/1000)*0.9982))</f>
        <v>65.1053421902278</v>
      </c>
      <c r="Z1664" s="3" t="n">
        <f aca="false">(X1664*(V1664/100)*((W1664+T1664)/1000))*1000</f>
        <v>0.812264421875</v>
      </c>
    </row>
    <row r="1665" customFormat="false" ht="15" hidden="false" customHeight="false" outlineLevel="0" collapsed="false">
      <c r="A1665" s="0" t="s">
        <v>94</v>
      </c>
      <c r="B1665" s="0" t="s">
        <v>95</v>
      </c>
      <c r="C1665" s="0" t="s">
        <v>81</v>
      </c>
      <c r="D1665" s="0" t="s">
        <v>162</v>
      </c>
      <c r="E1665" s="0" t="n">
        <v>35</v>
      </c>
      <c r="F1665" s="0" t="n">
        <v>1</v>
      </c>
      <c r="G1665" s="1"/>
      <c r="H1665" s="1"/>
      <c r="I1665" s="0" t="n">
        <f aca="false">32+21.3</f>
        <v>53.3</v>
      </c>
      <c r="J1665" s="0" t="n">
        <f aca="false">(I1665/32)*5</f>
        <v>8.328125</v>
      </c>
      <c r="L1665" s="0" t="n">
        <v>14</v>
      </c>
      <c r="M1665" s="0" t="n">
        <v>0</v>
      </c>
      <c r="N1665" s="0" t="n">
        <f aca="false">L1665</f>
        <v>14</v>
      </c>
      <c r="O1665" s="3" t="n">
        <f aca="false">LOOKUP(L1665,$AB$3:$AC$123)</f>
        <v>1.0549</v>
      </c>
      <c r="P1665" s="3" t="n">
        <f aca="false">(O1665*(N1665/100)*(J1665/1000))*1000</f>
        <v>1.22994746875</v>
      </c>
      <c r="Q1665" s="3"/>
      <c r="R1665" s="0" t="n">
        <v>7</v>
      </c>
      <c r="S1665" s="0" t="n">
        <f aca="false">30.9+5.5</f>
        <v>36.4</v>
      </c>
      <c r="T1665" s="0" t="n">
        <f aca="false">(S1665/32)*5</f>
        <v>5.6875</v>
      </c>
      <c r="V1665" s="0" t="n">
        <v>33</v>
      </c>
      <c r="W1665" s="0" t="n">
        <v>4</v>
      </c>
      <c r="X1665" s="3" t="n">
        <f aca="false">LOOKUP(V1665,$AB$3:$AC$123)</f>
        <v>1.1415</v>
      </c>
      <c r="Y1665" s="2" t="n">
        <f aca="false">(V1665*((W1665+T1665)/1000)*X1665)/((((W1665+T1665)/1000)*X1665)-((W1665/1000)*0.9982))</f>
        <v>51.6487509254943</v>
      </c>
      <c r="Z1665" s="3" t="n">
        <f aca="false">(X1665*(V1665/100)*((W1665+T1665)/1000))*1000</f>
        <v>3.6492328125</v>
      </c>
    </row>
    <row r="1666" customFormat="false" ht="15" hidden="false" customHeight="false" outlineLevel="0" collapsed="false">
      <c r="A1666" s="0" t="s">
        <v>96</v>
      </c>
      <c r="B1666" s="0" t="s">
        <v>97</v>
      </c>
      <c r="C1666" s="0" t="s">
        <v>81</v>
      </c>
      <c r="D1666" s="0" t="s">
        <v>162</v>
      </c>
      <c r="E1666" s="0" t="n">
        <v>35</v>
      </c>
      <c r="F1666" s="0" t="n">
        <v>1</v>
      </c>
      <c r="G1666" s="1"/>
      <c r="H1666" s="1"/>
      <c r="I1666" s="0" t="n">
        <v>33.6</v>
      </c>
      <c r="J1666" s="0" t="n">
        <f aca="false">(I1666/32)*5</f>
        <v>5.25</v>
      </c>
      <c r="L1666" s="0" t="n">
        <v>24</v>
      </c>
      <c r="M1666" s="0" t="n">
        <v>0</v>
      </c>
      <c r="N1666" s="0" t="n">
        <f aca="false">L1666</f>
        <v>24</v>
      </c>
      <c r="O1666" s="3" t="n">
        <f aca="false">LOOKUP(L1666,$AB$3:$AC$123)</f>
        <v>1.099</v>
      </c>
      <c r="P1666" s="3" t="n">
        <f aca="false">(O1666*(N1666/100)*(J1666/1000))*1000</f>
        <v>1.38474</v>
      </c>
      <c r="Q1666" s="3"/>
      <c r="R1666" s="0" t="n">
        <v>2</v>
      </c>
      <c r="S1666" s="0" t="n">
        <v>2.9</v>
      </c>
      <c r="T1666" s="0" t="n">
        <f aca="false">(S1666/32)*5</f>
        <v>0.453125</v>
      </c>
      <c r="V1666" s="0" t="n">
        <v>3</v>
      </c>
      <c r="W1666" s="0" t="n">
        <v>4</v>
      </c>
      <c r="X1666" s="3" t="n">
        <f aca="false">LOOKUP(V1666,$AB$3:$AC$123)</f>
        <v>1.0099</v>
      </c>
      <c r="Y1666" s="2" t="n">
        <f aca="false">(V1666*((W1666+T1666)/1000)*X1666)/((((W1666+T1666)/1000)*X1666)-((W1666/1000)*0.9982))</f>
        <v>26.7473042503167</v>
      </c>
      <c r="Z1666" s="3" t="n">
        <f aca="false">(X1666*(V1666/100)*((W1666+T1666)/1000))*1000</f>
        <v>0.134916328125</v>
      </c>
    </row>
    <row r="1667" customFormat="false" ht="15" hidden="false" customHeight="false" outlineLevel="0" collapsed="false">
      <c r="A1667" s="0" t="s">
        <v>98</v>
      </c>
      <c r="B1667" s="0" t="s">
        <v>99</v>
      </c>
      <c r="C1667" s="0" t="s">
        <v>81</v>
      </c>
      <c r="D1667" s="0" t="s">
        <v>162</v>
      </c>
      <c r="E1667" s="0" t="n">
        <v>35</v>
      </c>
      <c r="F1667" s="0" t="n">
        <v>2</v>
      </c>
      <c r="G1667" s="1"/>
      <c r="H1667" s="1"/>
      <c r="I1667" s="0" t="n">
        <f aca="false">32+29.9</f>
        <v>61.9</v>
      </c>
      <c r="J1667" s="0" t="n">
        <f aca="false">(I1667/32)*5</f>
        <v>9.671875</v>
      </c>
      <c r="L1667" s="0" t="n">
        <v>19</v>
      </c>
      <c r="M1667" s="0" t="n">
        <v>0</v>
      </c>
      <c r="N1667" s="0" t="n">
        <f aca="false">L1667</f>
        <v>19</v>
      </c>
      <c r="O1667" s="3" t="n">
        <f aca="false">LOOKUP(L1667,$AB$3:$AC$123)</f>
        <v>1.0765</v>
      </c>
      <c r="P1667" s="3" t="n">
        <f aca="false">(O1667*(N1667/100)*(J1667/1000))*1000</f>
        <v>1.978236953125</v>
      </c>
      <c r="Q1667" s="3"/>
      <c r="R1667" s="0" t="n">
        <v>4</v>
      </c>
      <c r="S1667" s="0" t="n">
        <v>9.6</v>
      </c>
      <c r="T1667" s="0" t="n">
        <f aca="false">(S1667/32)*5</f>
        <v>1.5</v>
      </c>
      <c r="V1667" s="0" t="n">
        <v>9</v>
      </c>
      <c r="W1667" s="0" t="n">
        <v>4</v>
      </c>
      <c r="X1667" s="3" t="n">
        <f aca="false">LOOKUP(V1667,$AB$3:$AC$123)</f>
        <v>1.0341</v>
      </c>
      <c r="Y1667" s="2" t="n">
        <f aca="false">(V1667*((W1667+T1667)/1000)*X1667)/((((W1667+T1667)/1000)*X1667)-((W1667/1000)*0.9982))</f>
        <v>30.203835373949</v>
      </c>
      <c r="Z1667" s="3" t="n">
        <f aca="false">(X1667*(V1667/100)*((W1667+T1667)/1000))*1000</f>
        <v>0.5118795</v>
      </c>
    </row>
    <row r="1668" customFormat="false" ht="15" hidden="false" customHeight="false" outlineLevel="0" collapsed="false">
      <c r="A1668" s="0" t="s">
        <v>100</v>
      </c>
      <c r="B1668" s="0" t="s">
        <v>101</v>
      </c>
      <c r="C1668" s="0" t="s">
        <v>81</v>
      </c>
      <c r="D1668" s="0" t="s">
        <v>162</v>
      </c>
      <c r="E1668" s="0" t="n">
        <v>35</v>
      </c>
      <c r="F1668" s="0" t="n">
        <v>1</v>
      </c>
      <c r="G1668" s="1"/>
      <c r="H1668" s="1"/>
      <c r="I1668" s="0" t="n">
        <f aca="false">32+7.5</f>
        <v>39.5</v>
      </c>
      <c r="J1668" s="0" t="n">
        <f aca="false">(I1668/32)*5</f>
        <v>6.171875</v>
      </c>
      <c r="L1668" s="0" t="n">
        <v>21</v>
      </c>
      <c r="M1668" s="0" t="n">
        <v>0</v>
      </c>
      <c r="N1668" s="0" t="n">
        <f aca="false">L1668</f>
        <v>21</v>
      </c>
      <c r="O1668" s="3" t="n">
        <f aca="false">LOOKUP(L1668,$AB$3:$AC$123)</f>
        <v>1.08545</v>
      </c>
      <c r="P1668" s="3" t="n">
        <f aca="false">(O1668*(N1668/100)*(J1668/1000))*1000</f>
        <v>1.4068449609375</v>
      </c>
      <c r="Q1668" s="3"/>
      <c r="R1668" s="0" t="n">
        <v>2</v>
      </c>
      <c r="S1668" s="0" t="n">
        <v>3</v>
      </c>
      <c r="T1668" s="0" t="n">
        <f aca="false">(S1668/32)*5</f>
        <v>0.46875</v>
      </c>
      <c r="V1668" s="0" t="n">
        <v>7.5</v>
      </c>
      <c r="W1668" s="0" t="n">
        <v>4</v>
      </c>
      <c r="X1668" s="3" t="n">
        <f aca="false">LOOKUP(V1668,$AB$3:$AC$123)</f>
        <v>1.0279</v>
      </c>
      <c r="Y1668" s="2" t="n">
        <f aca="false">(V1668*((W1668+T1668)/1000)*X1668)/((((W1668+T1668)/1000)*X1668)-((W1668/1000)*0.9982))</f>
        <v>57.3578051102752</v>
      </c>
      <c r="Z1668" s="3" t="n">
        <f aca="false">(X1668*(V1668/100)*((W1668+T1668)/1000))*1000</f>
        <v>0.344507109375</v>
      </c>
    </row>
    <row r="1669" customFormat="false" ht="15" hidden="false" customHeight="false" outlineLevel="0" collapsed="false">
      <c r="A1669" s="0" t="s">
        <v>102</v>
      </c>
      <c r="B1669" s="0" t="s">
        <v>103</v>
      </c>
      <c r="C1669" s="0" t="s">
        <v>81</v>
      </c>
      <c r="D1669" s="0" t="s">
        <v>162</v>
      </c>
      <c r="E1669" s="0" t="n">
        <v>35</v>
      </c>
      <c r="F1669" s="0" t="n">
        <v>1</v>
      </c>
      <c r="G1669" s="1"/>
      <c r="H1669" s="1"/>
      <c r="I1669" s="0" t="n">
        <v>29</v>
      </c>
      <c r="J1669" s="0" t="n">
        <f aca="false">(I1669/32)*5</f>
        <v>4.53125</v>
      </c>
      <c r="L1669" s="0" t="n">
        <v>21</v>
      </c>
      <c r="M1669" s="0" t="n">
        <v>0</v>
      </c>
      <c r="N1669" s="0" t="n">
        <f aca="false">L1669</f>
        <v>21</v>
      </c>
      <c r="O1669" s="3" t="n">
        <f aca="false">LOOKUP(L1669,$AB$3:$AC$123)</f>
        <v>1.08545</v>
      </c>
      <c r="P1669" s="3" t="n">
        <f aca="false">(O1669*(N1669/100)*(J1669/1000))*1000</f>
        <v>1.032873515625</v>
      </c>
      <c r="Q1669" s="3"/>
      <c r="R1669" s="0" t="n">
        <v>4</v>
      </c>
      <c r="S1669" s="0" t="n">
        <v>11</v>
      </c>
      <c r="T1669" s="0" t="n">
        <f aca="false">(S1669/32)*5</f>
        <v>1.71875</v>
      </c>
      <c r="V1669" s="0" t="n">
        <v>27</v>
      </c>
      <c r="W1669" s="0" t="n">
        <v>4</v>
      </c>
      <c r="X1669" s="3" t="n">
        <f aca="false">LOOKUP(V1669,$AB$3:$AC$123)</f>
        <v>1.1128</v>
      </c>
      <c r="Y1669" s="2" t="n">
        <f aca="false">(V1669*((W1669+T1669)/1000)*X1669)/((((W1669+T1669)/1000)*X1669)-((W1669/1000)*0.9982))</f>
        <v>72.4679305363714</v>
      </c>
      <c r="Z1669" s="3" t="n">
        <f aca="false">(X1669*(V1669/100)*((W1669+T1669)/1000))*1000</f>
        <v>1.71823275</v>
      </c>
    </row>
    <row r="1670" customFormat="false" ht="15" hidden="false" customHeight="false" outlineLevel="0" collapsed="false">
      <c r="A1670" s="0" t="s">
        <v>104</v>
      </c>
      <c r="B1670" s="0" t="s">
        <v>105</v>
      </c>
      <c r="C1670" s="0" t="s">
        <v>106</v>
      </c>
      <c r="D1670" s="0" t="s">
        <v>162</v>
      </c>
      <c r="E1670" s="0" t="n">
        <v>35</v>
      </c>
      <c r="F1670" s="0" t="n">
        <v>2</v>
      </c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0" t="n">
        <v>9</v>
      </c>
      <c r="S1670" s="1"/>
      <c r="T1670" s="1"/>
      <c r="U1670" s="1"/>
      <c r="V1670" s="1"/>
      <c r="W1670" s="1"/>
      <c r="X1670" s="1"/>
      <c r="Y1670" s="5"/>
      <c r="Z1670" s="1"/>
    </row>
    <row r="1671" customFormat="false" ht="15" hidden="false" customHeight="false" outlineLevel="0" collapsed="false">
      <c r="A1671" s="0" t="s">
        <v>107</v>
      </c>
      <c r="B1671" s="0" t="s">
        <v>37</v>
      </c>
      <c r="C1671" s="0" t="s">
        <v>106</v>
      </c>
      <c r="D1671" s="0" t="s">
        <v>162</v>
      </c>
      <c r="E1671" s="0" t="n">
        <v>35</v>
      </c>
      <c r="F1671" s="0" t="n">
        <v>1</v>
      </c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0" t="n">
        <v>7</v>
      </c>
      <c r="S1671" s="1"/>
      <c r="T1671" s="1"/>
      <c r="U1671" s="1"/>
      <c r="V1671" s="1"/>
      <c r="W1671" s="1"/>
      <c r="X1671" s="1"/>
      <c r="Y1671" s="5"/>
      <c r="Z1671" s="1"/>
    </row>
    <row r="1672" customFormat="false" ht="15" hidden="false" customHeight="false" outlineLevel="0" collapsed="false">
      <c r="A1672" s="0" t="s">
        <v>108</v>
      </c>
      <c r="B1672" s="0" t="s">
        <v>109</v>
      </c>
      <c r="C1672" s="0" t="s">
        <v>106</v>
      </c>
      <c r="D1672" s="0" t="s">
        <v>162</v>
      </c>
      <c r="E1672" s="0" t="n">
        <v>35</v>
      </c>
      <c r="F1672" s="0" t="n">
        <v>2</v>
      </c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0" t="n">
        <v>17</v>
      </c>
      <c r="S1672" s="1"/>
      <c r="T1672" s="1"/>
      <c r="U1672" s="1"/>
      <c r="V1672" s="1"/>
      <c r="W1672" s="1"/>
      <c r="X1672" s="1"/>
      <c r="Y1672" s="5"/>
      <c r="Z1672" s="1"/>
    </row>
    <row r="1673" customFormat="false" ht="15" hidden="false" customHeight="false" outlineLevel="0" collapsed="false">
      <c r="A1673" s="0" t="s">
        <v>110</v>
      </c>
      <c r="B1673" s="0" t="s">
        <v>111</v>
      </c>
      <c r="C1673" s="0" t="s">
        <v>106</v>
      </c>
      <c r="D1673" s="0" t="s">
        <v>162</v>
      </c>
      <c r="E1673" s="0" t="n">
        <v>35</v>
      </c>
      <c r="F1673" s="0" t="n">
        <v>3</v>
      </c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0" t="n">
        <v>10</v>
      </c>
      <c r="S1673" s="1"/>
      <c r="T1673" s="1"/>
      <c r="U1673" s="1"/>
      <c r="V1673" s="1"/>
      <c r="W1673" s="1"/>
      <c r="X1673" s="1"/>
      <c r="Y1673" s="5"/>
      <c r="Z1673" s="1"/>
    </row>
    <row r="1674" customFormat="false" ht="15" hidden="false" customHeight="false" outlineLevel="0" collapsed="false">
      <c r="A1674" s="0" t="s">
        <v>112</v>
      </c>
      <c r="B1674" s="0" t="s">
        <v>113</v>
      </c>
      <c r="C1674" s="0" t="s">
        <v>106</v>
      </c>
      <c r="D1674" s="0" t="s">
        <v>162</v>
      </c>
      <c r="E1674" s="0" t="n">
        <v>35</v>
      </c>
      <c r="F1674" s="0" t="n">
        <v>1</v>
      </c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0" t="n">
        <v>13</v>
      </c>
      <c r="S1674" s="1"/>
      <c r="T1674" s="1"/>
      <c r="U1674" s="1"/>
      <c r="V1674" s="1"/>
      <c r="W1674" s="1"/>
      <c r="X1674" s="1"/>
      <c r="Y1674" s="5"/>
      <c r="Z1674" s="1"/>
    </row>
    <row r="1675" customFormat="false" ht="15" hidden="false" customHeight="false" outlineLevel="0" collapsed="false">
      <c r="A1675" s="0" t="s">
        <v>114</v>
      </c>
      <c r="B1675" s="0" t="s">
        <v>115</v>
      </c>
      <c r="C1675" s="0" t="s">
        <v>106</v>
      </c>
      <c r="D1675" s="0" t="s">
        <v>162</v>
      </c>
      <c r="E1675" s="0" t="n">
        <v>35</v>
      </c>
      <c r="F1675" s="0" t="n">
        <v>0</v>
      </c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0" t="n">
        <v>9</v>
      </c>
      <c r="S1675" s="1"/>
      <c r="T1675" s="1"/>
      <c r="U1675" s="1"/>
      <c r="V1675" s="1"/>
      <c r="W1675" s="1"/>
      <c r="X1675" s="1"/>
      <c r="Y1675" s="5"/>
      <c r="Z1675" s="1"/>
    </row>
    <row r="1676" customFormat="false" ht="15" hidden="false" customHeight="false" outlineLevel="0" collapsed="false">
      <c r="A1676" s="0" t="s">
        <v>116</v>
      </c>
      <c r="B1676" s="0" t="s">
        <v>117</v>
      </c>
      <c r="C1676" s="0" t="s">
        <v>106</v>
      </c>
      <c r="D1676" s="0" t="s">
        <v>162</v>
      </c>
      <c r="E1676" s="0" t="n">
        <v>35</v>
      </c>
      <c r="F1676" s="0" t="n">
        <v>1</v>
      </c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0" t="n">
        <v>6</v>
      </c>
      <c r="S1676" s="1"/>
      <c r="T1676" s="1"/>
      <c r="U1676" s="1"/>
      <c r="V1676" s="1"/>
      <c r="W1676" s="1"/>
      <c r="X1676" s="1"/>
      <c r="Y1676" s="5"/>
      <c r="Z1676" s="1"/>
    </row>
    <row r="1677" customFormat="false" ht="15" hidden="false" customHeight="false" outlineLevel="0" collapsed="false">
      <c r="A1677" s="0" t="s">
        <v>118</v>
      </c>
      <c r="B1677" s="0" t="s">
        <v>119</v>
      </c>
      <c r="C1677" s="0" t="s">
        <v>106</v>
      </c>
      <c r="D1677" s="0" t="s">
        <v>162</v>
      </c>
      <c r="E1677" s="0" t="n">
        <v>35</v>
      </c>
      <c r="F1677" s="0" t="n">
        <v>3</v>
      </c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0" t="n">
        <v>13</v>
      </c>
      <c r="S1677" s="1"/>
      <c r="T1677" s="1"/>
      <c r="U1677" s="1"/>
      <c r="V1677" s="1"/>
      <c r="W1677" s="1"/>
      <c r="X1677" s="1"/>
      <c r="Y1677" s="5"/>
      <c r="Z1677" s="1"/>
    </row>
    <row r="1678" customFormat="false" ht="15" hidden="false" customHeight="false" outlineLevel="0" collapsed="false">
      <c r="A1678" s="0" t="s">
        <v>120</v>
      </c>
      <c r="B1678" s="0" t="s">
        <v>121</v>
      </c>
      <c r="C1678" s="0" t="s">
        <v>106</v>
      </c>
      <c r="D1678" s="0" t="s">
        <v>162</v>
      </c>
      <c r="E1678" s="0" t="n">
        <v>35</v>
      </c>
      <c r="F1678" s="0" t="n">
        <v>3</v>
      </c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0" t="n">
        <v>18</v>
      </c>
      <c r="S1678" s="1"/>
      <c r="T1678" s="1"/>
      <c r="U1678" s="1"/>
      <c r="V1678" s="1"/>
      <c r="W1678" s="1"/>
      <c r="X1678" s="1"/>
      <c r="Y1678" s="5"/>
      <c r="Z1678" s="1"/>
    </row>
    <row r="1679" customFormat="false" ht="15" hidden="false" customHeight="false" outlineLevel="0" collapsed="false">
      <c r="A1679" s="0" t="s">
        <v>122</v>
      </c>
      <c r="B1679" s="0" t="s">
        <v>123</v>
      </c>
      <c r="C1679" s="0" t="s">
        <v>106</v>
      </c>
      <c r="D1679" s="0" t="s">
        <v>162</v>
      </c>
      <c r="E1679" s="0" t="n">
        <v>35</v>
      </c>
      <c r="F1679" s="0" t="n">
        <v>0</v>
      </c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0" t="n">
        <v>8</v>
      </c>
      <c r="S1679" s="1"/>
      <c r="T1679" s="1"/>
      <c r="U1679" s="1"/>
      <c r="V1679" s="1"/>
      <c r="W1679" s="1"/>
      <c r="X1679" s="1"/>
      <c r="Y1679" s="5"/>
      <c r="Z1679" s="1"/>
    </row>
    <row r="1680" customFormat="false" ht="15" hidden="false" customHeight="false" outlineLevel="0" collapsed="false">
      <c r="A1680" s="0" t="s">
        <v>124</v>
      </c>
      <c r="B1680" s="0" t="s">
        <v>125</v>
      </c>
      <c r="C1680" s="0" t="s">
        <v>106</v>
      </c>
      <c r="D1680" s="0" t="s">
        <v>162</v>
      </c>
      <c r="E1680" s="0" t="n">
        <v>35</v>
      </c>
      <c r="F1680" s="0" t="n">
        <v>0</v>
      </c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0" t="n">
        <v>14</v>
      </c>
      <c r="S1680" s="1"/>
      <c r="T1680" s="1"/>
      <c r="U1680" s="1"/>
      <c r="V1680" s="1"/>
      <c r="W1680" s="1"/>
      <c r="X1680" s="1"/>
      <c r="Y1680" s="5"/>
      <c r="Z1680" s="1"/>
    </row>
    <row r="1681" customFormat="false" ht="15" hidden="false" customHeight="false" outlineLevel="0" collapsed="false">
      <c r="A1681" s="0" t="s">
        <v>126</v>
      </c>
      <c r="B1681" s="0" t="s">
        <v>127</v>
      </c>
      <c r="C1681" s="0" t="s">
        <v>106</v>
      </c>
      <c r="D1681" s="0" t="s">
        <v>162</v>
      </c>
      <c r="E1681" s="0" t="n">
        <v>35</v>
      </c>
      <c r="F1681" s="0" t="n">
        <v>0</v>
      </c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0" t="n">
        <v>15</v>
      </c>
      <c r="S1681" s="1"/>
      <c r="T1681" s="1"/>
      <c r="U1681" s="1"/>
      <c r="V1681" s="1"/>
      <c r="W1681" s="1"/>
      <c r="X1681" s="1"/>
      <c r="Y1681" s="5"/>
      <c r="Z1681" s="1"/>
    </row>
    <row r="1682" customFormat="false" ht="15" hidden="false" customHeight="false" outlineLevel="0" collapsed="false">
      <c r="A1682" s="0" t="s">
        <v>26</v>
      </c>
      <c r="B1682" s="0" t="s">
        <v>27</v>
      </c>
      <c r="C1682" s="0" t="s">
        <v>28</v>
      </c>
      <c r="D1682" s="0" t="s">
        <v>163</v>
      </c>
      <c r="E1682" s="0" t="n">
        <v>36</v>
      </c>
      <c r="F1682" s="0" t="n">
        <v>1</v>
      </c>
      <c r="G1682" s="0" t="n">
        <v>8</v>
      </c>
      <c r="H1682" s="0" t="n">
        <v>41</v>
      </c>
      <c r="I1682" s="1"/>
      <c r="J1682" s="1"/>
      <c r="K1682" s="1"/>
      <c r="L1682" s="1"/>
      <c r="M1682" s="1"/>
      <c r="N1682" s="1"/>
      <c r="O1682" s="1"/>
      <c r="P1682" s="1"/>
      <c r="Q1682" s="1"/>
      <c r="R1682" s="0" t="n">
        <v>5</v>
      </c>
      <c r="S1682" s="0" t="n">
        <v>17.7</v>
      </c>
      <c r="T1682" s="0" t="n">
        <f aca="false">(S1682/32)*5</f>
        <v>2.765625</v>
      </c>
      <c r="V1682" s="0" t="n">
        <v>33</v>
      </c>
      <c r="W1682" s="0" t="n">
        <v>4</v>
      </c>
      <c r="X1682" s="3" t="n">
        <f aca="false">LOOKUP(V1682,$AB$3:$AC$123)</f>
        <v>1.1415</v>
      </c>
      <c r="Y1682" s="2" t="n">
        <f aca="false">(V1682*((W1682+T1682)/1000)*X1682)/((((W1682+T1682)/1000)*X1682)-((W1682/1000)*0.9982))</f>
        <v>68.323516118398</v>
      </c>
      <c r="Z1682" s="3" t="n">
        <f aca="false">(X1682*(V1682/100)*((W1682+T1682)/1000))*1000</f>
        <v>2.548577109375</v>
      </c>
    </row>
    <row r="1683" customFormat="false" ht="15" hidden="false" customHeight="false" outlineLevel="0" collapsed="false">
      <c r="A1683" s="0" t="s">
        <v>32</v>
      </c>
      <c r="B1683" s="0" t="s">
        <v>33</v>
      </c>
      <c r="C1683" s="0" t="s">
        <v>28</v>
      </c>
      <c r="D1683" s="0" t="s">
        <v>163</v>
      </c>
      <c r="E1683" s="0" t="n">
        <v>36</v>
      </c>
      <c r="F1683" s="0" t="n">
        <v>2</v>
      </c>
      <c r="G1683" s="0" t="n">
        <v>17</v>
      </c>
      <c r="H1683" s="0" t="n">
        <v>82</v>
      </c>
      <c r="I1683" s="1"/>
      <c r="J1683" s="1"/>
      <c r="K1683" s="1"/>
      <c r="L1683" s="1"/>
      <c r="M1683" s="1"/>
      <c r="N1683" s="1"/>
      <c r="O1683" s="1"/>
      <c r="P1683" s="1"/>
      <c r="Q1683" s="1"/>
      <c r="R1683" s="0" t="n">
        <v>8</v>
      </c>
      <c r="S1683" s="0" t="n">
        <v>16.9</v>
      </c>
      <c r="T1683" s="0" t="n">
        <f aca="false">(S1683/32)*5</f>
        <v>2.640625</v>
      </c>
      <c r="V1683" s="0" t="n">
        <v>30.5</v>
      </c>
      <c r="W1683" s="0" t="n">
        <v>4</v>
      </c>
      <c r="X1683" s="3" t="n">
        <f aca="false">LOOKUP(V1683,$AB$3:$AC$123)</f>
        <v>1.1294</v>
      </c>
      <c r="Y1683" s="2" t="n">
        <f aca="false">(V1683*((W1683+T1683)/1000)*X1683)/((((W1683+T1683)/1000)*X1683)-((W1683/1000)*0.9982))</f>
        <v>65.2237433828843</v>
      </c>
      <c r="Z1683" s="3" t="n">
        <f aca="false">(X1683*(V1683/100)*((W1683+T1683)/1000))*1000</f>
        <v>2.287476171875</v>
      </c>
    </row>
    <row r="1684" customFormat="false" ht="15" hidden="false" customHeight="false" outlineLevel="0" collapsed="false">
      <c r="A1684" s="0" t="s">
        <v>34</v>
      </c>
      <c r="B1684" s="0" t="s">
        <v>35</v>
      </c>
      <c r="C1684" s="0" t="s">
        <v>28</v>
      </c>
      <c r="D1684" s="0" t="s">
        <v>163</v>
      </c>
      <c r="E1684" s="0" t="n">
        <v>36</v>
      </c>
      <c r="F1684" s="0" t="n">
        <v>1</v>
      </c>
      <c r="G1684" s="0" t="n">
        <v>14</v>
      </c>
      <c r="H1684" s="0" t="n">
        <v>55</v>
      </c>
      <c r="I1684" s="1"/>
      <c r="J1684" s="1"/>
      <c r="K1684" s="1"/>
      <c r="L1684" s="1"/>
      <c r="M1684" s="1"/>
      <c r="N1684" s="1"/>
      <c r="O1684" s="1"/>
      <c r="P1684" s="1"/>
      <c r="Q1684" s="1"/>
      <c r="R1684" s="0" t="n">
        <v>4</v>
      </c>
      <c r="S1684" s="0" t="n">
        <v>21.3</v>
      </c>
      <c r="T1684" s="0" t="n">
        <f aca="false">(S1684/32)*5</f>
        <v>3.328125</v>
      </c>
      <c r="V1684" s="0" t="n">
        <v>27.5</v>
      </c>
      <c r="W1684" s="0" t="n">
        <v>4</v>
      </c>
      <c r="X1684" s="3" t="n">
        <f aca="false">LOOKUP(V1684,$AB$3:$AC$123)</f>
        <v>1.11515</v>
      </c>
      <c r="Y1684" s="2" t="n">
        <f aca="false">(V1684*((W1684+T1684)/1000)*X1684)/((((W1684+T1684)/1000)*X1684)-((W1684/1000)*0.9982))</f>
        <v>53.7737097759847</v>
      </c>
      <c r="Z1684" s="3" t="n">
        <f aca="false">(X1684*(V1684/100)*((W1684+T1684)/1000))*1000</f>
        <v>2.24728861328125</v>
      </c>
    </row>
    <row r="1685" customFormat="false" ht="15" hidden="false" customHeight="false" outlineLevel="0" collapsed="false">
      <c r="A1685" s="0" t="s">
        <v>36</v>
      </c>
      <c r="B1685" s="0" t="s">
        <v>37</v>
      </c>
      <c r="C1685" s="0" t="s">
        <v>28</v>
      </c>
      <c r="D1685" s="0" t="s">
        <v>163</v>
      </c>
      <c r="E1685" s="0" t="n">
        <v>36</v>
      </c>
      <c r="F1685" s="0" t="n">
        <v>0</v>
      </c>
      <c r="G1685" s="0" t="n">
        <v>7</v>
      </c>
      <c r="H1685" s="0" t="n">
        <v>46</v>
      </c>
      <c r="I1685" s="1"/>
      <c r="J1685" s="1"/>
      <c r="K1685" s="1"/>
      <c r="L1685" s="1"/>
      <c r="M1685" s="1"/>
      <c r="N1685" s="1"/>
      <c r="O1685" s="1"/>
      <c r="P1685" s="1"/>
      <c r="Q1685" s="1"/>
      <c r="R1685" s="0" t="n">
        <v>3</v>
      </c>
      <c r="S1685" s="0" t="n">
        <v>13.6</v>
      </c>
      <c r="T1685" s="0" t="n">
        <f aca="false">(S1685/32)*5</f>
        <v>2.125</v>
      </c>
      <c r="V1685" s="0" t="n">
        <v>15.5</v>
      </c>
      <c r="W1685" s="0" t="n">
        <v>4</v>
      </c>
      <c r="X1685" s="3" t="n">
        <f aca="false">LOOKUP(V1685,$AB$3:$AC$123)</f>
        <v>1.06135</v>
      </c>
      <c r="Y1685" s="2" t="n">
        <f aca="false">(V1685*((W1685+T1685)/1000)*X1685)/((((W1685+T1685)/1000)*X1685)-((W1685/1000)*0.9982))</f>
        <v>40.1767030091583</v>
      </c>
      <c r="Z1685" s="3" t="n">
        <f aca="false">(X1685*(V1685/100)*((W1685+T1685)/1000))*1000</f>
        <v>1.00761915625</v>
      </c>
    </row>
    <row r="1686" customFormat="false" ht="15" hidden="false" customHeight="false" outlineLevel="0" collapsed="false">
      <c r="A1686" s="0" t="s">
        <v>38</v>
      </c>
      <c r="B1686" s="0" t="s">
        <v>39</v>
      </c>
      <c r="C1686" s="0" t="s">
        <v>28</v>
      </c>
      <c r="D1686" s="0" t="s">
        <v>163</v>
      </c>
      <c r="E1686" s="0" t="n">
        <v>36</v>
      </c>
      <c r="F1686" s="0" t="n">
        <v>0</v>
      </c>
      <c r="G1686" s="0" t="n">
        <v>8</v>
      </c>
      <c r="H1686" s="0" t="n">
        <v>98</v>
      </c>
      <c r="I1686" s="1"/>
      <c r="J1686" s="1"/>
      <c r="K1686" s="1"/>
      <c r="L1686" s="1"/>
      <c r="M1686" s="1"/>
      <c r="N1686" s="1"/>
      <c r="O1686" s="1"/>
      <c r="P1686" s="1"/>
      <c r="Q1686" s="1"/>
      <c r="R1686" s="0" t="n">
        <v>5</v>
      </c>
      <c r="S1686" s="0" t="n">
        <v>28.4</v>
      </c>
      <c r="T1686" s="0" t="n">
        <f aca="false">(S1686/32)*5</f>
        <v>4.4375</v>
      </c>
      <c r="V1686" s="0" t="n">
        <v>31.5</v>
      </c>
      <c r="W1686" s="0" t="n">
        <v>8</v>
      </c>
      <c r="X1686" s="3" t="n">
        <f aca="false">LOOKUP(V1686,$AB$3:$AC$123)</f>
        <v>1.1342</v>
      </c>
      <c r="Y1686" s="2" t="n">
        <f aca="false">(V1686*((W1686+T1686)/1000)*X1686)/((((W1686+T1686)/1000)*X1686)-((W1686/1000)*0.9982))</f>
        <v>72.5955540443677</v>
      </c>
      <c r="Z1686" s="3" t="n">
        <f aca="false">(X1686*(V1686/100)*((W1686+T1686)/1000))*1000</f>
        <v>4.4435829375</v>
      </c>
    </row>
    <row r="1687" customFormat="false" ht="15" hidden="false" customHeight="false" outlineLevel="0" collapsed="false">
      <c r="A1687" s="0" t="s">
        <v>40</v>
      </c>
      <c r="B1687" s="0" t="s">
        <v>41</v>
      </c>
      <c r="C1687" s="0" t="s">
        <v>28</v>
      </c>
      <c r="D1687" s="0" t="s">
        <v>163</v>
      </c>
      <c r="E1687" s="0" t="n">
        <v>36</v>
      </c>
      <c r="F1687" s="0" t="n">
        <v>0</v>
      </c>
      <c r="G1687" s="0" t="n">
        <v>13</v>
      </c>
      <c r="H1687" s="0" t="n">
        <v>59</v>
      </c>
      <c r="I1687" s="1"/>
      <c r="J1687" s="1"/>
      <c r="K1687" s="1"/>
      <c r="L1687" s="1"/>
      <c r="M1687" s="1"/>
      <c r="N1687" s="1"/>
      <c r="O1687" s="1"/>
      <c r="P1687" s="1"/>
      <c r="Q1687" s="1"/>
      <c r="R1687" s="0" t="n">
        <v>3</v>
      </c>
      <c r="S1687" s="0" t="n">
        <v>15.3</v>
      </c>
      <c r="T1687" s="0" t="n">
        <f aca="false">(S1687/32)*5</f>
        <v>2.390625</v>
      </c>
      <c r="V1687" s="0" t="n">
        <v>39.5</v>
      </c>
      <c r="W1687" s="0" t="n">
        <v>4</v>
      </c>
      <c r="X1687" s="3" t="n">
        <f aca="false">LOOKUP(V1687,$AB$3:$AC$123)</f>
        <v>1.17395</v>
      </c>
      <c r="Y1687" s="2" t="n">
        <f aca="false">(V1687*((W1687+T1687)/1000)*X1687)/((((W1687+T1687)/1000)*X1687)-((W1687/1000)*0.9982))</f>
        <v>84.4399511634466</v>
      </c>
      <c r="Z1687" s="3" t="n">
        <f aca="false">(X1687*(V1687/100)*((W1687+T1687)/1000))*1000</f>
        <v>2.96339831640625</v>
      </c>
    </row>
    <row r="1688" customFormat="false" ht="15" hidden="false" customHeight="false" outlineLevel="0" collapsed="false">
      <c r="A1688" s="0" t="s">
        <v>42</v>
      </c>
      <c r="B1688" s="0" t="s">
        <v>43</v>
      </c>
      <c r="C1688" s="0" t="s">
        <v>28</v>
      </c>
      <c r="D1688" s="0" t="s">
        <v>163</v>
      </c>
      <c r="E1688" s="0" t="n">
        <v>36</v>
      </c>
      <c r="F1688" s="0" t="n">
        <v>0</v>
      </c>
      <c r="G1688" s="0" t="n">
        <v>16</v>
      </c>
      <c r="H1688" s="0" t="n">
        <v>62</v>
      </c>
      <c r="I1688" s="1"/>
      <c r="J1688" s="1"/>
      <c r="K1688" s="1"/>
      <c r="L1688" s="1"/>
      <c r="M1688" s="1"/>
      <c r="N1688" s="1"/>
      <c r="O1688" s="1"/>
      <c r="P1688" s="1"/>
      <c r="Q1688" s="1"/>
      <c r="R1688" s="0" t="n">
        <v>4</v>
      </c>
      <c r="S1688" s="0" t="n">
        <v>18.8</v>
      </c>
      <c r="T1688" s="0" t="n">
        <f aca="false">(S1688/32)*5</f>
        <v>2.9375</v>
      </c>
      <c r="V1688" s="0" t="n">
        <v>27</v>
      </c>
      <c r="W1688" s="0" t="n">
        <v>4</v>
      </c>
      <c r="X1688" s="3" t="n">
        <f aca="false">LOOKUP(V1688,$AB$3:$AC$123)</f>
        <v>1.1128</v>
      </c>
      <c r="Y1688" s="2" t="n">
        <f aca="false">(V1688*((W1688+T1688)/1000)*X1688)/((((W1688+T1688)/1000)*X1688)-((W1688/1000)*0.9982))</f>
        <v>55.9236300221343</v>
      </c>
      <c r="Z1688" s="3" t="n">
        <f aca="false">(X1688*(V1688/100)*((W1688+T1688)/1000))*1000</f>
        <v>2.0844135</v>
      </c>
    </row>
    <row r="1689" customFormat="false" ht="15" hidden="false" customHeight="false" outlineLevel="0" collapsed="false">
      <c r="A1689" s="0" t="s">
        <v>44</v>
      </c>
      <c r="B1689" s="0" t="s">
        <v>45</v>
      </c>
      <c r="C1689" s="0" t="s">
        <v>28</v>
      </c>
      <c r="D1689" s="0" t="s">
        <v>163</v>
      </c>
      <c r="E1689" s="0" t="n">
        <v>36</v>
      </c>
      <c r="F1689" s="0" t="n">
        <v>0</v>
      </c>
      <c r="G1689" s="0" t="n">
        <v>11</v>
      </c>
      <c r="H1689" s="0" t="n">
        <v>45</v>
      </c>
      <c r="I1689" s="1"/>
      <c r="J1689" s="1"/>
      <c r="K1689" s="1"/>
      <c r="L1689" s="1"/>
      <c r="M1689" s="1"/>
      <c r="N1689" s="1"/>
      <c r="O1689" s="1"/>
      <c r="P1689" s="1"/>
      <c r="Q1689" s="1"/>
      <c r="R1689" s="0" t="n">
        <v>5</v>
      </c>
      <c r="S1689" s="0" t="n">
        <v>12.2</v>
      </c>
      <c r="T1689" s="0" t="n">
        <f aca="false">(S1689/32)*5</f>
        <v>1.90625</v>
      </c>
      <c r="V1689" s="0" t="n">
        <v>19.5</v>
      </c>
      <c r="W1689" s="0" t="n">
        <v>4</v>
      </c>
      <c r="X1689" s="3" t="n">
        <f aca="false">LOOKUP(V1689,$AB$3:$AC$123)</f>
        <v>1.07875</v>
      </c>
      <c r="Y1689" s="2" t="n">
        <f aca="false">(V1689*((W1689+T1689)/1000)*X1689)/((((W1689+T1689)/1000)*X1689)-((W1689/1000)*0.9982))</f>
        <v>52.2338241312555</v>
      </c>
      <c r="Z1689" s="3" t="n">
        <f aca="false">(X1689*(V1689/100)*((W1689+T1689)/1000))*1000</f>
        <v>1.2424166015625</v>
      </c>
    </row>
    <row r="1690" customFormat="false" ht="15" hidden="false" customHeight="false" outlineLevel="0" collapsed="false">
      <c r="A1690" s="0" t="s">
        <v>46</v>
      </c>
      <c r="B1690" s="0" t="s">
        <v>47</v>
      </c>
      <c r="C1690" s="0" t="s">
        <v>28</v>
      </c>
      <c r="D1690" s="0" t="s">
        <v>163</v>
      </c>
      <c r="E1690" s="0" t="n">
        <v>36</v>
      </c>
      <c r="F1690" s="0" t="n">
        <v>0</v>
      </c>
      <c r="G1690" s="0" t="n">
        <v>16</v>
      </c>
      <c r="H1690" s="0" t="n">
        <v>58</v>
      </c>
      <c r="I1690" s="1"/>
      <c r="J1690" s="1"/>
      <c r="K1690" s="1"/>
      <c r="L1690" s="1"/>
      <c r="M1690" s="1"/>
      <c r="N1690" s="1"/>
      <c r="O1690" s="1"/>
      <c r="P1690" s="1"/>
      <c r="Q1690" s="1"/>
      <c r="R1690" s="0" t="n">
        <v>3</v>
      </c>
      <c r="S1690" s="0" t="n">
        <v>13.6</v>
      </c>
      <c r="T1690" s="0" t="n">
        <f aca="false">(S1690/32)*5</f>
        <v>2.125</v>
      </c>
      <c r="V1690" s="0" t="n">
        <v>40</v>
      </c>
      <c r="W1690" s="0" t="n">
        <v>4</v>
      </c>
      <c r="X1690" s="3" t="n">
        <f aca="false">LOOKUP(V1690,$AB$3:$AC$123)</f>
        <v>1.1765</v>
      </c>
      <c r="Y1690" s="2" t="n">
        <f aca="false">(V1690*((W1690+T1690)/1000)*X1690)/((((W1690+T1690)/1000)*X1690)-((W1690/1000)*0.9982))</f>
        <v>89.7040002178471</v>
      </c>
      <c r="Z1690" s="3" t="n">
        <f aca="false">(X1690*(V1690/100)*((W1690+T1690)/1000))*1000</f>
        <v>2.882425</v>
      </c>
    </row>
    <row r="1691" customFormat="false" ht="15" hidden="false" customHeight="false" outlineLevel="0" collapsed="false">
      <c r="A1691" s="0" t="s">
        <v>48</v>
      </c>
      <c r="B1691" s="0" t="s">
        <v>49</v>
      </c>
      <c r="C1691" s="0" t="s">
        <v>28</v>
      </c>
      <c r="D1691" s="0" t="s">
        <v>163</v>
      </c>
      <c r="E1691" s="0" t="n">
        <v>36</v>
      </c>
      <c r="F1691" s="0" t="n">
        <v>1</v>
      </c>
      <c r="G1691" s="0" t="n">
        <v>10</v>
      </c>
      <c r="H1691" s="0" t="n">
        <v>43</v>
      </c>
      <c r="I1691" s="1"/>
      <c r="J1691" s="1"/>
      <c r="K1691" s="1"/>
      <c r="L1691" s="1"/>
      <c r="M1691" s="1"/>
      <c r="N1691" s="1"/>
      <c r="O1691" s="1"/>
      <c r="P1691" s="1"/>
      <c r="Q1691" s="1"/>
      <c r="R1691" s="0" t="n">
        <v>2</v>
      </c>
      <c r="S1691" s="0" t="n">
        <v>10.1</v>
      </c>
      <c r="T1691" s="0" t="n">
        <f aca="false">(S1691/32)*5</f>
        <v>1.578125</v>
      </c>
      <c r="V1691" s="0" t="n">
        <v>38</v>
      </c>
      <c r="W1691" s="0" t="n">
        <v>4</v>
      </c>
      <c r="X1691" s="3" t="n">
        <f aca="false">LOOKUP(V1691,$AB$3:$AC$123)</f>
        <v>1.1663</v>
      </c>
      <c r="Y1691" s="2" t="n">
        <f aca="false">(V1691*((W1691+T1691)/1000)*X1691)/((((W1691+T1691)/1000)*X1691)-((W1691/1000)*0.9982))</f>
        <v>98.3773900251135</v>
      </c>
      <c r="Z1691" s="3" t="n">
        <f aca="false">(X1691*(V1691/100)*((W1691+T1691)/1000))*1000</f>
        <v>2.47219153125</v>
      </c>
    </row>
    <row r="1692" customFormat="false" ht="15" hidden="false" customHeight="false" outlineLevel="0" collapsed="false">
      <c r="A1692" s="0" t="s">
        <v>50</v>
      </c>
      <c r="B1692" s="0" t="s">
        <v>51</v>
      </c>
      <c r="C1692" s="0" t="s">
        <v>28</v>
      </c>
      <c r="D1692" s="0" t="s">
        <v>163</v>
      </c>
      <c r="E1692" s="0" t="n">
        <v>36</v>
      </c>
      <c r="F1692" s="0" t="n">
        <v>2</v>
      </c>
      <c r="G1692" s="0" t="n">
        <v>3</v>
      </c>
      <c r="H1692" s="0" t="n">
        <v>58</v>
      </c>
      <c r="I1692" s="1"/>
      <c r="J1692" s="1"/>
      <c r="K1692" s="1"/>
      <c r="L1692" s="1"/>
      <c r="M1692" s="1"/>
      <c r="N1692" s="1"/>
      <c r="O1692" s="1"/>
      <c r="P1692" s="1"/>
      <c r="Q1692" s="1"/>
      <c r="R1692" s="0" t="n">
        <v>2</v>
      </c>
      <c r="S1692" s="0" t="n">
        <v>7.9</v>
      </c>
      <c r="T1692" s="0" t="n">
        <f aca="false">(S1692/32)*5</f>
        <v>1.234375</v>
      </c>
      <c r="V1692" s="0" t="n">
        <v>19</v>
      </c>
      <c r="W1692" s="0" t="n">
        <v>4</v>
      </c>
      <c r="X1692" s="3" t="n">
        <f aca="false">LOOKUP(V1692,$AB$3:$AC$123)</f>
        <v>1.0765</v>
      </c>
      <c r="Y1692" s="2" t="n">
        <f aca="false">(V1692*((W1692+T1692)/1000)*X1692)/((((W1692+T1692)/1000)*X1692)-((W1692/1000)*0.9982))</f>
        <v>65.2015733435596</v>
      </c>
      <c r="Z1692" s="3" t="n">
        <f aca="false">(X1692*(V1692/100)*((W1692+T1692)/1000))*1000</f>
        <v>1.070612890625</v>
      </c>
    </row>
    <row r="1693" customFormat="false" ht="15" hidden="false" customHeight="false" outlineLevel="0" collapsed="false">
      <c r="A1693" s="0" t="s">
        <v>52</v>
      </c>
      <c r="B1693" s="0" t="s">
        <v>53</v>
      </c>
      <c r="C1693" s="0" t="s">
        <v>28</v>
      </c>
      <c r="D1693" s="0" t="s">
        <v>163</v>
      </c>
      <c r="E1693" s="0" t="n">
        <v>36</v>
      </c>
      <c r="F1693" s="0" t="n">
        <v>0</v>
      </c>
      <c r="G1693" s="0" t="n">
        <v>4</v>
      </c>
      <c r="H1693" s="0" t="n">
        <v>46</v>
      </c>
      <c r="I1693" s="1"/>
      <c r="J1693" s="1"/>
      <c r="K1693" s="1"/>
      <c r="L1693" s="1"/>
      <c r="M1693" s="1"/>
      <c r="N1693" s="1"/>
      <c r="O1693" s="1"/>
      <c r="P1693" s="1"/>
      <c r="Q1693" s="1"/>
      <c r="R1693" s="0" t="n">
        <v>2</v>
      </c>
      <c r="S1693" s="0" t="n">
        <v>6.6</v>
      </c>
      <c r="T1693" s="0" t="n">
        <f aca="false">(S1693/32)*5</f>
        <v>1.03125</v>
      </c>
      <c r="V1693" s="0" t="n">
        <v>14.5</v>
      </c>
      <c r="W1693" s="0" t="n">
        <v>4</v>
      </c>
      <c r="X1693" s="3" t="n">
        <f aca="false">LOOKUP(V1693,$AB$3:$AC$123)</f>
        <v>1.05705</v>
      </c>
      <c r="Y1693" s="2" t="n">
        <f aca="false">(V1693*((W1693+T1693)/1000)*X1693)/((((W1693+T1693)/1000)*X1693)-((W1693/1000)*0.9982))</f>
        <v>58.1788764471436</v>
      </c>
      <c r="Z1693" s="3" t="n">
        <f aca="false">(X1693*(V1693/100)*((W1693+T1693)/1000))*1000</f>
        <v>0.7711510078125</v>
      </c>
    </row>
    <row r="1694" customFormat="false" ht="15" hidden="false" customHeight="false" outlineLevel="0" collapsed="false">
      <c r="A1694" s="0" t="s">
        <v>54</v>
      </c>
      <c r="B1694" s="0" t="s">
        <v>55</v>
      </c>
      <c r="C1694" s="0" t="s">
        <v>56</v>
      </c>
      <c r="D1694" s="0" t="s">
        <v>163</v>
      </c>
      <c r="E1694" s="0" t="n">
        <v>36</v>
      </c>
      <c r="F1694" s="0" t="n">
        <v>1</v>
      </c>
      <c r="G1694" s="0" t="n">
        <v>4</v>
      </c>
      <c r="H1694" s="0" t="n">
        <v>25</v>
      </c>
      <c r="I1694" s="0" t="n">
        <v>8.9</v>
      </c>
      <c r="J1694" s="0" t="n">
        <f aca="false">(I1694/32)*5</f>
        <v>1.390625</v>
      </c>
      <c r="L1694" s="0" t="n">
        <v>29.5</v>
      </c>
      <c r="M1694" s="0" t="n">
        <v>0</v>
      </c>
      <c r="N1694" s="0" t="n">
        <f aca="false">L1694</f>
        <v>29.5</v>
      </c>
      <c r="O1694" s="3" t="n">
        <f aca="false">LOOKUP(L1694,$AB$3:$AC$123)</f>
        <v>1.124625</v>
      </c>
      <c r="P1694" s="3" t="n">
        <f aca="false">(O1694*(N1694/100)*(J1694/1000))*1000</f>
        <v>0.461359833984375</v>
      </c>
      <c r="Q1694" s="3"/>
      <c r="R1694" s="3" t="n">
        <v>1</v>
      </c>
      <c r="S1694" s="1"/>
      <c r="T1694" s="1"/>
      <c r="U1694" s="1"/>
      <c r="V1694" s="1"/>
      <c r="W1694" s="1"/>
      <c r="X1694" s="1"/>
      <c r="Y1694" s="5"/>
      <c r="Z1694" s="1"/>
    </row>
    <row r="1695" customFormat="false" ht="15" hidden="false" customHeight="false" outlineLevel="0" collapsed="false">
      <c r="A1695" s="0" t="s">
        <v>57</v>
      </c>
      <c r="B1695" s="0" t="s">
        <v>58</v>
      </c>
      <c r="C1695" s="0" t="s">
        <v>56</v>
      </c>
      <c r="D1695" s="0" t="s">
        <v>163</v>
      </c>
      <c r="E1695" s="0" t="n">
        <v>36</v>
      </c>
      <c r="F1695" s="0" t="n">
        <v>1</v>
      </c>
      <c r="G1695" s="0" t="n">
        <v>8</v>
      </c>
      <c r="H1695" s="0" t="n">
        <v>71</v>
      </c>
      <c r="I1695" s="0" t="n">
        <f aca="false">30.7+6.1</f>
        <v>36.8</v>
      </c>
      <c r="J1695" s="0" t="n">
        <f aca="false">(I1695/32)*5</f>
        <v>5.75</v>
      </c>
      <c r="L1695" s="0" t="n">
        <v>28.5</v>
      </c>
      <c r="M1695" s="0" t="n">
        <v>0</v>
      </c>
      <c r="N1695" s="0" t="n">
        <f aca="false">L1695</f>
        <v>28.5</v>
      </c>
      <c r="O1695" s="3" t="n">
        <f aca="false">LOOKUP(L1695,$AB$3:$AC$123)</f>
        <v>1.119875</v>
      </c>
      <c r="P1695" s="3" t="n">
        <f aca="false">(O1695*(N1695/100)*(J1695/1000))*1000</f>
        <v>1.83519515625</v>
      </c>
      <c r="Q1695" s="3"/>
      <c r="R1695" s="3" t="n">
        <v>3</v>
      </c>
      <c r="S1695" s="1"/>
      <c r="T1695" s="1"/>
      <c r="U1695" s="1"/>
      <c r="V1695" s="1"/>
      <c r="W1695" s="1"/>
      <c r="X1695" s="1"/>
      <c r="Y1695" s="5"/>
      <c r="Z1695" s="1"/>
    </row>
    <row r="1696" customFormat="false" ht="15" hidden="false" customHeight="false" outlineLevel="0" collapsed="false">
      <c r="A1696" s="0" t="s">
        <v>59</v>
      </c>
      <c r="B1696" s="0" t="s">
        <v>60</v>
      </c>
      <c r="C1696" s="0" t="s">
        <v>56</v>
      </c>
      <c r="D1696" s="0" t="s">
        <v>163</v>
      </c>
      <c r="E1696" s="0" t="n">
        <v>36</v>
      </c>
      <c r="F1696" s="0" t="n">
        <v>2</v>
      </c>
      <c r="G1696" s="0" t="n">
        <v>13</v>
      </c>
      <c r="H1696" s="0" t="n">
        <v>67</v>
      </c>
      <c r="I1696" s="0" t="n">
        <f aca="false">32*4-2.8</f>
        <v>125.2</v>
      </c>
      <c r="J1696" s="0" t="n">
        <f aca="false">(I1696/32)*5</f>
        <v>19.5625</v>
      </c>
      <c r="L1696" s="0" t="n">
        <v>22</v>
      </c>
      <c r="M1696" s="0" t="n">
        <v>0</v>
      </c>
      <c r="N1696" s="0" t="n">
        <f aca="false">L1696</f>
        <v>22</v>
      </c>
      <c r="O1696" s="3" t="n">
        <f aca="false">LOOKUP(L1696,$AB$3:$AC$123)</f>
        <v>1.0899</v>
      </c>
      <c r="P1696" s="3" t="n">
        <f aca="false">(O1696*(N1696/100)*(J1696/1000))*1000</f>
        <v>4.690657125</v>
      </c>
      <c r="Q1696" s="3"/>
      <c r="R1696" s="3" t="n">
        <v>3</v>
      </c>
      <c r="S1696" s="1"/>
      <c r="T1696" s="1"/>
      <c r="U1696" s="1"/>
      <c r="V1696" s="1"/>
      <c r="W1696" s="1"/>
      <c r="X1696" s="1"/>
      <c r="Y1696" s="5"/>
      <c r="Z1696" s="1"/>
    </row>
    <row r="1697" customFormat="false" ht="15" hidden="false" customHeight="false" outlineLevel="0" collapsed="false">
      <c r="A1697" s="0" t="s">
        <v>61</v>
      </c>
      <c r="B1697" s="0" t="s">
        <v>62</v>
      </c>
      <c r="C1697" s="0" t="s">
        <v>56</v>
      </c>
      <c r="D1697" s="0" t="s">
        <v>163</v>
      </c>
      <c r="E1697" s="0" t="n">
        <v>36</v>
      </c>
      <c r="F1697" s="0" t="n">
        <v>1</v>
      </c>
      <c r="G1697" s="0" t="n">
        <v>16</v>
      </c>
      <c r="H1697" s="0" t="n">
        <v>84</v>
      </c>
      <c r="I1697" s="0" t="n">
        <v>32</v>
      </c>
      <c r="J1697" s="0" t="n">
        <f aca="false">(I1697/32)*5</f>
        <v>5</v>
      </c>
      <c r="L1697" s="0" t="n">
        <v>22</v>
      </c>
      <c r="M1697" s="0" t="n">
        <v>0</v>
      </c>
      <c r="N1697" s="0" t="n">
        <f aca="false">L1697</f>
        <v>22</v>
      </c>
      <c r="O1697" s="3" t="n">
        <f aca="false">LOOKUP(L1697,$AB$3:$AC$123)</f>
        <v>1.0899</v>
      </c>
      <c r="P1697" s="3" t="n">
        <f aca="false">(O1697*(N1697/100)*(J1697/1000))*1000</f>
        <v>1.19889</v>
      </c>
      <c r="Q1697" s="3"/>
      <c r="R1697" s="3" t="n">
        <v>6</v>
      </c>
      <c r="S1697" s="1"/>
      <c r="T1697" s="1"/>
      <c r="U1697" s="1"/>
      <c r="V1697" s="1"/>
      <c r="W1697" s="1"/>
      <c r="X1697" s="1"/>
      <c r="Y1697" s="5"/>
      <c r="Z1697" s="1"/>
    </row>
    <row r="1698" customFormat="false" ht="15" hidden="false" customHeight="false" outlineLevel="0" collapsed="false">
      <c r="A1698" s="0" t="s">
        <v>63</v>
      </c>
      <c r="B1698" s="0" t="s">
        <v>64</v>
      </c>
      <c r="C1698" s="0" t="s">
        <v>56</v>
      </c>
      <c r="D1698" s="0" t="s">
        <v>163</v>
      </c>
      <c r="E1698" s="0" t="n">
        <v>36</v>
      </c>
      <c r="F1698" s="0" t="n">
        <v>0</v>
      </c>
      <c r="G1698" s="0" t="n">
        <v>5</v>
      </c>
      <c r="H1698" s="0" t="n">
        <v>30</v>
      </c>
      <c r="I1698" s="0" t="n">
        <v>0</v>
      </c>
      <c r="J1698" s="0" t="n">
        <f aca="false">(I1698/32)*5</f>
        <v>0</v>
      </c>
      <c r="L1698" s="0" t="n">
        <v>0</v>
      </c>
      <c r="M1698" s="0" t="n">
        <v>0</v>
      </c>
      <c r="N1698" s="0" t="n">
        <f aca="false">L1698</f>
        <v>0</v>
      </c>
      <c r="O1698" s="3" t="n">
        <v>0</v>
      </c>
      <c r="P1698" s="3" t="n">
        <f aca="false">(O1698*(N1698/100)*(J1698/1000))*1000</f>
        <v>0</v>
      </c>
      <c r="Q1698" s="3"/>
      <c r="R1698" s="3" t="n">
        <v>1</v>
      </c>
      <c r="S1698" s="1"/>
      <c r="T1698" s="1"/>
      <c r="U1698" s="1"/>
      <c r="V1698" s="1"/>
      <c r="W1698" s="1"/>
      <c r="X1698" s="1"/>
      <c r="Y1698" s="5"/>
      <c r="Z1698" s="1"/>
    </row>
    <row r="1699" customFormat="false" ht="15" hidden="false" customHeight="false" outlineLevel="0" collapsed="false">
      <c r="A1699" s="0" t="s">
        <v>65</v>
      </c>
      <c r="B1699" s="0" t="s">
        <v>66</v>
      </c>
      <c r="C1699" s="0" t="s">
        <v>56</v>
      </c>
      <c r="D1699" s="0" t="s">
        <v>163</v>
      </c>
      <c r="E1699" s="0" t="n">
        <v>36</v>
      </c>
      <c r="F1699" s="0" t="n">
        <v>2</v>
      </c>
      <c r="G1699" s="0" t="n">
        <v>16</v>
      </c>
      <c r="H1699" s="0" t="n">
        <v>119</v>
      </c>
      <c r="I1699" s="0" t="n">
        <f aca="false">23.2+24.4+20.1</f>
        <v>67.7</v>
      </c>
      <c r="J1699" s="0" t="n">
        <f aca="false">(I1699/32)*5</f>
        <v>10.578125</v>
      </c>
      <c r="L1699" s="0" t="n">
        <v>18</v>
      </c>
      <c r="M1699" s="0" t="n">
        <v>0</v>
      </c>
      <c r="N1699" s="0" t="n">
        <f aca="false">L1699</f>
        <v>18</v>
      </c>
      <c r="O1699" s="3" t="n">
        <f aca="false">LOOKUP(L1699,$AB$3:$AC$123)</f>
        <v>1.0722</v>
      </c>
      <c r="P1699" s="3" t="n">
        <f aca="false">(O1699*(N1699/100)*(J1699/1000))*1000</f>
        <v>2.0415358125</v>
      </c>
      <c r="Q1699" s="3"/>
      <c r="R1699" s="3" t="n">
        <v>6</v>
      </c>
      <c r="S1699" s="1"/>
      <c r="T1699" s="1"/>
      <c r="U1699" s="1"/>
      <c r="V1699" s="1"/>
      <c r="W1699" s="1"/>
      <c r="X1699" s="1"/>
      <c r="Y1699" s="5"/>
      <c r="Z1699" s="1"/>
    </row>
    <row r="1700" customFormat="false" ht="15" hidden="false" customHeight="false" outlineLevel="0" collapsed="false">
      <c r="A1700" s="0" t="s">
        <v>67</v>
      </c>
      <c r="B1700" s="0" t="s">
        <v>68</v>
      </c>
      <c r="C1700" s="0" t="s">
        <v>56</v>
      </c>
      <c r="D1700" s="0" t="s">
        <v>163</v>
      </c>
      <c r="E1700" s="0" t="n">
        <v>36</v>
      </c>
      <c r="F1700" s="0" t="n">
        <v>0</v>
      </c>
      <c r="G1700" s="0" t="n">
        <v>12</v>
      </c>
      <c r="H1700" s="0" t="n">
        <v>88</v>
      </c>
      <c r="I1700" s="0" t="n">
        <v>0</v>
      </c>
      <c r="J1700" s="0" t="n">
        <f aca="false">(I1700/32)*5</f>
        <v>0</v>
      </c>
      <c r="L1700" s="0" t="n">
        <v>0</v>
      </c>
      <c r="M1700" s="0" t="n">
        <v>0</v>
      </c>
      <c r="N1700" s="0" t="n">
        <f aca="false">L1700</f>
        <v>0</v>
      </c>
      <c r="O1700" s="3" t="n">
        <v>0</v>
      </c>
      <c r="P1700" s="3" t="n">
        <f aca="false">(O1700*(N1700/100)*(J1700/1000))*1000</f>
        <v>0</v>
      </c>
      <c r="Q1700" s="3"/>
      <c r="R1700" s="3" t="n">
        <v>6</v>
      </c>
      <c r="S1700" s="1"/>
      <c r="T1700" s="1"/>
      <c r="U1700" s="1"/>
      <c r="V1700" s="1"/>
      <c r="W1700" s="1"/>
      <c r="X1700" s="1"/>
      <c r="Y1700" s="5"/>
      <c r="Z1700" s="1"/>
    </row>
    <row r="1701" customFormat="false" ht="15" hidden="false" customHeight="false" outlineLevel="0" collapsed="false">
      <c r="A1701" s="0" t="s">
        <v>69</v>
      </c>
      <c r="B1701" s="0" t="s">
        <v>70</v>
      </c>
      <c r="C1701" s="0" t="s">
        <v>56</v>
      </c>
      <c r="D1701" s="0" t="s">
        <v>163</v>
      </c>
      <c r="E1701" s="0" t="n">
        <v>36</v>
      </c>
      <c r="F1701" s="0" t="n">
        <v>1</v>
      </c>
      <c r="G1701" s="0" t="n">
        <v>10</v>
      </c>
      <c r="H1701" s="0" t="n">
        <v>116</v>
      </c>
      <c r="I1701" s="0" t="n">
        <f aca="false">15.6+23.8</f>
        <v>39.4</v>
      </c>
      <c r="J1701" s="0" t="n">
        <f aca="false">(I1701/32)*5</f>
        <v>6.15625</v>
      </c>
      <c r="L1701" s="0" t="n">
        <v>22.5</v>
      </c>
      <c r="M1701" s="0" t="n">
        <v>0</v>
      </c>
      <c r="N1701" s="0" t="n">
        <f aca="false">L1701</f>
        <v>22.5</v>
      </c>
      <c r="O1701" s="3" t="n">
        <f aca="false">LOOKUP(L1701,$AB$3:$AC$123)</f>
        <v>1.092175</v>
      </c>
      <c r="P1701" s="3" t="n">
        <f aca="false">(O1701*(N1701/100)*(J1701/1000))*1000</f>
        <v>1.51283302734375</v>
      </c>
      <c r="Q1701" s="3"/>
      <c r="R1701" s="3" t="n">
        <v>7</v>
      </c>
      <c r="S1701" s="1"/>
      <c r="T1701" s="1"/>
      <c r="U1701" s="1"/>
      <c r="V1701" s="1"/>
      <c r="W1701" s="1"/>
      <c r="X1701" s="1"/>
      <c r="Y1701" s="5"/>
      <c r="Z1701" s="1"/>
    </row>
    <row r="1702" customFormat="false" ht="15" hidden="false" customHeight="false" outlineLevel="0" collapsed="false">
      <c r="A1702" s="0" t="s">
        <v>71</v>
      </c>
      <c r="B1702" s="0" t="s">
        <v>72</v>
      </c>
      <c r="C1702" s="0" t="s">
        <v>56</v>
      </c>
      <c r="D1702" s="0" t="s">
        <v>163</v>
      </c>
      <c r="E1702" s="0" t="n">
        <v>36</v>
      </c>
      <c r="F1702" s="0" t="n">
        <v>0</v>
      </c>
      <c r="G1702" s="0" t="n">
        <v>4</v>
      </c>
      <c r="H1702" s="0" t="n">
        <v>43</v>
      </c>
      <c r="I1702" s="0" t="n">
        <v>0</v>
      </c>
      <c r="J1702" s="0" t="n">
        <f aca="false">(I1702/32)*5</f>
        <v>0</v>
      </c>
      <c r="L1702" s="0" t="n">
        <v>0</v>
      </c>
      <c r="M1702" s="0" t="n">
        <v>0</v>
      </c>
      <c r="N1702" s="0" t="n">
        <f aca="false">L1702</f>
        <v>0</v>
      </c>
      <c r="O1702" s="3" t="n">
        <v>0</v>
      </c>
      <c r="P1702" s="3" t="n">
        <f aca="false">(O1702*(N1702/100)*(J1702/1000))*1000</f>
        <v>0</v>
      </c>
      <c r="Q1702" s="3"/>
      <c r="R1702" s="3" t="n">
        <v>3</v>
      </c>
      <c r="S1702" s="1"/>
      <c r="T1702" s="1"/>
      <c r="U1702" s="1"/>
      <c r="V1702" s="1"/>
      <c r="W1702" s="1"/>
      <c r="X1702" s="1"/>
      <c r="Y1702" s="5"/>
      <c r="Z1702" s="1"/>
    </row>
    <row r="1703" customFormat="false" ht="15" hidden="false" customHeight="false" outlineLevel="0" collapsed="false">
      <c r="A1703" s="0" t="s">
        <v>73</v>
      </c>
      <c r="B1703" s="0" t="s">
        <v>74</v>
      </c>
      <c r="C1703" s="0" t="s">
        <v>56</v>
      </c>
      <c r="D1703" s="0" t="s">
        <v>163</v>
      </c>
      <c r="E1703" s="0" t="n">
        <v>36</v>
      </c>
      <c r="F1703" s="0" t="n">
        <v>0</v>
      </c>
      <c r="G1703" s="0" t="n">
        <v>10</v>
      </c>
      <c r="H1703" s="0" t="n">
        <v>59</v>
      </c>
      <c r="I1703" s="0" t="n">
        <v>0</v>
      </c>
      <c r="J1703" s="0" t="n">
        <f aca="false">(I1703/32)*5</f>
        <v>0</v>
      </c>
      <c r="L1703" s="0" t="n">
        <v>0</v>
      </c>
      <c r="M1703" s="0" t="n">
        <v>0</v>
      </c>
      <c r="N1703" s="0" t="n">
        <f aca="false">L1703</f>
        <v>0</v>
      </c>
      <c r="O1703" s="3" t="n">
        <v>0</v>
      </c>
      <c r="P1703" s="3" t="n">
        <f aca="false">(O1703*(N1703/100)*(J1703/1000))*1000</f>
        <v>0</v>
      </c>
      <c r="Q1703" s="3"/>
      <c r="R1703" s="3" t="n">
        <v>8</v>
      </c>
      <c r="S1703" s="1"/>
      <c r="T1703" s="1"/>
      <c r="U1703" s="1"/>
      <c r="V1703" s="1"/>
      <c r="W1703" s="1"/>
      <c r="X1703" s="1"/>
      <c r="Y1703" s="5"/>
      <c r="Z1703" s="1"/>
    </row>
    <row r="1704" customFormat="false" ht="15" hidden="false" customHeight="false" outlineLevel="0" collapsed="false">
      <c r="A1704" s="0" t="s">
        <v>75</v>
      </c>
      <c r="B1704" s="0" t="s">
        <v>76</v>
      </c>
      <c r="C1704" s="0" t="s">
        <v>56</v>
      </c>
      <c r="D1704" s="0" t="s">
        <v>163</v>
      </c>
      <c r="E1704" s="0" t="n">
        <v>36</v>
      </c>
      <c r="F1704" s="0" t="n">
        <v>0</v>
      </c>
      <c r="G1704" s="0" t="n">
        <v>17</v>
      </c>
      <c r="H1704" s="0" t="n">
        <v>87</v>
      </c>
      <c r="I1704" s="0" t="n">
        <v>0</v>
      </c>
      <c r="J1704" s="0" t="n">
        <f aca="false">(I1704/32)*5</f>
        <v>0</v>
      </c>
      <c r="L1704" s="0" t="n">
        <v>0</v>
      </c>
      <c r="M1704" s="0" t="n">
        <v>0</v>
      </c>
      <c r="N1704" s="0" t="n">
        <f aca="false">L1704</f>
        <v>0</v>
      </c>
      <c r="O1704" s="3" t="n">
        <v>0</v>
      </c>
      <c r="P1704" s="3" t="n">
        <f aca="false">(O1704*(N1704/100)*(J1704/1000))*1000</f>
        <v>0</v>
      </c>
      <c r="Q1704" s="3"/>
      <c r="R1704" s="3" t="n">
        <v>7</v>
      </c>
      <c r="S1704" s="1"/>
      <c r="T1704" s="1"/>
      <c r="U1704" s="1"/>
      <c r="V1704" s="1"/>
      <c r="W1704" s="1"/>
      <c r="X1704" s="1"/>
      <c r="Y1704" s="5"/>
      <c r="Z1704" s="1"/>
    </row>
    <row r="1705" customFormat="false" ht="15" hidden="false" customHeight="false" outlineLevel="0" collapsed="false">
      <c r="A1705" s="0" t="s">
        <v>77</v>
      </c>
      <c r="B1705" s="0" t="s">
        <v>78</v>
      </c>
      <c r="C1705" s="0" t="s">
        <v>56</v>
      </c>
      <c r="D1705" s="0" t="s">
        <v>163</v>
      </c>
      <c r="E1705" s="0" t="n">
        <v>36</v>
      </c>
      <c r="F1705" s="0" t="n">
        <v>1</v>
      </c>
      <c r="G1705" s="0" t="n">
        <v>12</v>
      </c>
      <c r="H1705" s="0" t="n">
        <v>74</v>
      </c>
      <c r="I1705" s="0" t="n">
        <f aca="false">8.1+14.7</f>
        <v>22.8</v>
      </c>
      <c r="J1705" s="0" t="n">
        <f aca="false">(I1705/32)*5</f>
        <v>3.5625</v>
      </c>
      <c r="L1705" s="0" t="n">
        <v>20</v>
      </c>
      <c r="M1705" s="0" t="n">
        <v>0</v>
      </c>
      <c r="N1705" s="0" t="n">
        <f aca="false">L1705</f>
        <v>20</v>
      </c>
      <c r="O1705" s="3" t="n">
        <f aca="false">LOOKUP(L1705,$AB$3:$AC$123)</f>
        <v>1.081</v>
      </c>
      <c r="P1705" s="3" t="n">
        <f aca="false">(O1705*(N1705/100)*(J1705/1000))*1000</f>
        <v>0.7702125</v>
      </c>
      <c r="Q1705" s="3"/>
      <c r="R1705" s="3" t="n">
        <v>8</v>
      </c>
      <c r="S1705" s="1"/>
      <c r="T1705" s="1"/>
      <c r="U1705" s="1"/>
      <c r="V1705" s="1"/>
      <c r="W1705" s="1"/>
      <c r="X1705" s="1"/>
      <c r="Y1705" s="5"/>
      <c r="Z1705" s="1"/>
    </row>
    <row r="1706" customFormat="false" ht="15" hidden="false" customHeight="false" outlineLevel="0" collapsed="false">
      <c r="A1706" s="0" t="s">
        <v>79</v>
      </c>
      <c r="B1706" s="0" t="s">
        <v>80</v>
      </c>
      <c r="C1706" s="0" t="s">
        <v>81</v>
      </c>
      <c r="D1706" s="0" t="s">
        <v>163</v>
      </c>
      <c r="E1706" s="0" t="n">
        <v>36</v>
      </c>
      <c r="F1706" s="0" t="n">
        <v>0</v>
      </c>
      <c r="G1706" s="0" t="n">
        <v>10</v>
      </c>
      <c r="H1706" s="0" t="n">
        <v>52</v>
      </c>
      <c r="I1706" s="0" t="n">
        <v>0</v>
      </c>
      <c r="J1706" s="0" t="n">
        <f aca="false">(I1706/32)*5</f>
        <v>0</v>
      </c>
      <c r="L1706" s="0" t="n">
        <v>0</v>
      </c>
      <c r="M1706" s="0" t="n">
        <v>0</v>
      </c>
      <c r="N1706" s="0" t="n">
        <f aca="false">L1706</f>
        <v>0</v>
      </c>
      <c r="O1706" s="3" t="n">
        <v>0</v>
      </c>
      <c r="P1706" s="3" t="n">
        <f aca="false">(O1706*(N1706/100)*(J1706/1000))*1000</f>
        <v>0</v>
      </c>
      <c r="Q1706" s="3"/>
      <c r="R1706" s="0" t="n">
        <v>5</v>
      </c>
      <c r="S1706" s="0" t="n">
        <v>7.6</v>
      </c>
      <c r="T1706" s="0" t="n">
        <f aca="false">(S1706/32)*5</f>
        <v>1.1875</v>
      </c>
      <c r="V1706" s="0" t="n">
        <v>12.5</v>
      </c>
      <c r="W1706" s="0" t="n">
        <v>4</v>
      </c>
      <c r="X1706" s="3" t="n">
        <f aca="false">LOOKUP(V1706,$AB$3:$AC$123)</f>
        <v>1.0486</v>
      </c>
      <c r="Y1706" s="2" t="n">
        <f aca="false">(V1706*((W1706+T1706)/1000)*X1706)/((((W1706+T1706)/1000)*X1706)-((W1706/1000)*0.9982))</f>
        <v>46.996522527971</v>
      </c>
      <c r="Z1706" s="3" t="n">
        <f aca="false">(X1706*(V1706/100)*((W1706+T1706)/1000))*1000</f>
        <v>0.6799515625</v>
      </c>
    </row>
    <row r="1707" customFormat="false" ht="15" hidden="false" customHeight="false" outlineLevel="0" collapsed="false">
      <c r="A1707" s="0" t="s">
        <v>82</v>
      </c>
      <c r="B1707" s="0" t="s">
        <v>83</v>
      </c>
      <c r="C1707" s="0" t="s">
        <v>81</v>
      </c>
      <c r="D1707" s="0" t="s">
        <v>163</v>
      </c>
      <c r="E1707" s="0" t="n">
        <v>36</v>
      </c>
      <c r="F1707" s="0" t="n">
        <v>1</v>
      </c>
      <c r="G1707" s="0" t="n">
        <v>6</v>
      </c>
      <c r="H1707" s="0" t="n">
        <v>40</v>
      </c>
      <c r="I1707" s="0" t="n">
        <f aca="false">22.1+29.3</f>
        <v>51.4</v>
      </c>
      <c r="J1707" s="0" t="n">
        <f aca="false">(I1707/32)*5</f>
        <v>8.03125</v>
      </c>
      <c r="L1707" s="0" t="n">
        <v>23</v>
      </c>
      <c r="M1707" s="0" t="n">
        <v>0</v>
      </c>
      <c r="N1707" s="0" t="n">
        <f aca="false">L1707</f>
        <v>23</v>
      </c>
      <c r="O1707" s="3" t="n">
        <f aca="false">LOOKUP(L1707,$AB$3:$AC$123)</f>
        <v>1.09445</v>
      </c>
      <c r="P1707" s="3" t="n">
        <f aca="false">(O1707*(N1707/100)*(J1707/1000))*1000</f>
        <v>2.021654359375</v>
      </c>
      <c r="Q1707" s="3"/>
      <c r="R1707" s="0" t="n">
        <v>4</v>
      </c>
      <c r="S1707" s="0" t="n">
        <v>14.2</v>
      </c>
      <c r="T1707" s="0" t="n">
        <f aca="false">(S1707/32)*5</f>
        <v>2.21875</v>
      </c>
      <c r="V1707" s="0" t="n">
        <v>27.5</v>
      </c>
      <c r="W1707" s="0" t="n">
        <v>4</v>
      </c>
      <c r="X1707" s="3" t="n">
        <f aca="false">LOOKUP(V1707,$AB$3:$AC$123)</f>
        <v>1.11515</v>
      </c>
      <c r="Y1707" s="2" t="n">
        <f aca="false">(V1707*((W1707+T1707)/1000)*X1707)/((((W1707+T1707)/1000)*X1707)-((W1707/1000)*0.9982))</f>
        <v>64.8217342351313</v>
      </c>
      <c r="Z1707" s="3" t="n">
        <f aca="false">(X1707*(V1707/100)*((W1707+T1707)/1000))*1000</f>
        <v>1.9070807421875</v>
      </c>
    </row>
    <row r="1708" customFormat="false" ht="15" hidden="false" customHeight="false" outlineLevel="0" collapsed="false">
      <c r="A1708" s="0" t="s">
        <v>84</v>
      </c>
      <c r="B1708" s="0" t="s">
        <v>85</v>
      </c>
      <c r="C1708" s="0" t="s">
        <v>81</v>
      </c>
      <c r="D1708" s="0" t="s">
        <v>163</v>
      </c>
      <c r="E1708" s="0" t="n">
        <v>36</v>
      </c>
      <c r="F1708" s="0" t="n">
        <v>1</v>
      </c>
      <c r="G1708" s="0" t="n">
        <v>11</v>
      </c>
      <c r="H1708" s="0" t="n">
        <v>65</v>
      </c>
      <c r="I1708" s="0" t="n">
        <f aca="false">30.2+13.4</f>
        <v>43.6</v>
      </c>
      <c r="J1708" s="0" t="n">
        <f aca="false">(I1708/32)*5</f>
        <v>6.8125</v>
      </c>
      <c r="L1708" s="0" t="n">
        <v>25</v>
      </c>
      <c r="M1708" s="0" t="n">
        <v>0</v>
      </c>
      <c r="N1708" s="0" t="n">
        <f aca="false">L1708</f>
        <v>25</v>
      </c>
      <c r="O1708" s="3" t="n">
        <f aca="false">LOOKUP(L1708,$AB$3:$AC$123)</f>
        <v>1.10355</v>
      </c>
      <c r="P1708" s="3" t="n">
        <f aca="false">(O1708*(N1708/100)*(J1708/1000))*1000</f>
        <v>1.87948359375</v>
      </c>
      <c r="Q1708" s="3"/>
      <c r="R1708" s="0" t="n">
        <v>5</v>
      </c>
      <c r="S1708" s="0" t="n">
        <v>25</v>
      </c>
      <c r="T1708" s="0" t="n">
        <f aca="false">(S1708/32)*5</f>
        <v>3.90625</v>
      </c>
      <c r="V1708" s="0" t="n">
        <v>33.5</v>
      </c>
      <c r="W1708" s="0" t="n">
        <v>8</v>
      </c>
      <c r="X1708" s="3" t="n">
        <f aca="false">LOOKUP(V1708,$AB$3:$AC$123)</f>
        <v>1.14395</v>
      </c>
      <c r="Y1708" s="2" t="n">
        <f aca="false">(V1708*((W1708+T1708)/1000)*X1708)/((((W1708+T1708)/1000)*X1708)-((W1708/1000)*0.9982))</f>
        <v>80.9780377220361</v>
      </c>
      <c r="Z1708" s="3" t="n">
        <f aca="false">(X1708*(V1708/100)*((W1708+T1708)/1000))*1000</f>
        <v>4.5627518203125</v>
      </c>
    </row>
    <row r="1709" customFormat="false" ht="15" hidden="false" customHeight="false" outlineLevel="0" collapsed="false">
      <c r="A1709" s="0" t="s">
        <v>86</v>
      </c>
      <c r="B1709" s="0" t="s">
        <v>87</v>
      </c>
      <c r="C1709" s="0" t="s">
        <v>81</v>
      </c>
      <c r="D1709" s="0" t="s">
        <v>163</v>
      </c>
      <c r="E1709" s="0" t="n">
        <v>36</v>
      </c>
      <c r="F1709" s="0" t="n">
        <v>2</v>
      </c>
      <c r="G1709" s="0" t="n">
        <v>9</v>
      </c>
      <c r="H1709" s="0" t="n">
        <v>58</v>
      </c>
      <c r="I1709" s="0" t="n">
        <f aca="false">29.4+26.7</f>
        <v>56.1</v>
      </c>
      <c r="J1709" s="0" t="n">
        <f aca="false">(I1709/32)*5</f>
        <v>8.765625</v>
      </c>
      <c r="L1709" s="0" t="n">
        <v>24</v>
      </c>
      <c r="M1709" s="0" t="n">
        <v>0</v>
      </c>
      <c r="N1709" s="0" t="n">
        <f aca="false">L1709</f>
        <v>24</v>
      </c>
      <c r="O1709" s="3" t="n">
        <f aca="false">LOOKUP(L1709,$AB$3:$AC$123)</f>
        <v>1.099</v>
      </c>
      <c r="P1709" s="3" t="n">
        <f aca="false">(O1709*(N1709/100)*(J1709/1000))*1000</f>
        <v>2.31202125</v>
      </c>
      <c r="Q1709" s="3"/>
      <c r="R1709" s="0" t="n">
        <v>3</v>
      </c>
      <c r="S1709" s="0" t="n">
        <v>13.3</v>
      </c>
      <c r="T1709" s="0" t="n">
        <f aca="false">(S1709/32)*5</f>
        <v>2.078125</v>
      </c>
      <c r="V1709" s="0" t="n">
        <v>22.5</v>
      </c>
      <c r="W1709" s="0" t="n">
        <v>4</v>
      </c>
      <c r="X1709" s="3" t="n">
        <f aca="false">LOOKUP(V1709,$AB$3:$AC$123)</f>
        <v>1.092175</v>
      </c>
      <c r="Y1709" s="2" t="n">
        <f aca="false">(V1709*((W1709+T1709)/1000)*X1709)/((((W1709+T1709)/1000)*X1709)-((W1709/1000)*0.9982))</f>
        <v>56.457820211364</v>
      </c>
      <c r="Z1709" s="3" t="n">
        <f aca="false">(X1709*(V1709/100)*((W1709+T1709)/1000))*1000</f>
        <v>1.49363463867188</v>
      </c>
    </row>
    <row r="1710" customFormat="false" ht="15" hidden="false" customHeight="false" outlineLevel="0" collapsed="false">
      <c r="A1710" s="0" t="s">
        <v>88</v>
      </c>
      <c r="B1710" s="0" t="s">
        <v>89</v>
      </c>
      <c r="C1710" s="0" t="s">
        <v>81</v>
      </c>
      <c r="D1710" s="0" t="s">
        <v>163</v>
      </c>
      <c r="E1710" s="0" t="n">
        <v>36</v>
      </c>
      <c r="F1710" s="0" t="n">
        <v>2</v>
      </c>
      <c r="G1710" s="0" t="n">
        <v>13</v>
      </c>
      <c r="H1710" s="0" t="n">
        <v>73</v>
      </c>
      <c r="I1710" s="0" t="n">
        <f aca="false">30.6+17.5</f>
        <v>48.1</v>
      </c>
      <c r="J1710" s="0" t="n">
        <f aca="false">(I1710/32)*5</f>
        <v>7.515625</v>
      </c>
      <c r="L1710" s="0" t="n">
        <v>20</v>
      </c>
      <c r="M1710" s="0" t="n">
        <v>0</v>
      </c>
      <c r="N1710" s="0" t="n">
        <f aca="false">L1710</f>
        <v>20</v>
      </c>
      <c r="O1710" s="3" t="n">
        <f aca="false">LOOKUP(L1710,$AB$3:$AC$123)</f>
        <v>1.081</v>
      </c>
      <c r="P1710" s="3" t="n">
        <f aca="false">(O1710*(N1710/100)*(J1710/1000))*1000</f>
        <v>1.624878125</v>
      </c>
      <c r="Q1710" s="3"/>
      <c r="R1710" s="0" t="n">
        <v>4</v>
      </c>
      <c r="S1710" s="0" t="n">
        <v>15.6</v>
      </c>
      <c r="T1710" s="0" t="n">
        <f aca="false">(S1710/32)*5</f>
        <v>2.4375</v>
      </c>
      <c r="V1710" s="0" t="n">
        <v>32</v>
      </c>
      <c r="W1710" s="0" t="n">
        <v>4</v>
      </c>
      <c r="X1710" s="3" t="n">
        <f aca="false">LOOKUP(V1710,$AB$3:$AC$123)</f>
        <v>1.1366</v>
      </c>
      <c r="Y1710" s="2" t="n">
        <f aca="false">(V1710*((W1710+T1710)/1000)*X1710)/((((W1710+T1710)/1000)*X1710)-((W1710/1000)*0.9982))</f>
        <v>70.437785089781</v>
      </c>
      <c r="Z1710" s="3" t="n">
        <f aca="false">(X1710*(V1710/100)*((W1710+T1710)/1000))*1000</f>
        <v>2.341396</v>
      </c>
    </row>
    <row r="1711" customFormat="false" ht="15" hidden="false" customHeight="false" outlineLevel="0" collapsed="false">
      <c r="A1711" s="0" t="s">
        <v>90</v>
      </c>
      <c r="B1711" s="0" t="s">
        <v>91</v>
      </c>
      <c r="C1711" s="0" t="s">
        <v>81</v>
      </c>
      <c r="D1711" s="0" t="s">
        <v>163</v>
      </c>
      <c r="E1711" s="0" t="n">
        <v>36</v>
      </c>
      <c r="F1711" s="0" t="n">
        <v>0</v>
      </c>
      <c r="G1711" s="0" t="n">
        <v>12</v>
      </c>
      <c r="H1711" s="0" t="n">
        <v>50</v>
      </c>
      <c r="I1711" s="0" t="n">
        <v>0</v>
      </c>
      <c r="J1711" s="0" t="n">
        <f aca="false">(I1711/32)*5</f>
        <v>0</v>
      </c>
      <c r="L1711" s="0" t="n">
        <v>0</v>
      </c>
      <c r="M1711" s="0" t="n">
        <v>0</v>
      </c>
      <c r="N1711" s="0" t="n">
        <f aca="false">L1711</f>
        <v>0</v>
      </c>
      <c r="O1711" s="3" t="n">
        <v>0</v>
      </c>
      <c r="P1711" s="3" t="n">
        <f aca="false">(O1711*(N1711/100)*(J1711/1000))*1000</f>
        <v>0</v>
      </c>
      <c r="Q1711" s="3"/>
      <c r="R1711" s="0" t="n">
        <v>3</v>
      </c>
      <c r="S1711" s="0" t="n">
        <v>10.6</v>
      </c>
      <c r="T1711" s="0" t="n">
        <f aca="false">(S1711/32)*5</f>
        <v>1.65625</v>
      </c>
      <c r="V1711" s="0" t="n">
        <v>14</v>
      </c>
      <c r="W1711" s="0" t="n">
        <v>4</v>
      </c>
      <c r="X1711" s="3" t="n">
        <f aca="false">LOOKUP(V1711,$AB$3:$AC$123)</f>
        <v>1.0549</v>
      </c>
      <c r="Y1711" s="2" t="n">
        <f aca="false">(V1711*((W1711+T1711)/1000)*X1711)/((((W1711+T1711)/1000)*X1711)-((W1711/1000)*0.9982))</f>
        <v>42.318044304569</v>
      </c>
      <c r="Z1711" s="3" t="n">
        <f aca="false">(X1711*(V1711/100)*((W1711+T1711)/1000))*1000</f>
        <v>0.8353489375</v>
      </c>
    </row>
    <row r="1712" customFormat="false" ht="15" hidden="false" customHeight="false" outlineLevel="0" collapsed="false">
      <c r="A1712" s="0" t="s">
        <v>92</v>
      </c>
      <c r="B1712" s="0" t="s">
        <v>93</v>
      </c>
      <c r="C1712" s="0" t="s">
        <v>81</v>
      </c>
      <c r="D1712" s="0" t="s">
        <v>163</v>
      </c>
      <c r="E1712" s="0" t="n">
        <v>36</v>
      </c>
      <c r="F1712" s="0" t="n">
        <v>1</v>
      </c>
      <c r="G1712" s="0" t="n">
        <v>13</v>
      </c>
      <c r="H1712" s="0" t="n">
        <v>61</v>
      </c>
      <c r="I1712" s="0" t="n">
        <v>22.7</v>
      </c>
      <c r="J1712" s="0" t="n">
        <f aca="false">(I1712/32)*5</f>
        <v>3.546875</v>
      </c>
      <c r="L1712" s="0" t="n">
        <v>21.5</v>
      </c>
      <c r="M1712" s="0" t="n">
        <v>0</v>
      </c>
      <c r="N1712" s="0" t="n">
        <f aca="false">L1712</f>
        <v>21.5</v>
      </c>
      <c r="O1712" s="3" t="n">
        <f aca="false">LOOKUP(L1712,$AB$3:$AC$123)</f>
        <v>1.087675</v>
      </c>
      <c r="P1712" s="3" t="n">
        <f aca="false">(O1712*(N1712/100)*(J1712/1000))*1000</f>
        <v>0.829437162109375</v>
      </c>
      <c r="Q1712" s="3"/>
      <c r="R1712" s="0" t="n">
        <v>4</v>
      </c>
      <c r="S1712" s="0" t="n">
        <v>6</v>
      </c>
      <c r="T1712" s="0" t="n">
        <f aca="false">(S1712/32)*5</f>
        <v>0.9375</v>
      </c>
      <c r="V1712" s="0" t="n">
        <v>15.5</v>
      </c>
      <c r="W1712" s="0" t="n">
        <v>4</v>
      </c>
      <c r="X1712" s="3" t="n">
        <f aca="false">LOOKUP(V1712,$AB$3:$AC$123)</f>
        <v>1.06135</v>
      </c>
      <c r="Y1712" s="2" t="n">
        <f aca="false">(V1712*((W1712+T1712)/1000)*X1712)/((((W1712+T1712)/1000)*X1712)-((W1712/1000)*0.9982))</f>
        <v>65.1053421902278</v>
      </c>
      <c r="Z1712" s="3" t="n">
        <f aca="false">(X1712*(V1712/100)*((W1712+T1712)/1000))*1000</f>
        <v>0.812264421875</v>
      </c>
    </row>
    <row r="1713" customFormat="false" ht="15" hidden="false" customHeight="false" outlineLevel="0" collapsed="false">
      <c r="A1713" s="0" t="s">
        <v>94</v>
      </c>
      <c r="B1713" s="0" t="s">
        <v>95</v>
      </c>
      <c r="C1713" s="0" t="s">
        <v>81</v>
      </c>
      <c r="D1713" s="0" t="s">
        <v>163</v>
      </c>
      <c r="E1713" s="0" t="n">
        <v>36</v>
      </c>
      <c r="F1713" s="0" t="n">
        <v>0</v>
      </c>
      <c r="G1713" s="0" t="n">
        <v>19</v>
      </c>
      <c r="H1713" s="0" t="n">
        <v>87</v>
      </c>
      <c r="I1713" s="0" t="n">
        <v>0</v>
      </c>
      <c r="J1713" s="0" t="n">
        <f aca="false">(I1713/32)*5</f>
        <v>0</v>
      </c>
      <c r="L1713" s="0" t="n">
        <v>0</v>
      </c>
      <c r="M1713" s="0" t="n">
        <v>0</v>
      </c>
      <c r="N1713" s="0" t="n">
        <f aca="false">L1713</f>
        <v>0</v>
      </c>
      <c r="O1713" s="3" t="n">
        <v>0</v>
      </c>
      <c r="P1713" s="3" t="n">
        <f aca="false">(O1713*(N1713/100)*(J1713/1000))*1000</f>
        <v>0</v>
      </c>
      <c r="Q1713" s="3"/>
      <c r="R1713" s="0" t="n">
        <v>4</v>
      </c>
      <c r="S1713" s="0" t="n">
        <f aca="false">30.9+5.5</f>
        <v>36.4</v>
      </c>
      <c r="T1713" s="0" t="n">
        <f aca="false">(S1713/32)*5</f>
        <v>5.6875</v>
      </c>
      <c r="V1713" s="0" t="n">
        <v>33</v>
      </c>
      <c r="W1713" s="0" t="n">
        <v>4</v>
      </c>
      <c r="X1713" s="3" t="n">
        <f aca="false">LOOKUP(V1713,$AB$3:$AC$123)</f>
        <v>1.1415</v>
      </c>
      <c r="Y1713" s="2" t="n">
        <f aca="false">(V1713*((W1713+T1713)/1000)*X1713)/((((W1713+T1713)/1000)*X1713)-((W1713/1000)*0.9982))</f>
        <v>51.6487509254943</v>
      </c>
      <c r="Z1713" s="3" t="n">
        <f aca="false">(X1713*(V1713/100)*((W1713+T1713)/1000))*1000</f>
        <v>3.6492328125</v>
      </c>
    </row>
    <row r="1714" customFormat="false" ht="15" hidden="false" customHeight="false" outlineLevel="0" collapsed="false">
      <c r="A1714" s="0" t="s">
        <v>96</v>
      </c>
      <c r="B1714" s="0" t="s">
        <v>97</v>
      </c>
      <c r="C1714" s="0" t="s">
        <v>81</v>
      </c>
      <c r="D1714" s="0" t="s">
        <v>163</v>
      </c>
      <c r="E1714" s="0" t="n">
        <v>36</v>
      </c>
      <c r="F1714" s="0" t="n">
        <v>0</v>
      </c>
      <c r="G1714" s="0" t="n">
        <v>9</v>
      </c>
      <c r="H1714" s="0" t="n">
        <v>56</v>
      </c>
      <c r="I1714" s="0" t="n">
        <v>0</v>
      </c>
      <c r="J1714" s="0" t="n">
        <f aca="false">(I1714/32)*5</f>
        <v>0</v>
      </c>
      <c r="L1714" s="0" t="n">
        <v>0</v>
      </c>
      <c r="M1714" s="0" t="n">
        <v>0</v>
      </c>
      <c r="N1714" s="0" t="n">
        <f aca="false">L1714</f>
        <v>0</v>
      </c>
      <c r="O1714" s="3" t="n">
        <v>0</v>
      </c>
      <c r="P1714" s="3" t="n">
        <f aca="false">(O1714*(N1714/100)*(J1714/1000))*1000</f>
        <v>0</v>
      </c>
      <c r="Q1714" s="3"/>
      <c r="R1714" s="0" t="n">
        <v>3</v>
      </c>
      <c r="S1714" s="0" t="n">
        <v>2.9</v>
      </c>
      <c r="T1714" s="0" t="n">
        <f aca="false">(S1714/32)*5</f>
        <v>0.453125</v>
      </c>
      <c r="V1714" s="0" t="n">
        <v>3</v>
      </c>
      <c r="W1714" s="0" t="n">
        <v>4</v>
      </c>
      <c r="X1714" s="3" t="n">
        <f aca="false">LOOKUP(V1714,$AB$3:$AC$123)</f>
        <v>1.0099</v>
      </c>
      <c r="Y1714" s="2" t="n">
        <f aca="false">(V1714*((W1714+T1714)/1000)*X1714)/((((W1714+T1714)/1000)*X1714)-((W1714/1000)*0.9982))</f>
        <v>26.7473042503167</v>
      </c>
      <c r="Z1714" s="3" t="n">
        <f aca="false">(X1714*(V1714/100)*((W1714+T1714)/1000))*1000</f>
        <v>0.134916328125</v>
      </c>
    </row>
    <row r="1715" customFormat="false" ht="15" hidden="false" customHeight="false" outlineLevel="0" collapsed="false">
      <c r="A1715" s="0" t="s">
        <v>98</v>
      </c>
      <c r="B1715" s="0" t="s">
        <v>99</v>
      </c>
      <c r="C1715" s="0" t="s">
        <v>81</v>
      </c>
      <c r="D1715" s="0" t="s">
        <v>163</v>
      </c>
      <c r="E1715" s="0" t="n">
        <v>36</v>
      </c>
      <c r="F1715" s="0" t="n">
        <v>1</v>
      </c>
      <c r="G1715" s="0" t="n">
        <v>10</v>
      </c>
      <c r="H1715" s="0" t="n">
        <v>76</v>
      </c>
      <c r="I1715" s="0" t="n">
        <v>33.4</v>
      </c>
      <c r="J1715" s="0" t="n">
        <f aca="false">(I1715/32)*5</f>
        <v>5.21875</v>
      </c>
      <c r="L1715" s="0" t="n">
        <v>25</v>
      </c>
      <c r="M1715" s="0" t="n">
        <v>0</v>
      </c>
      <c r="N1715" s="0" t="n">
        <f aca="false">L1715</f>
        <v>25</v>
      </c>
      <c r="O1715" s="3" t="n">
        <f aca="false">LOOKUP(L1715,$AB$3:$AC$123)</f>
        <v>1.10355</v>
      </c>
      <c r="P1715" s="3" t="n">
        <f aca="false">(O1715*(N1715/100)*(J1715/1000))*1000</f>
        <v>1.439787890625</v>
      </c>
      <c r="Q1715" s="3"/>
      <c r="R1715" s="0" t="n">
        <v>6</v>
      </c>
      <c r="S1715" s="0" t="n">
        <v>9.6</v>
      </c>
      <c r="T1715" s="0" t="n">
        <f aca="false">(S1715/32)*5</f>
        <v>1.5</v>
      </c>
      <c r="V1715" s="0" t="n">
        <v>9</v>
      </c>
      <c r="W1715" s="0" t="n">
        <v>4</v>
      </c>
      <c r="X1715" s="3" t="n">
        <f aca="false">LOOKUP(V1715,$AB$3:$AC$123)</f>
        <v>1.0341</v>
      </c>
      <c r="Y1715" s="2" t="n">
        <f aca="false">(V1715*((W1715+T1715)/1000)*X1715)/((((W1715+T1715)/1000)*X1715)-((W1715/1000)*0.9982))</f>
        <v>30.203835373949</v>
      </c>
      <c r="Z1715" s="3" t="n">
        <f aca="false">(X1715*(V1715/100)*((W1715+T1715)/1000))*1000</f>
        <v>0.5118795</v>
      </c>
    </row>
    <row r="1716" customFormat="false" ht="15" hidden="false" customHeight="false" outlineLevel="0" collapsed="false">
      <c r="A1716" s="0" t="s">
        <v>100</v>
      </c>
      <c r="B1716" s="0" t="s">
        <v>101</v>
      </c>
      <c r="C1716" s="0" t="s">
        <v>81</v>
      </c>
      <c r="D1716" s="0" t="s">
        <v>163</v>
      </c>
      <c r="E1716" s="0" t="n">
        <v>36</v>
      </c>
      <c r="F1716" s="0" t="n">
        <v>1</v>
      </c>
      <c r="G1716" s="0" t="n">
        <v>5</v>
      </c>
      <c r="H1716" s="0" t="n">
        <v>33</v>
      </c>
      <c r="I1716" s="0" t="n">
        <v>26.7</v>
      </c>
      <c r="J1716" s="0" t="n">
        <f aca="false">(I1716/32)*5</f>
        <v>4.171875</v>
      </c>
      <c r="L1716" s="0" t="n">
        <v>19</v>
      </c>
      <c r="M1716" s="0" t="n">
        <v>0</v>
      </c>
      <c r="N1716" s="0" t="n">
        <f aca="false">L1716</f>
        <v>19</v>
      </c>
      <c r="O1716" s="3" t="n">
        <f aca="false">LOOKUP(L1716,$AB$3:$AC$123)</f>
        <v>1.0765</v>
      </c>
      <c r="P1716" s="3" t="n">
        <f aca="false">(O1716*(N1716/100)*(J1716/1000))*1000</f>
        <v>0.853294453125</v>
      </c>
      <c r="Q1716" s="3"/>
      <c r="R1716" s="0" t="n">
        <v>2</v>
      </c>
      <c r="S1716" s="0" t="n">
        <v>3</v>
      </c>
      <c r="T1716" s="0" t="n">
        <f aca="false">(S1716/32)*5</f>
        <v>0.46875</v>
      </c>
      <c r="V1716" s="0" t="n">
        <v>7.5</v>
      </c>
      <c r="W1716" s="0" t="n">
        <v>4</v>
      </c>
      <c r="X1716" s="3" t="n">
        <f aca="false">LOOKUP(V1716,$AB$3:$AC$123)</f>
        <v>1.0279</v>
      </c>
      <c r="Y1716" s="2" t="n">
        <f aca="false">(V1716*((W1716+T1716)/1000)*X1716)/((((W1716+T1716)/1000)*X1716)-((W1716/1000)*0.9982))</f>
        <v>57.3578051102752</v>
      </c>
      <c r="Z1716" s="3" t="n">
        <f aca="false">(X1716*(V1716/100)*((W1716+T1716)/1000))*1000</f>
        <v>0.344507109375</v>
      </c>
    </row>
    <row r="1717" customFormat="false" ht="15" hidden="false" customHeight="false" outlineLevel="0" collapsed="false">
      <c r="A1717" s="0" t="s">
        <v>102</v>
      </c>
      <c r="B1717" s="0" t="s">
        <v>103</v>
      </c>
      <c r="C1717" s="0" t="s">
        <v>81</v>
      </c>
      <c r="D1717" s="0" t="s">
        <v>163</v>
      </c>
      <c r="E1717" s="0" t="n">
        <v>36</v>
      </c>
      <c r="F1717" s="0" t="n">
        <v>0</v>
      </c>
      <c r="G1717" s="0" t="n">
        <v>11</v>
      </c>
      <c r="H1717" s="0" t="n">
        <v>73</v>
      </c>
      <c r="I1717" s="0" t="n">
        <v>0</v>
      </c>
      <c r="J1717" s="0" t="n">
        <f aca="false">(I1717/32)*5</f>
        <v>0</v>
      </c>
      <c r="L1717" s="0" t="n">
        <v>0</v>
      </c>
      <c r="M1717" s="0" t="n">
        <v>0</v>
      </c>
      <c r="N1717" s="0" t="n">
        <f aca="false">L1717</f>
        <v>0</v>
      </c>
      <c r="O1717" s="3" t="n">
        <v>0</v>
      </c>
      <c r="P1717" s="3" t="n">
        <f aca="false">(O1717*(N1717/100)*(J1717/1000))*1000</f>
        <v>0</v>
      </c>
      <c r="Q1717" s="3"/>
      <c r="R1717" s="0" t="n">
        <v>4</v>
      </c>
      <c r="S1717" s="0" t="n">
        <v>11</v>
      </c>
      <c r="T1717" s="0" t="n">
        <f aca="false">(S1717/32)*5</f>
        <v>1.71875</v>
      </c>
      <c r="V1717" s="0" t="n">
        <v>27</v>
      </c>
      <c r="W1717" s="0" t="n">
        <v>4</v>
      </c>
      <c r="X1717" s="3" t="n">
        <f aca="false">LOOKUP(V1717,$AB$3:$AC$123)</f>
        <v>1.1128</v>
      </c>
      <c r="Y1717" s="2" t="n">
        <f aca="false">(V1717*((W1717+T1717)/1000)*X1717)/((((W1717+T1717)/1000)*X1717)-((W1717/1000)*0.9982))</f>
        <v>72.4679305363714</v>
      </c>
      <c r="Z1717" s="3" t="n">
        <f aca="false">(X1717*(V1717/100)*((W1717+T1717)/1000))*1000</f>
        <v>1.71823275</v>
      </c>
    </row>
    <row r="1718" customFormat="false" ht="15" hidden="false" customHeight="false" outlineLevel="0" collapsed="false">
      <c r="A1718" s="0" t="s">
        <v>104</v>
      </c>
      <c r="B1718" s="0" t="s">
        <v>105</v>
      </c>
      <c r="C1718" s="0" t="s">
        <v>106</v>
      </c>
      <c r="D1718" s="0" t="s">
        <v>163</v>
      </c>
      <c r="E1718" s="0" t="n">
        <v>36</v>
      </c>
      <c r="F1718" s="0" t="n">
        <v>1</v>
      </c>
      <c r="G1718" s="0" t="n">
        <v>14</v>
      </c>
      <c r="H1718" s="0" t="n">
        <v>59</v>
      </c>
      <c r="I1718" s="1"/>
      <c r="J1718" s="1"/>
      <c r="K1718" s="1"/>
      <c r="L1718" s="1"/>
      <c r="M1718" s="1"/>
      <c r="N1718" s="1"/>
      <c r="O1718" s="1"/>
      <c r="P1718" s="1"/>
      <c r="Q1718" s="1"/>
      <c r="R1718" s="0" t="n">
        <v>11</v>
      </c>
      <c r="S1718" s="1"/>
      <c r="T1718" s="1"/>
      <c r="U1718" s="1"/>
      <c r="V1718" s="1"/>
      <c r="W1718" s="1"/>
      <c r="X1718" s="1"/>
      <c r="Y1718" s="5"/>
      <c r="Z1718" s="1"/>
    </row>
    <row r="1719" customFormat="false" ht="15" hidden="false" customHeight="false" outlineLevel="0" collapsed="false">
      <c r="A1719" s="0" t="s">
        <v>107</v>
      </c>
      <c r="B1719" s="0" t="s">
        <v>37</v>
      </c>
      <c r="C1719" s="0" t="s">
        <v>106</v>
      </c>
      <c r="D1719" s="0" t="s">
        <v>163</v>
      </c>
      <c r="E1719" s="0" t="n">
        <v>36</v>
      </c>
      <c r="F1719" s="0" t="n">
        <v>1</v>
      </c>
      <c r="G1719" s="0" t="n">
        <v>7</v>
      </c>
      <c r="H1719" s="0" t="n">
        <v>42</v>
      </c>
      <c r="I1719" s="1"/>
      <c r="J1719" s="1"/>
      <c r="K1719" s="1"/>
      <c r="L1719" s="1"/>
      <c r="M1719" s="1"/>
      <c r="N1719" s="1"/>
      <c r="O1719" s="1"/>
      <c r="P1719" s="1"/>
      <c r="Q1719" s="1"/>
      <c r="R1719" s="0" t="n">
        <v>7</v>
      </c>
      <c r="S1719" s="1"/>
      <c r="T1719" s="1"/>
      <c r="U1719" s="1"/>
      <c r="V1719" s="1"/>
      <c r="W1719" s="1"/>
      <c r="X1719" s="1"/>
      <c r="Y1719" s="5"/>
      <c r="Z1719" s="1"/>
    </row>
    <row r="1720" customFormat="false" ht="15" hidden="false" customHeight="false" outlineLevel="0" collapsed="false">
      <c r="A1720" s="0" t="s">
        <v>108</v>
      </c>
      <c r="B1720" s="0" t="s">
        <v>109</v>
      </c>
      <c r="C1720" s="0" t="s">
        <v>106</v>
      </c>
      <c r="D1720" s="0" t="s">
        <v>163</v>
      </c>
      <c r="E1720" s="0" t="n">
        <v>36</v>
      </c>
      <c r="F1720" s="0" t="n">
        <v>0</v>
      </c>
      <c r="G1720" s="0" t="n">
        <v>22</v>
      </c>
      <c r="H1720" s="0" t="n">
        <v>116</v>
      </c>
      <c r="I1720" s="1"/>
      <c r="J1720" s="1"/>
      <c r="K1720" s="1"/>
      <c r="L1720" s="1"/>
      <c r="M1720" s="1"/>
      <c r="N1720" s="1"/>
      <c r="O1720" s="1"/>
      <c r="P1720" s="1"/>
      <c r="Q1720" s="1"/>
      <c r="R1720" s="0" t="n">
        <v>9</v>
      </c>
      <c r="S1720" s="1"/>
      <c r="T1720" s="1"/>
      <c r="U1720" s="1"/>
      <c r="V1720" s="1"/>
      <c r="W1720" s="1"/>
      <c r="X1720" s="1"/>
      <c r="Y1720" s="5"/>
      <c r="Z1720" s="1"/>
    </row>
    <row r="1721" customFormat="false" ht="15" hidden="false" customHeight="false" outlineLevel="0" collapsed="false">
      <c r="A1721" s="0" t="s">
        <v>110</v>
      </c>
      <c r="B1721" s="0" t="s">
        <v>111</v>
      </c>
      <c r="C1721" s="0" t="s">
        <v>106</v>
      </c>
      <c r="D1721" s="0" t="s">
        <v>163</v>
      </c>
      <c r="E1721" s="0" t="n">
        <v>36</v>
      </c>
      <c r="F1721" s="0" t="n">
        <v>0</v>
      </c>
      <c r="G1721" s="0" t="n">
        <v>8</v>
      </c>
      <c r="H1721" s="0" t="n">
        <v>51</v>
      </c>
      <c r="I1721" s="1"/>
      <c r="J1721" s="1"/>
      <c r="K1721" s="1"/>
      <c r="L1721" s="1"/>
      <c r="M1721" s="1"/>
      <c r="N1721" s="1"/>
      <c r="O1721" s="1"/>
      <c r="P1721" s="1"/>
      <c r="Q1721" s="1"/>
      <c r="R1721" s="0" t="n">
        <v>6</v>
      </c>
      <c r="S1721" s="1"/>
      <c r="T1721" s="1"/>
      <c r="U1721" s="1"/>
      <c r="V1721" s="1"/>
      <c r="W1721" s="1"/>
      <c r="X1721" s="1"/>
      <c r="Y1721" s="5"/>
      <c r="Z1721" s="1"/>
    </row>
    <row r="1722" customFormat="false" ht="15" hidden="false" customHeight="false" outlineLevel="0" collapsed="false">
      <c r="A1722" s="0" t="s">
        <v>112</v>
      </c>
      <c r="B1722" s="0" t="s">
        <v>113</v>
      </c>
      <c r="C1722" s="0" t="s">
        <v>106</v>
      </c>
      <c r="D1722" s="0" t="s">
        <v>163</v>
      </c>
      <c r="E1722" s="0" t="n">
        <v>36</v>
      </c>
      <c r="F1722" s="0" t="n">
        <v>2</v>
      </c>
      <c r="G1722" s="0" t="n">
        <v>14</v>
      </c>
      <c r="H1722" s="0" t="n">
        <v>60</v>
      </c>
      <c r="I1722" s="1"/>
      <c r="J1722" s="1"/>
      <c r="K1722" s="1"/>
      <c r="L1722" s="1"/>
      <c r="M1722" s="1"/>
      <c r="N1722" s="1"/>
      <c r="O1722" s="1"/>
      <c r="P1722" s="1"/>
      <c r="Q1722" s="1"/>
      <c r="R1722" s="0" t="n">
        <v>9</v>
      </c>
      <c r="S1722" s="1"/>
      <c r="T1722" s="1"/>
      <c r="U1722" s="1"/>
      <c r="V1722" s="1"/>
      <c r="W1722" s="1"/>
      <c r="X1722" s="1"/>
      <c r="Y1722" s="5"/>
      <c r="Z1722" s="1"/>
    </row>
    <row r="1723" customFormat="false" ht="15" hidden="false" customHeight="false" outlineLevel="0" collapsed="false">
      <c r="A1723" s="0" t="s">
        <v>114</v>
      </c>
      <c r="B1723" s="0" t="s">
        <v>115</v>
      </c>
      <c r="C1723" s="0" t="s">
        <v>106</v>
      </c>
      <c r="D1723" s="0" t="s">
        <v>163</v>
      </c>
      <c r="E1723" s="0" t="n">
        <v>36</v>
      </c>
      <c r="F1723" s="0" t="n">
        <v>1</v>
      </c>
      <c r="G1723" s="0" t="n">
        <v>15</v>
      </c>
      <c r="H1723" s="0" t="n">
        <v>59</v>
      </c>
      <c r="I1723" s="1"/>
      <c r="J1723" s="1"/>
      <c r="K1723" s="1"/>
      <c r="L1723" s="1"/>
      <c r="M1723" s="1"/>
      <c r="N1723" s="1"/>
      <c r="O1723" s="1"/>
      <c r="P1723" s="1"/>
      <c r="Q1723" s="1"/>
      <c r="R1723" s="0" t="n">
        <v>8</v>
      </c>
      <c r="S1723" s="1"/>
      <c r="T1723" s="1"/>
      <c r="U1723" s="1"/>
      <c r="V1723" s="1"/>
      <c r="W1723" s="1"/>
      <c r="X1723" s="1"/>
      <c r="Y1723" s="5"/>
      <c r="Z1723" s="1"/>
    </row>
    <row r="1724" customFormat="false" ht="15" hidden="false" customHeight="false" outlineLevel="0" collapsed="false">
      <c r="A1724" s="0" t="s">
        <v>116</v>
      </c>
      <c r="B1724" s="0" t="s">
        <v>117</v>
      </c>
      <c r="C1724" s="0" t="s">
        <v>106</v>
      </c>
      <c r="D1724" s="0" t="s">
        <v>163</v>
      </c>
      <c r="E1724" s="0" t="n">
        <v>36</v>
      </c>
      <c r="F1724" s="0" t="n">
        <v>1</v>
      </c>
      <c r="G1724" s="0" t="n">
        <v>5</v>
      </c>
      <c r="H1724" s="0" t="n">
        <v>35</v>
      </c>
      <c r="I1724" s="1"/>
      <c r="J1724" s="1"/>
      <c r="K1724" s="1"/>
      <c r="L1724" s="1"/>
      <c r="M1724" s="1"/>
      <c r="N1724" s="1"/>
      <c r="O1724" s="1"/>
      <c r="P1724" s="1"/>
      <c r="Q1724" s="1"/>
      <c r="R1724" s="0" t="n">
        <v>4</v>
      </c>
      <c r="S1724" s="1"/>
      <c r="T1724" s="1"/>
      <c r="U1724" s="1"/>
      <c r="V1724" s="1"/>
      <c r="W1724" s="1"/>
      <c r="X1724" s="1"/>
      <c r="Y1724" s="5"/>
      <c r="Z1724" s="1"/>
    </row>
    <row r="1725" customFormat="false" ht="15" hidden="false" customHeight="false" outlineLevel="0" collapsed="false">
      <c r="A1725" s="0" t="s">
        <v>118</v>
      </c>
      <c r="B1725" s="0" t="s">
        <v>119</v>
      </c>
      <c r="C1725" s="0" t="s">
        <v>106</v>
      </c>
      <c r="D1725" s="0" t="s">
        <v>163</v>
      </c>
      <c r="E1725" s="0" t="n">
        <v>36</v>
      </c>
      <c r="F1725" s="0" t="n">
        <v>0</v>
      </c>
      <c r="G1725" s="0" t="n">
        <v>16</v>
      </c>
      <c r="H1725" s="0" t="n">
        <v>65</v>
      </c>
      <c r="I1725" s="1"/>
      <c r="J1725" s="1"/>
      <c r="K1725" s="1"/>
      <c r="L1725" s="1"/>
      <c r="M1725" s="1"/>
      <c r="N1725" s="1"/>
      <c r="O1725" s="1"/>
      <c r="P1725" s="1"/>
      <c r="Q1725" s="1"/>
      <c r="R1725" s="0" t="n">
        <v>14</v>
      </c>
      <c r="S1725" s="1"/>
      <c r="T1725" s="1"/>
      <c r="U1725" s="1"/>
      <c r="V1725" s="1"/>
      <c r="W1725" s="1"/>
      <c r="X1725" s="1"/>
      <c r="Y1725" s="5"/>
      <c r="Z1725" s="1"/>
    </row>
    <row r="1726" customFormat="false" ht="15" hidden="false" customHeight="false" outlineLevel="0" collapsed="false">
      <c r="A1726" s="0" t="s">
        <v>120</v>
      </c>
      <c r="B1726" s="0" t="s">
        <v>121</v>
      </c>
      <c r="C1726" s="0" t="s">
        <v>106</v>
      </c>
      <c r="D1726" s="0" t="s">
        <v>163</v>
      </c>
      <c r="E1726" s="0" t="n">
        <v>36</v>
      </c>
      <c r="F1726" s="0" t="n">
        <v>1</v>
      </c>
      <c r="G1726" s="0" t="n">
        <v>19</v>
      </c>
      <c r="H1726" s="0" t="n">
        <v>106</v>
      </c>
      <c r="I1726" s="1"/>
      <c r="J1726" s="1"/>
      <c r="K1726" s="1"/>
      <c r="L1726" s="1"/>
      <c r="M1726" s="1"/>
      <c r="N1726" s="1"/>
      <c r="O1726" s="1"/>
      <c r="P1726" s="1"/>
      <c r="Q1726" s="1"/>
      <c r="R1726" s="0" t="n">
        <v>11</v>
      </c>
      <c r="S1726" s="1"/>
      <c r="T1726" s="1"/>
      <c r="U1726" s="1"/>
      <c r="V1726" s="1"/>
      <c r="W1726" s="1"/>
      <c r="X1726" s="1"/>
      <c r="Y1726" s="5"/>
      <c r="Z1726" s="1"/>
    </row>
    <row r="1727" customFormat="false" ht="15" hidden="false" customHeight="false" outlineLevel="0" collapsed="false">
      <c r="A1727" s="0" t="s">
        <v>122</v>
      </c>
      <c r="B1727" s="0" t="s">
        <v>123</v>
      </c>
      <c r="C1727" s="0" t="s">
        <v>106</v>
      </c>
      <c r="D1727" s="0" t="s">
        <v>163</v>
      </c>
      <c r="E1727" s="0" t="n">
        <v>36</v>
      </c>
      <c r="F1727" s="0" t="n">
        <v>1</v>
      </c>
      <c r="G1727" s="0" t="n">
        <v>11</v>
      </c>
      <c r="H1727" s="0" t="n">
        <v>45</v>
      </c>
      <c r="I1727" s="1"/>
      <c r="J1727" s="1"/>
      <c r="K1727" s="1"/>
      <c r="L1727" s="1"/>
      <c r="M1727" s="1"/>
      <c r="N1727" s="1"/>
      <c r="O1727" s="1"/>
      <c r="P1727" s="1"/>
      <c r="Q1727" s="1"/>
      <c r="R1727" s="0" t="n">
        <v>10</v>
      </c>
      <c r="S1727" s="1"/>
      <c r="T1727" s="1"/>
      <c r="U1727" s="1"/>
      <c r="V1727" s="1"/>
      <c r="W1727" s="1"/>
      <c r="X1727" s="1"/>
      <c r="Y1727" s="5"/>
      <c r="Z1727" s="1"/>
    </row>
    <row r="1728" customFormat="false" ht="15" hidden="false" customHeight="false" outlineLevel="0" collapsed="false">
      <c r="A1728" s="0" t="s">
        <v>124</v>
      </c>
      <c r="B1728" s="0" t="s">
        <v>125</v>
      </c>
      <c r="C1728" s="0" t="s">
        <v>106</v>
      </c>
      <c r="D1728" s="0" t="s">
        <v>163</v>
      </c>
      <c r="E1728" s="0" t="n">
        <v>36</v>
      </c>
      <c r="F1728" s="0" t="n">
        <v>1</v>
      </c>
      <c r="G1728" s="0" t="n">
        <v>10</v>
      </c>
      <c r="H1728" s="0" t="n">
        <v>41</v>
      </c>
      <c r="I1728" s="1"/>
      <c r="J1728" s="1"/>
      <c r="K1728" s="1"/>
      <c r="L1728" s="1"/>
      <c r="M1728" s="1"/>
      <c r="N1728" s="1"/>
      <c r="O1728" s="1"/>
      <c r="P1728" s="1"/>
      <c r="Q1728" s="1"/>
      <c r="R1728" s="0" t="n">
        <v>11</v>
      </c>
      <c r="S1728" s="1"/>
      <c r="T1728" s="1"/>
      <c r="U1728" s="1"/>
      <c r="V1728" s="1"/>
      <c r="W1728" s="1"/>
      <c r="X1728" s="1"/>
      <c r="Y1728" s="5"/>
      <c r="Z1728" s="1"/>
    </row>
    <row r="1729" customFormat="false" ht="15" hidden="false" customHeight="false" outlineLevel="0" collapsed="false">
      <c r="A1729" s="0" t="s">
        <v>126</v>
      </c>
      <c r="B1729" s="0" t="s">
        <v>127</v>
      </c>
      <c r="C1729" s="0" t="s">
        <v>106</v>
      </c>
      <c r="D1729" s="0" t="s">
        <v>163</v>
      </c>
      <c r="E1729" s="0" t="n">
        <v>36</v>
      </c>
      <c r="F1729" s="0" t="n">
        <v>1</v>
      </c>
      <c r="G1729" s="0" t="n">
        <v>10</v>
      </c>
      <c r="H1729" s="0" t="n">
        <v>62</v>
      </c>
      <c r="I1729" s="1"/>
      <c r="J1729" s="1"/>
      <c r="K1729" s="1"/>
      <c r="L1729" s="1"/>
      <c r="M1729" s="1"/>
      <c r="N1729" s="1"/>
      <c r="O1729" s="1"/>
      <c r="P1729" s="1"/>
      <c r="Q1729" s="1"/>
      <c r="R1729" s="0" t="n">
        <v>14</v>
      </c>
      <c r="S1729" s="1"/>
      <c r="T1729" s="1"/>
      <c r="U1729" s="1"/>
      <c r="V1729" s="1"/>
      <c r="W1729" s="1"/>
      <c r="X1729" s="1"/>
      <c r="Y1729" s="5"/>
      <c r="Z1729" s="1"/>
    </row>
    <row r="1730" customFormat="false" ht="15" hidden="false" customHeight="false" outlineLevel="0" collapsed="false">
      <c r="A1730" s="0" t="s">
        <v>26</v>
      </c>
      <c r="B1730" s="0" t="s">
        <v>27</v>
      </c>
      <c r="C1730" s="0" t="s">
        <v>28</v>
      </c>
      <c r="D1730" s="0" t="s">
        <v>164</v>
      </c>
      <c r="E1730" s="0" t="n">
        <v>37</v>
      </c>
      <c r="F1730" s="0" t="n">
        <v>0</v>
      </c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0" t="n">
        <v>1</v>
      </c>
      <c r="S1730" s="0" t="n">
        <v>3.8</v>
      </c>
      <c r="T1730" s="0" t="n">
        <f aca="false">(S1730/32)*5</f>
        <v>0.59375</v>
      </c>
      <c r="V1730" s="0" t="n">
        <v>11</v>
      </c>
      <c r="W1730" s="0" t="n">
        <v>4</v>
      </c>
      <c r="X1730" s="3" t="n">
        <f aca="false">LOOKUP(V1730,$AB$3:$AC$123)</f>
        <v>1.0423</v>
      </c>
      <c r="Y1730" s="2" t="n">
        <f aca="false">(V1730*((W1730+T1730)/1000)*X1730)/((((W1730+T1730)/1000)*X1730)-((W1730/1000)*0.9982))</f>
        <v>66.2278366111952</v>
      </c>
      <c r="Z1730" s="3" t="n">
        <f aca="false">(X1730*(V1730/100)*((W1730+T1730)/1000))*1000</f>
        <v>0.52668721875</v>
      </c>
    </row>
    <row r="1731" customFormat="false" ht="15" hidden="false" customHeight="false" outlineLevel="0" collapsed="false">
      <c r="A1731" s="0" t="s">
        <v>32</v>
      </c>
      <c r="B1731" s="0" t="s">
        <v>33</v>
      </c>
      <c r="C1731" s="0" t="s">
        <v>28</v>
      </c>
      <c r="D1731" s="0" t="s">
        <v>164</v>
      </c>
      <c r="E1731" s="0" t="n">
        <v>37</v>
      </c>
      <c r="F1731" s="0" t="n">
        <v>0</v>
      </c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0" t="n">
        <v>4</v>
      </c>
      <c r="S1731" s="0" t="n">
        <v>12.4</v>
      </c>
      <c r="T1731" s="0" t="n">
        <f aca="false">(S1731/32)*5</f>
        <v>1.9375</v>
      </c>
      <c r="V1731" s="0" t="n">
        <v>19</v>
      </c>
      <c r="W1731" s="0" t="n">
        <v>4</v>
      </c>
      <c r="X1731" s="3" t="n">
        <f aca="false">LOOKUP(V1731,$AB$3:$AC$123)</f>
        <v>1.0765</v>
      </c>
      <c r="Y1731" s="2" t="n">
        <f aca="false">(V1731*((W1731+T1731)/1000)*X1731)/((((W1731+T1731)/1000)*X1731)-((W1731/1000)*0.9982))</f>
        <v>50.6239138987096</v>
      </c>
      <c r="Z1731" s="3" t="n">
        <f aca="false">(X1731*(V1731/100)*((W1731+T1731)/1000))*1000</f>
        <v>1.2144265625</v>
      </c>
    </row>
    <row r="1732" customFormat="false" ht="15" hidden="false" customHeight="false" outlineLevel="0" collapsed="false">
      <c r="A1732" s="0" t="s">
        <v>34</v>
      </c>
      <c r="B1732" s="0" t="s">
        <v>35</v>
      </c>
      <c r="C1732" s="0" t="s">
        <v>28</v>
      </c>
      <c r="D1732" s="0" t="s">
        <v>164</v>
      </c>
      <c r="E1732" s="0" t="n">
        <v>37</v>
      </c>
      <c r="F1732" s="0" t="n">
        <v>2</v>
      </c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0" t="n">
        <v>4</v>
      </c>
      <c r="S1732" s="0" t="n">
        <v>11</v>
      </c>
      <c r="T1732" s="0" t="n">
        <f aca="false">(S1732/32)*5</f>
        <v>1.71875</v>
      </c>
      <c r="V1732" s="0" t="n">
        <v>23</v>
      </c>
      <c r="W1732" s="0" t="n">
        <v>4</v>
      </c>
      <c r="X1732" s="3" t="n">
        <f aca="false">LOOKUP(V1732,$AB$3:$AC$123)</f>
        <v>1.09445</v>
      </c>
      <c r="Y1732" s="2" t="n">
        <f aca="false">(V1732*((W1732+T1732)/1000)*X1732)/((((W1732+T1732)/1000)*X1732)-((W1732/1000)*0.9982))</f>
        <v>63.5255592827666</v>
      </c>
      <c r="Z1732" s="3" t="n">
        <f aca="false">(X1732*(V1732/100)*((W1732+T1732)/1000))*1000</f>
        <v>1.439543765625</v>
      </c>
    </row>
    <row r="1733" customFormat="false" ht="15" hidden="false" customHeight="false" outlineLevel="0" collapsed="false">
      <c r="A1733" s="0" t="s">
        <v>36</v>
      </c>
      <c r="B1733" s="0" t="s">
        <v>37</v>
      </c>
      <c r="C1733" s="0" t="s">
        <v>28</v>
      </c>
      <c r="D1733" s="0" t="s">
        <v>164</v>
      </c>
      <c r="E1733" s="0" t="n">
        <v>37</v>
      </c>
      <c r="F1733" s="0" t="n">
        <v>1</v>
      </c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0" t="n">
        <v>1</v>
      </c>
      <c r="S1733" s="0" t="n">
        <v>1.3</v>
      </c>
      <c r="T1733" s="0" t="n">
        <f aca="false">(S1733/32)*5</f>
        <v>0.203125</v>
      </c>
      <c r="V1733" s="0" t="n">
        <v>7</v>
      </c>
      <c r="W1733" s="0" t="n">
        <v>1</v>
      </c>
      <c r="X1733" s="3" t="n">
        <f aca="false">LOOKUP(V1733,$AB$3:$AC$123)</f>
        <v>1.0259</v>
      </c>
      <c r="Y1733" s="2" t="n">
        <f aca="false">(V1733*((W1733+T1733)/1000)*X1733)/((((W1733+T1733)/1000)*X1733)-((W1733/1000)*0.9982))</f>
        <v>36.5968496641186</v>
      </c>
      <c r="Z1733" s="3" t="n">
        <f aca="false">(X1733*(V1733/100)*((W1733+T1733)/1000))*1000</f>
        <v>0.086400015625</v>
      </c>
    </row>
    <row r="1734" customFormat="false" ht="15" hidden="false" customHeight="false" outlineLevel="0" collapsed="false">
      <c r="A1734" s="0" t="s">
        <v>38</v>
      </c>
      <c r="B1734" s="0" t="s">
        <v>39</v>
      </c>
      <c r="C1734" s="0" t="s">
        <v>28</v>
      </c>
      <c r="D1734" s="0" t="s">
        <v>164</v>
      </c>
      <c r="E1734" s="0" t="n">
        <v>37</v>
      </c>
      <c r="F1734" s="0" t="n">
        <v>5</v>
      </c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0" t="n">
        <v>2</v>
      </c>
      <c r="S1734" s="0" t="n">
        <v>7.1</v>
      </c>
      <c r="T1734" s="0" t="n">
        <f aca="false">(S1734/32)*5</f>
        <v>1.109375</v>
      </c>
      <c r="V1734" s="0" t="n">
        <v>16</v>
      </c>
      <c r="W1734" s="0" t="n">
        <v>4</v>
      </c>
      <c r="X1734" s="3" t="n">
        <f aca="false">LOOKUP(V1734,$AB$3:$AC$123)</f>
        <v>1.0635</v>
      </c>
      <c r="Y1734" s="2" t="n">
        <f aca="false">(V1734*((W1734+T1734)/1000)*X1734)/((((W1734+T1734)/1000)*X1734)-((W1734/1000)*0.9982))</f>
        <v>60.3330322590439</v>
      </c>
      <c r="Z1734" s="3" t="n">
        <f aca="false">(X1734*(V1734/100)*((W1734+T1734)/1000))*1000</f>
        <v>0.86941125</v>
      </c>
    </row>
    <row r="1735" customFormat="false" ht="15" hidden="false" customHeight="false" outlineLevel="0" collapsed="false">
      <c r="A1735" s="0" t="s">
        <v>40</v>
      </c>
      <c r="B1735" s="0" t="s">
        <v>41</v>
      </c>
      <c r="C1735" s="0" t="s">
        <v>28</v>
      </c>
      <c r="D1735" s="0" t="s">
        <v>164</v>
      </c>
      <c r="E1735" s="0" t="n">
        <v>37</v>
      </c>
      <c r="F1735" s="0" t="n">
        <v>3</v>
      </c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0" t="n">
        <v>4</v>
      </c>
      <c r="S1735" s="0" t="n">
        <v>11.4</v>
      </c>
      <c r="T1735" s="0" t="n">
        <f aca="false">(S1735/32)*5</f>
        <v>1.78125</v>
      </c>
      <c r="V1735" s="0" t="n">
        <v>19</v>
      </c>
      <c r="W1735" s="0" t="n">
        <v>4</v>
      </c>
      <c r="X1735" s="3" t="n">
        <f aca="false">LOOKUP(V1735,$AB$3:$AC$123)</f>
        <v>1.0765</v>
      </c>
      <c r="Y1735" s="2" t="n">
        <f aca="false">(V1735*((W1735+T1735)/1000)*X1735)/((((W1735+T1735)/1000)*X1735)-((W1735/1000)*0.9982))</f>
        <v>53.0084586084342</v>
      </c>
      <c r="Z1735" s="3" t="n">
        <f aca="false">(X1735*(V1735/100)*((W1735+T1735)/1000))*1000</f>
        <v>1.18246796875</v>
      </c>
    </row>
    <row r="1736" customFormat="false" ht="15" hidden="false" customHeight="false" outlineLevel="0" collapsed="false">
      <c r="A1736" s="0" t="s">
        <v>42</v>
      </c>
      <c r="B1736" s="0" t="s">
        <v>43</v>
      </c>
      <c r="C1736" s="0" t="s">
        <v>28</v>
      </c>
      <c r="D1736" s="0" t="s">
        <v>164</v>
      </c>
      <c r="E1736" s="0" t="n">
        <v>37</v>
      </c>
      <c r="F1736" s="0" t="n">
        <v>2</v>
      </c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0" t="n">
        <v>0</v>
      </c>
      <c r="S1736" s="0" t="n">
        <v>0</v>
      </c>
      <c r="T1736" s="0" t="n">
        <f aca="false">(S1736/32)*5</f>
        <v>0</v>
      </c>
      <c r="V1736" s="0" t="n">
        <v>0</v>
      </c>
      <c r="W1736" s="0" t="n">
        <v>4</v>
      </c>
      <c r="X1736" s="3" t="n">
        <v>0</v>
      </c>
      <c r="Y1736" s="2" t="n">
        <v>0</v>
      </c>
      <c r="Z1736" s="3" t="n">
        <f aca="false">(X1736*(V1736/100)*((W1736+T1736)/1000))*1000</f>
        <v>0</v>
      </c>
    </row>
    <row r="1737" customFormat="false" ht="15" hidden="false" customHeight="false" outlineLevel="0" collapsed="false">
      <c r="A1737" s="0" t="s">
        <v>44</v>
      </c>
      <c r="B1737" s="0" t="s">
        <v>45</v>
      </c>
      <c r="C1737" s="0" t="s">
        <v>28</v>
      </c>
      <c r="D1737" s="0" t="s">
        <v>164</v>
      </c>
      <c r="E1737" s="0" t="n">
        <v>37</v>
      </c>
      <c r="F1737" s="0" t="n">
        <v>1</v>
      </c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0" t="n">
        <v>1</v>
      </c>
      <c r="S1737" s="0" t="n">
        <v>2.3</v>
      </c>
      <c r="T1737" s="0" t="n">
        <f aca="false">(S1737/32)*5</f>
        <v>0.359375</v>
      </c>
      <c r="V1737" s="0" t="n">
        <v>6</v>
      </c>
      <c r="W1737" s="0" t="n">
        <v>4</v>
      </c>
      <c r="X1737" s="3" t="n">
        <f aca="false">LOOKUP(V1737,$AB$3:$AC$123)</f>
        <v>1.0218</v>
      </c>
      <c r="Y1737" s="2" t="n">
        <f aca="false">(V1737*((W1737+T1737)/1000)*X1737)/((((W1737+T1737)/1000)*X1737)-((W1737/1000)*0.9982))</f>
        <v>57.8984260230849</v>
      </c>
      <c r="Z1737" s="3" t="n">
        <f aca="false">(X1737*(V1737/100)*((W1737+T1737)/1000))*1000</f>
        <v>0.2672645625</v>
      </c>
    </row>
    <row r="1738" customFormat="false" ht="15" hidden="false" customHeight="false" outlineLevel="0" collapsed="false">
      <c r="A1738" s="0" t="s">
        <v>46</v>
      </c>
      <c r="B1738" s="0" t="s">
        <v>47</v>
      </c>
      <c r="C1738" s="0" t="s">
        <v>28</v>
      </c>
      <c r="D1738" s="0" t="s">
        <v>164</v>
      </c>
      <c r="E1738" s="0" t="n">
        <v>37</v>
      </c>
      <c r="F1738" s="0" t="n">
        <v>2</v>
      </c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0" t="n">
        <v>0</v>
      </c>
      <c r="S1738" s="0" t="n">
        <v>0</v>
      </c>
      <c r="T1738" s="0" t="n">
        <f aca="false">(S1738/32)*5</f>
        <v>0</v>
      </c>
      <c r="V1738" s="0" t="n">
        <v>0</v>
      </c>
      <c r="W1738" s="0" t="n">
        <v>4</v>
      </c>
      <c r="X1738" s="3" t="n">
        <v>0</v>
      </c>
      <c r="Y1738" s="2" t="n">
        <v>0</v>
      </c>
      <c r="Z1738" s="3" t="n">
        <f aca="false">(X1738*(V1738/100)*((W1738+T1738)/1000))*1000</f>
        <v>0</v>
      </c>
    </row>
    <row r="1739" customFormat="false" ht="15" hidden="false" customHeight="false" outlineLevel="0" collapsed="false">
      <c r="A1739" s="0" t="s">
        <v>48</v>
      </c>
      <c r="B1739" s="0" t="s">
        <v>49</v>
      </c>
      <c r="C1739" s="0" t="s">
        <v>28</v>
      </c>
      <c r="D1739" s="0" t="s">
        <v>164</v>
      </c>
      <c r="E1739" s="0" t="n">
        <v>37</v>
      </c>
      <c r="F1739" s="0" t="n">
        <v>1</v>
      </c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0" t="n">
        <v>2</v>
      </c>
      <c r="S1739" s="0" t="n">
        <v>8.9</v>
      </c>
      <c r="T1739" s="0" t="n">
        <f aca="false">(S1739/32)*5</f>
        <v>1.390625</v>
      </c>
      <c r="V1739" s="0" t="n">
        <v>19</v>
      </c>
      <c r="W1739" s="0" t="n">
        <v>4</v>
      </c>
      <c r="X1739" s="3" t="n">
        <f aca="false">LOOKUP(V1739,$AB$3:$AC$123)</f>
        <v>1.0765</v>
      </c>
      <c r="Y1739" s="2" t="n">
        <f aca="false">(V1739*((W1739+T1739)/1000)*X1739)/((((W1739+T1739)/1000)*X1739)-((W1739/1000)*0.9982))</f>
        <v>60.90855849596</v>
      </c>
      <c r="Z1739" s="3" t="n">
        <f aca="false">(X1739*(V1739/100)*((W1739+T1739)/1000))*1000</f>
        <v>1.102571484375</v>
      </c>
    </row>
    <row r="1740" customFormat="false" ht="15" hidden="false" customHeight="false" outlineLevel="0" collapsed="false">
      <c r="A1740" s="0" t="s">
        <v>50</v>
      </c>
      <c r="B1740" s="0" t="s">
        <v>51</v>
      </c>
      <c r="C1740" s="0" t="s">
        <v>28</v>
      </c>
      <c r="D1740" s="0" t="s">
        <v>164</v>
      </c>
      <c r="E1740" s="0" t="n">
        <v>37</v>
      </c>
      <c r="F1740" s="0" t="n">
        <v>0</v>
      </c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0" t="n">
        <v>2</v>
      </c>
      <c r="S1740" s="0" t="n">
        <v>6.1</v>
      </c>
      <c r="T1740" s="0" t="n">
        <f aca="false">(S1740/32)*5</f>
        <v>0.953125</v>
      </c>
      <c r="V1740" s="0" t="n">
        <v>11</v>
      </c>
      <c r="W1740" s="0" t="n">
        <v>4</v>
      </c>
      <c r="X1740" s="3" t="n">
        <f aca="false">LOOKUP(V1740,$AB$3:$AC$123)</f>
        <v>1.0423</v>
      </c>
      <c r="Y1740" s="2" t="n">
        <f aca="false">(V1740*((W1740+T1740)/1000)*X1740)/((((W1740+T1740)/1000)*X1740)-((W1740/1000)*0.9982))</f>
        <v>48.5442093551614</v>
      </c>
      <c r="Z1740" s="3" t="n">
        <f aca="false">(X1740*(V1740/100)*((W1740+T1740)/1000))*1000</f>
        <v>0.567890640625</v>
      </c>
    </row>
    <row r="1741" customFormat="false" ht="15" hidden="false" customHeight="false" outlineLevel="0" collapsed="false">
      <c r="A1741" s="0" t="s">
        <v>52</v>
      </c>
      <c r="B1741" s="0" t="s">
        <v>53</v>
      </c>
      <c r="C1741" s="0" t="s">
        <v>28</v>
      </c>
      <c r="D1741" s="0" t="s">
        <v>164</v>
      </c>
      <c r="E1741" s="0" t="n">
        <v>37</v>
      </c>
      <c r="F1741" s="0" t="n">
        <v>0</v>
      </c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0" t="n">
        <v>2</v>
      </c>
      <c r="S1741" s="0" t="n">
        <v>7</v>
      </c>
      <c r="T1741" s="0" t="n">
        <f aca="false">(S1741/32)*5</f>
        <v>1.09375</v>
      </c>
      <c r="V1741" s="0" t="n">
        <v>15</v>
      </c>
      <c r="W1741" s="0" t="n">
        <v>4</v>
      </c>
      <c r="X1741" s="3" t="n">
        <f aca="false">LOOKUP(V1741,$AB$3:$AC$123)</f>
        <v>1.0592</v>
      </c>
      <c r="Y1741" s="2" t="n">
        <f aca="false">(V1741*((W1741+T1741)/1000)*X1741)/((((W1741+T1741)/1000)*X1741)-((W1741/1000)*0.9982))</f>
        <v>57.703743315508</v>
      </c>
      <c r="Z1741" s="3" t="n">
        <f aca="false">(X1741*(V1741/100)*((W1741+T1741)/1000))*1000</f>
        <v>0.809295</v>
      </c>
    </row>
    <row r="1742" customFormat="false" ht="15" hidden="false" customHeight="false" outlineLevel="0" collapsed="false">
      <c r="A1742" s="0" t="s">
        <v>54</v>
      </c>
      <c r="B1742" s="0" t="s">
        <v>55</v>
      </c>
      <c r="C1742" s="0" t="s">
        <v>56</v>
      </c>
      <c r="D1742" s="0" t="s">
        <v>164</v>
      </c>
      <c r="E1742" s="0" t="n">
        <v>37</v>
      </c>
      <c r="F1742" s="0" t="n">
        <v>0</v>
      </c>
      <c r="G1742" s="1"/>
      <c r="H1742" s="1"/>
      <c r="I1742" s="0" t="n">
        <v>0</v>
      </c>
      <c r="J1742" s="0" t="n">
        <f aca="false">(I1742/32)*5</f>
        <v>0</v>
      </c>
      <c r="L1742" s="0" t="n">
        <v>0</v>
      </c>
      <c r="M1742" s="0" t="n">
        <v>0</v>
      </c>
      <c r="N1742" s="0" t="n">
        <f aca="false">L1742</f>
        <v>0</v>
      </c>
      <c r="O1742" s="3" t="n">
        <v>0</v>
      </c>
      <c r="P1742" s="3" t="n">
        <f aca="false">(O1742*(N1742/100)*(J1742/1000))*1000</f>
        <v>0</v>
      </c>
      <c r="Q1742" s="3"/>
      <c r="R1742" s="1"/>
      <c r="S1742" s="1"/>
      <c r="T1742" s="1"/>
      <c r="U1742" s="1"/>
      <c r="V1742" s="1"/>
      <c r="W1742" s="1"/>
      <c r="X1742" s="1"/>
      <c r="Y1742" s="5"/>
      <c r="Z1742" s="1"/>
    </row>
    <row r="1743" customFormat="false" ht="15" hidden="false" customHeight="false" outlineLevel="0" collapsed="false">
      <c r="A1743" s="0" t="s">
        <v>57</v>
      </c>
      <c r="B1743" s="0" t="s">
        <v>58</v>
      </c>
      <c r="C1743" s="0" t="s">
        <v>56</v>
      </c>
      <c r="D1743" s="0" t="s">
        <v>164</v>
      </c>
      <c r="E1743" s="0" t="n">
        <v>37</v>
      </c>
      <c r="F1743" s="0" t="n">
        <v>1</v>
      </c>
      <c r="G1743" s="1"/>
      <c r="H1743" s="1"/>
      <c r="I1743" s="0" t="n">
        <v>25.9</v>
      </c>
      <c r="J1743" s="0" t="n">
        <f aca="false">(I1743/32)*5</f>
        <v>4.046875</v>
      </c>
      <c r="L1743" s="0" t="n">
        <v>21</v>
      </c>
      <c r="M1743" s="0" t="n">
        <v>0</v>
      </c>
      <c r="N1743" s="0" t="n">
        <f aca="false">L1743</f>
        <v>21</v>
      </c>
      <c r="O1743" s="3" t="n">
        <f aca="false">LOOKUP(L1743,$AB$3:$AC$123)</f>
        <v>1.08545</v>
      </c>
      <c r="P1743" s="3" t="n">
        <f aca="false">(O1743*(N1743/100)*(J1743/1000))*1000</f>
        <v>0.9224628984375</v>
      </c>
      <c r="Q1743" s="3"/>
      <c r="R1743" s="1"/>
      <c r="S1743" s="1"/>
      <c r="T1743" s="1"/>
      <c r="U1743" s="1"/>
      <c r="V1743" s="1"/>
      <c r="W1743" s="1"/>
      <c r="X1743" s="1"/>
      <c r="Y1743" s="5"/>
      <c r="Z1743" s="1"/>
    </row>
    <row r="1744" customFormat="false" ht="15" hidden="false" customHeight="false" outlineLevel="0" collapsed="false">
      <c r="A1744" s="0" t="s">
        <v>59</v>
      </c>
      <c r="B1744" s="0" t="s">
        <v>60</v>
      </c>
      <c r="C1744" s="0" t="s">
        <v>56</v>
      </c>
      <c r="D1744" s="0" t="s">
        <v>164</v>
      </c>
      <c r="E1744" s="0" t="n">
        <v>37</v>
      </c>
      <c r="F1744" s="0" t="n">
        <v>1</v>
      </c>
      <c r="G1744" s="1"/>
      <c r="H1744" s="1"/>
      <c r="I1744" s="0" t="n">
        <f aca="false">13.2+24.3</f>
        <v>37.5</v>
      </c>
      <c r="J1744" s="0" t="n">
        <f aca="false">(I1744/32)*5</f>
        <v>5.859375</v>
      </c>
      <c r="L1744" s="0" t="n">
        <v>24</v>
      </c>
      <c r="M1744" s="0" t="n">
        <v>0</v>
      </c>
      <c r="N1744" s="0" t="n">
        <f aca="false">L1744</f>
        <v>24</v>
      </c>
      <c r="O1744" s="3" t="n">
        <f aca="false">LOOKUP(L1744,$AB$3:$AC$123)</f>
        <v>1.099</v>
      </c>
      <c r="P1744" s="3" t="n">
        <f aca="false">(O1744*(N1744/100)*(J1744/1000))*1000</f>
        <v>1.54546875</v>
      </c>
      <c r="Q1744" s="3"/>
      <c r="R1744" s="1"/>
      <c r="S1744" s="1"/>
      <c r="T1744" s="1"/>
      <c r="U1744" s="1"/>
      <c r="V1744" s="1"/>
      <c r="W1744" s="1"/>
      <c r="X1744" s="1"/>
      <c r="Y1744" s="5"/>
      <c r="Z1744" s="1"/>
    </row>
    <row r="1745" customFormat="false" ht="15" hidden="false" customHeight="false" outlineLevel="0" collapsed="false">
      <c r="A1745" s="0" t="s">
        <v>61</v>
      </c>
      <c r="B1745" s="0" t="s">
        <v>62</v>
      </c>
      <c r="C1745" s="0" t="s">
        <v>56</v>
      </c>
      <c r="D1745" s="0" t="s">
        <v>164</v>
      </c>
      <c r="E1745" s="0" t="n">
        <v>37</v>
      </c>
      <c r="F1745" s="0" t="n">
        <v>4</v>
      </c>
      <c r="G1745" s="1"/>
      <c r="H1745" s="1"/>
      <c r="I1745" s="0" t="n">
        <f aca="false">32*6+8</f>
        <v>200</v>
      </c>
      <c r="J1745" s="0" t="n">
        <f aca="false">(I1745/32)*5</f>
        <v>31.25</v>
      </c>
      <c r="L1745" s="0" t="n">
        <v>22.5</v>
      </c>
      <c r="M1745" s="0" t="n">
        <v>0</v>
      </c>
      <c r="N1745" s="0" t="n">
        <f aca="false">L1745</f>
        <v>22.5</v>
      </c>
      <c r="O1745" s="3" t="n">
        <f aca="false">LOOKUP(L1745,$AB$3:$AC$123)</f>
        <v>1.092175</v>
      </c>
      <c r="P1745" s="3" t="n">
        <f aca="false">(O1745*(N1745/100)*(J1745/1000))*1000</f>
        <v>7.67935546875</v>
      </c>
      <c r="Q1745" s="3"/>
      <c r="R1745" s="1"/>
      <c r="S1745" s="1"/>
      <c r="T1745" s="1"/>
      <c r="U1745" s="1"/>
      <c r="V1745" s="1"/>
      <c r="W1745" s="1"/>
      <c r="X1745" s="1"/>
      <c r="Y1745" s="5"/>
      <c r="Z1745" s="1"/>
    </row>
    <row r="1746" customFormat="false" ht="15" hidden="false" customHeight="false" outlineLevel="0" collapsed="false">
      <c r="A1746" s="0" t="s">
        <v>63</v>
      </c>
      <c r="B1746" s="0" t="s">
        <v>64</v>
      </c>
      <c r="C1746" s="0" t="s">
        <v>56</v>
      </c>
      <c r="D1746" s="0" t="s">
        <v>164</v>
      </c>
      <c r="E1746" s="0" t="n">
        <v>37</v>
      </c>
      <c r="F1746" s="0" t="n">
        <v>1</v>
      </c>
      <c r="G1746" s="1"/>
      <c r="H1746" s="1"/>
      <c r="I1746" s="0" t="n">
        <f aca="false">64+13.6</f>
        <v>77.6</v>
      </c>
      <c r="J1746" s="0" t="n">
        <f aca="false">(I1746/32)*5</f>
        <v>12.125</v>
      </c>
      <c r="L1746" s="0" t="n">
        <v>22</v>
      </c>
      <c r="M1746" s="0" t="n">
        <v>0</v>
      </c>
      <c r="N1746" s="0" t="n">
        <f aca="false">L1746</f>
        <v>22</v>
      </c>
      <c r="O1746" s="3" t="n">
        <f aca="false">LOOKUP(L1746,$AB$3:$AC$123)</f>
        <v>1.0899</v>
      </c>
      <c r="P1746" s="3" t="n">
        <f aca="false">(O1746*(N1746/100)*(J1746/1000))*1000</f>
        <v>2.90730825</v>
      </c>
      <c r="Q1746" s="3"/>
      <c r="R1746" s="1"/>
      <c r="S1746" s="1"/>
      <c r="T1746" s="1"/>
      <c r="U1746" s="1"/>
      <c r="V1746" s="1"/>
      <c r="W1746" s="1"/>
      <c r="X1746" s="1"/>
      <c r="Y1746" s="5"/>
      <c r="Z1746" s="1"/>
    </row>
    <row r="1747" customFormat="false" ht="15" hidden="false" customHeight="false" outlineLevel="0" collapsed="false">
      <c r="A1747" s="0" t="s">
        <v>65</v>
      </c>
      <c r="B1747" s="0" t="s">
        <v>66</v>
      </c>
      <c r="C1747" s="0" t="s">
        <v>56</v>
      </c>
      <c r="D1747" s="0" t="s">
        <v>164</v>
      </c>
      <c r="E1747" s="0" t="n">
        <v>37</v>
      </c>
      <c r="F1747" s="0" t="n">
        <v>2</v>
      </c>
      <c r="G1747" s="1"/>
      <c r="H1747" s="1"/>
      <c r="I1747" s="0" t="n">
        <f aca="false">32*4-1.7</f>
        <v>126.3</v>
      </c>
      <c r="J1747" s="0" t="n">
        <f aca="false">(I1747/32)*5</f>
        <v>19.734375</v>
      </c>
      <c r="L1747" s="0" t="n">
        <v>25</v>
      </c>
      <c r="M1747" s="0" t="n">
        <v>0</v>
      </c>
      <c r="N1747" s="0" t="n">
        <f aca="false">L1747</f>
        <v>25</v>
      </c>
      <c r="O1747" s="3" t="n">
        <f aca="false">LOOKUP(L1747,$AB$3:$AC$123)</f>
        <v>1.10355</v>
      </c>
      <c r="P1747" s="3" t="n">
        <f aca="false">(O1747*(N1747/100)*(J1747/1000))*1000</f>
        <v>5.4444673828125</v>
      </c>
      <c r="Q1747" s="3"/>
      <c r="R1747" s="1"/>
      <c r="S1747" s="1"/>
      <c r="T1747" s="1"/>
      <c r="U1747" s="1"/>
      <c r="V1747" s="1"/>
      <c r="W1747" s="1"/>
      <c r="X1747" s="1"/>
      <c r="Y1747" s="5"/>
      <c r="Z1747" s="1"/>
    </row>
    <row r="1748" customFormat="false" ht="15" hidden="false" customHeight="false" outlineLevel="0" collapsed="false">
      <c r="A1748" s="0" t="s">
        <v>67</v>
      </c>
      <c r="B1748" s="0" t="s">
        <v>68</v>
      </c>
      <c r="C1748" s="0" t="s">
        <v>56</v>
      </c>
      <c r="D1748" s="0" t="s">
        <v>164</v>
      </c>
      <c r="E1748" s="0" t="n">
        <v>37</v>
      </c>
      <c r="F1748" s="0" t="n">
        <v>2</v>
      </c>
      <c r="G1748" s="1"/>
      <c r="H1748" s="1"/>
      <c r="I1748" s="0" t="n">
        <f aca="false">32*3+21.3</f>
        <v>117.3</v>
      </c>
      <c r="J1748" s="0" t="n">
        <f aca="false">(I1748/32)*5</f>
        <v>18.328125</v>
      </c>
      <c r="L1748" s="0" t="n">
        <v>21.5</v>
      </c>
      <c r="M1748" s="0" t="n">
        <v>0</v>
      </c>
      <c r="N1748" s="0" t="n">
        <f aca="false">L1748</f>
        <v>21.5</v>
      </c>
      <c r="O1748" s="3" t="n">
        <f aca="false">LOOKUP(L1748,$AB$3:$AC$123)</f>
        <v>1.087675</v>
      </c>
      <c r="P1748" s="3" t="n">
        <f aca="false">(O1748*(N1748/100)*(J1748/1000))*1000</f>
        <v>4.28603432226563</v>
      </c>
      <c r="Q1748" s="3"/>
      <c r="R1748" s="1"/>
      <c r="S1748" s="1"/>
      <c r="T1748" s="1"/>
      <c r="U1748" s="1"/>
      <c r="V1748" s="1"/>
      <c r="W1748" s="1"/>
      <c r="X1748" s="1"/>
      <c r="Y1748" s="5"/>
      <c r="Z1748" s="1"/>
    </row>
    <row r="1749" customFormat="false" ht="15" hidden="false" customHeight="false" outlineLevel="0" collapsed="false">
      <c r="A1749" s="0" t="s">
        <v>69</v>
      </c>
      <c r="B1749" s="0" t="s">
        <v>70</v>
      </c>
      <c r="C1749" s="0" t="s">
        <v>56</v>
      </c>
      <c r="D1749" s="0" t="s">
        <v>164</v>
      </c>
      <c r="E1749" s="0" t="n">
        <v>37</v>
      </c>
      <c r="F1749" s="0" t="n">
        <v>1</v>
      </c>
      <c r="G1749" s="1"/>
      <c r="H1749" s="1"/>
      <c r="I1749" s="0" t="n">
        <v>22.7</v>
      </c>
      <c r="J1749" s="0" t="n">
        <f aca="false">(I1749/32)*5</f>
        <v>3.546875</v>
      </c>
      <c r="L1749" s="0" t="n">
        <v>23.5</v>
      </c>
      <c r="M1749" s="0" t="n">
        <v>0</v>
      </c>
      <c r="N1749" s="0" t="n">
        <f aca="false">L1749</f>
        <v>23.5</v>
      </c>
      <c r="O1749" s="3" t="n">
        <f aca="false">LOOKUP(L1749,$AB$3:$AC$123)</f>
        <v>1.096725</v>
      </c>
      <c r="P1749" s="3" t="n">
        <f aca="false">(O1749*(N1749/100)*(J1749/1000))*1000</f>
        <v>0.914137423828125</v>
      </c>
      <c r="Q1749" s="3"/>
      <c r="R1749" s="1"/>
      <c r="S1749" s="1"/>
      <c r="T1749" s="1"/>
      <c r="U1749" s="1"/>
      <c r="V1749" s="1"/>
      <c r="W1749" s="1"/>
      <c r="X1749" s="1"/>
      <c r="Y1749" s="5"/>
      <c r="Z1749" s="1"/>
    </row>
    <row r="1750" customFormat="false" ht="15" hidden="false" customHeight="false" outlineLevel="0" collapsed="false">
      <c r="A1750" s="0" t="s">
        <v>71</v>
      </c>
      <c r="B1750" s="0" t="s">
        <v>72</v>
      </c>
      <c r="C1750" s="0" t="s">
        <v>56</v>
      </c>
      <c r="D1750" s="0" t="s">
        <v>164</v>
      </c>
      <c r="E1750" s="0" t="n">
        <v>37</v>
      </c>
      <c r="F1750" s="0" t="n">
        <v>0</v>
      </c>
      <c r="G1750" s="1"/>
      <c r="H1750" s="1"/>
      <c r="I1750" s="0" t="n">
        <v>0</v>
      </c>
      <c r="J1750" s="0" t="n">
        <f aca="false">(I1750/32)*5</f>
        <v>0</v>
      </c>
      <c r="L1750" s="0" t="n">
        <v>0</v>
      </c>
      <c r="M1750" s="0" t="n">
        <v>0</v>
      </c>
      <c r="N1750" s="0" t="n">
        <f aca="false">L1750</f>
        <v>0</v>
      </c>
      <c r="O1750" s="3" t="n">
        <v>0</v>
      </c>
      <c r="P1750" s="3" t="n">
        <f aca="false">(O1750*(N1750/100)*(J1750/1000))*1000</f>
        <v>0</v>
      </c>
      <c r="Q1750" s="3"/>
      <c r="R1750" s="1"/>
      <c r="S1750" s="1"/>
      <c r="T1750" s="1"/>
      <c r="U1750" s="1"/>
      <c r="V1750" s="1"/>
      <c r="W1750" s="1"/>
      <c r="X1750" s="1"/>
      <c r="Y1750" s="5"/>
      <c r="Z1750" s="1"/>
    </row>
    <row r="1751" customFormat="false" ht="15" hidden="false" customHeight="false" outlineLevel="0" collapsed="false">
      <c r="A1751" s="0" t="s">
        <v>73</v>
      </c>
      <c r="B1751" s="0" t="s">
        <v>74</v>
      </c>
      <c r="C1751" s="0" t="s">
        <v>56</v>
      </c>
      <c r="D1751" s="0" t="s">
        <v>164</v>
      </c>
      <c r="E1751" s="0" t="n">
        <v>37</v>
      </c>
      <c r="F1751" s="0" t="n">
        <v>1</v>
      </c>
      <c r="G1751" s="1"/>
      <c r="H1751" s="1"/>
      <c r="I1751" s="0" t="n">
        <f aca="false">32+20.9</f>
        <v>52.9</v>
      </c>
      <c r="J1751" s="0" t="n">
        <f aca="false">(I1751/32)*5</f>
        <v>8.265625</v>
      </c>
      <c r="L1751" s="0" t="n">
        <v>22</v>
      </c>
      <c r="M1751" s="0" t="n">
        <v>0</v>
      </c>
      <c r="N1751" s="0" t="n">
        <f aca="false">L1751</f>
        <v>22</v>
      </c>
      <c r="O1751" s="3" t="n">
        <f aca="false">LOOKUP(L1751,$AB$3:$AC$123)</f>
        <v>1.0899</v>
      </c>
      <c r="P1751" s="3" t="n">
        <f aca="false">(O1751*(N1751/100)*(J1751/1000))*1000</f>
        <v>1.98191503125</v>
      </c>
      <c r="Q1751" s="3"/>
      <c r="R1751" s="1"/>
      <c r="S1751" s="1"/>
      <c r="T1751" s="1"/>
      <c r="U1751" s="1"/>
      <c r="V1751" s="1"/>
      <c r="W1751" s="1"/>
      <c r="X1751" s="1"/>
      <c r="Y1751" s="5"/>
      <c r="Z1751" s="1"/>
    </row>
    <row r="1752" customFormat="false" ht="15" hidden="false" customHeight="false" outlineLevel="0" collapsed="false">
      <c r="A1752" s="0" t="s">
        <v>75</v>
      </c>
      <c r="B1752" s="0" t="s">
        <v>76</v>
      </c>
      <c r="C1752" s="0" t="s">
        <v>56</v>
      </c>
      <c r="D1752" s="0" t="s">
        <v>164</v>
      </c>
      <c r="E1752" s="0" t="n">
        <v>37</v>
      </c>
      <c r="F1752" s="0" t="n">
        <v>1</v>
      </c>
      <c r="G1752" s="1"/>
      <c r="H1752" s="1"/>
      <c r="I1752" s="0" t="n">
        <f aca="false">32*3-3.2</f>
        <v>92.8</v>
      </c>
      <c r="J1752" s="0" t="n">
        <f aca="false">(I1752/32)*5</f>
        <v>14.5</v>
      </c>
      <c r="L1752" s="0" t="n">
        <v>21</v>
      </c>
      <c r="M1752" s="0" t="n">
        <v>0</v>
      </c>
      <c r="N1752" s="0" t="n">
        <f aca="false">L1752</f>
        <v>21</v>
      </c>
      <c r="O1752" s="3" t="n">
        <f aca="false">LOOKUP(L1752,$AB$3:$AC$123)</f>
        <v>1.08545</v>
      </c>
      <c r="P1752" s="3" t="n">
        <f aca="false">(O1752*(N1752/100)*(J1752/1000))*1000</f>
        <v>3.30519525</v>
      </c>
      <c r="Q1752" s="3"/>
      <c r="R1752" s="1"/>
      <c r="S1752" s="1"/>
      <c r="T1752" s="1"/>
      <c r="U1752" s="1"/>
      <c r="V1752" s="1"/>
      <c r="W1752" s="1"/>
      <c r="X1752" s="1"/>
      <c r="Y1752" s="5"/>
      <c r="Z1752" s="1"/>
    </row>
    <row r="1753" customFormat="false" ht="15" hidden="false" customHeight="false" outlineLevel="0" collapsed="false">
      <c r="A1753" s="0" t="s">
        <v>77</v>
      </c>
      <c r="B1753" s="0" t="s">
        <v>78</v>
      </c>
      <c r="C1753" s="0" t="s">
        <v>56</v>
      </c>
      <c r="D1753" s="0" t="s">
        <v>164</v>
      </c>
      <c r="E1753" s="0" t="n">
        <v>37</v>
      </c>
      <c r="F1753" s="0" t="n">
        <v>3</v>
      </c>
      <c r="G1753" s="1"/>
      <c r="H1753" s="1"/>
      <c r="I1753" s="0" t="n">
        <f aca="false">32*4-7.4</f>
        <v>120.6</v>
      </c>
      <c r="J1753" s="0" t="n">
        <f aca="false">(I1753/32)*5</f>
        <v>18.84375</v>
      </c>
      <c r="L1753" s="0" t="n">
        <v>19</v>
      </c>
      <c r="M1753" s="0" t="n">
        <v>0</v>
      </c>
      <c r="N1753" s="0" t="n">
        <f aca="false">L1753</f>
        <v>19</v>
      </c>
      <c r="O1753" s="3" t="n">
        <f aca="false">LOOKUP(L1753,$AB$3:$AC$123)</f>
        <v>1.0765</v>
      </c>
      <c r="P1753" s="3" t="n">
        <f aca="false">(O1753*(N1753/100)*(J1753/1000))*1000</f>
        <v>3.85420640625</v>
      </c>
      <c r="Q1753" s="3"/>
      <c r="R1753" s="1"/>
      <c r="S1753" s="1"/>
      <c r="T1753" s="1"/>
      <c r="U1753" s="1"/>
      <c r="V1753" s="1"/>
      <c r="W1753" s="1"/>
      <c r="X1753" s="1"/>
      <c r="Y1753" s="5"/>
      <c r="Z1753" s="1"/>
    </row>
    <row r="1754" customFormat="false" ht="15" hidden="false" customHeight="false" outlineLevel="0" collapsed="false">
      <c r="A1754" s="0" t="s">
        <v>79</v>
      </c>
      <c r="B1754" s="0" t="s">
        <v>80</v>
      </c>
      <c r="C1754" s="0" t="s">
        <v>81</v>
      </c>
      <c r="D1754" s="0" t="s">
        <v>164</v>
      </c>
      <c r="E1754" s="0" t="n">
        <v>37</v>
      </c>
      <c r="F1754" s="0" t="n">
        <v>2</v>
      </c>
      <c r="G1754" s="1"/>
      <c r="H1754" s="1"/>
      <c r="I1754" s="0" t="n">
        <v>26.3</v>
      </c>
      <c r="J1754" s="0" t="n">
        <f aca="false">(I1754/32)*5</f>
        <v>4.109375</v>
      </c>
      <c r="L1754" s="0" t="n">
        <v>24</v>
      </c>
      <c r="M1754" s="0" t="n">
        <v>0</v>
      </c>
      <c r="N1754" s="0" t="n">
        <f aca="false">L1754</f>
        <v>24</v>
      </c>
      <c r="O1754" s="3" t="n">
        <f aca="false">LOOKUP(L1754,$AB$3:$AC$123)</f>
        <v>1.099</v>
      </c>
      <c r="P1754" s="3" t="n">
        <f aca="false">(O1754*(N1754/100)*(J1754/1000))*1000</f>
        <v>1.08388875</v>
      </c>
      <c r="Q1754" s="3"/>
      <c r="R1754" s="0" t="n">
        <v>2</v>
      </c>
      <c r="S1754" s="0" t="n">
        <v>7.8</v>
      </c>
      <c r="T1754" s="0" t="n">
        <f aca="false">(S1754/32)*5</f>
        <v>1.21875</v>
      </c>
      <c r="V1754" s="0" t="n">
        <v>17</v>
      </c>
      <c r="W1754" s="0" t="n">
        <v>4</v>
      </c>
      <c r="X1754" s="3" t="n">
        <f aca="false">LOOKUP(V1754,$AB$3:$AC$123)</f>
        <v>1.0678</v>
      </c>
      <c r="Y1754" s="2" t="n">
        <f aca="false">(V1754*((W1754+T1754)/1000)*X1754)/((((W1754+T1754)/1000)*X1754)-((W1754/1000)*0.9982))</f>
        <v>59.9664550076158</v>
      </c>
      <c r="Z1754" s="3" t="n">
        <f aca="false">(X1754*(V1754/100)*((W1754+T1754)/1000))*1000</f>
        <v>0.9473388125</v>
      </c>
    </row>
    <row r="1755" customFormat="false" ht="15" hidden="false" customHeight="false" outlineLevel="0" collapsed="false">
      <c r="A1755" s="0" t="s">
        <v>82</v>
      </c>
      <c r="B1755" s="0" t="s">
        <v>83</v>
      </c>
      <c r="C1755" s="0" t="s">
        <v>81</v>
      </c>
      <c r="D1755" s="0" t="s">
        <v>164</v>
      </c>
      <c r="E1755" s="0" t="n">
        <v>37</v>
      </c>
      <c r="F1755" s="0" t="n">
        <v>1</v>
      </c>
      <c r="G1755" s="1"/>
      <c r="H1755" s="1"/>
      <c r="I1755" s="0" t="n">
        <v>20.9</v>
      </c>
      <c r="J1755" s="0" t="n">
        <f aca="false">(I1755/32)*5</f>
        <v>3.265625</v>
      </c>
      <c r="L1755" s="0" t="n">
        <v>21</v>
      </c>
      <c r="M1755" s="0" t="n">
        <v>0</v>
      </c>
      <c r="N1755" s="0" t="n">
        <f aca="false">L1755</f>
        <v>21</v>
      </c>
      <c r="O1755" s="3" t="n">
        <f aca="false">LOOKUP(L1755,$AB$3:$AC$123)</f>
        <v>1.08545</v>
      </c>
      <c r="P1755" s="3" t="n">
        <f aca="false">(O1755*(N1755/100)*(J1755/1000))*1000</f>
        <v>0.7443812578125</v>
      </c>
      <c r="Q1755" s="3"/>
      <c r="R1755" s="0" t="n">
        <v>2</v>
      </c>
      <c r="S1755" s="0" t="n">
        <v>9.8</v>
      </c>
      <c r="T1755" s="0" t="n">
        <f aca="false">(S1755/32)*5</f>
        <v>1.53125</v>
      </c>
      <c r="V1755" s="0" t="n">
        <v>22</v>
      </c>
      <c r="W1755" s="0" t="n">
        <v>4</v>
      </c>
      <c r="X1755" s="3" t="n">
        <f aca="false">LOOKUP(V1755,$AB$3:$AC$123)</f>
        <v>1.0899</v>
      </c>
      <c r="Y1755" s="2" t="n">
        <f aca="false">(V1755*((W1755+T1755)/1000)*X1755)/((((W1755+T1755)/1000)*X1755)-((W1755/1000)*0.9982))</f>
        <v>65.1503637399125</v>
      </c>
      <c r="Z1755" s="3" t="n">
        <f aca="false">(X1755*(V1755/100)*((W1755+T1755)/1000))*1000</f>
        <v>1.3262720625</v>
      </c>
    </row>
    <row r="1756" customFormat="false" ht="15" hidden="false" customHeight="false" outlineLevel="0" collapsed="false">
      <c r="A1756" s="0" t="s">
        <v>84</v>
      </c>
      <c r="B1756" s="0" t="s">
        <v>85</v>
      </c>
      <c r="C1756" s="0" t="s">
        <v>81</v>
      </c>
      <c r="D1756" s="0" t="s">
        <v>164</v>
      </c>
      <c r="E1756" s="0" t="n">
        <v>37</v>
      </c>
      <c r="F1756" s="0" t="n">
        <v>2</v>
      </c>
      <c r="G1756" s="1"/>
      <c r="H1756" s="1"/>
      <c r="I1756" s="0" t="n">
        <v>57.8</v>
      </c>
      <c r="J1756" s="0" t="n">
        <f aca="false">(I1756/32)*5</f>
        <v>9.03125</v>
      </c>
      <c r="L1756" s="0" t="n">
        <v>23</v>
      </c>
      <c r="M1756" s="0" t="n">
        <v>0</v>
      </c>
      <c r="N1756" s="0" t="n">
        <f aca="false">L1756</f>
        <v>23</v>
      </c>
      <c r="O1756" s="3" t="n">
        <f aca="false">LOOKUP(L1756,$AB$3:$AC$123)</f>
        <v>1.09445</v>
      </c>
      <c r="P1756" s="3" t="n">
        <f aca="false">(O1756*(N1756/100)*(J1756/1000))*1000</f>
        <v>2.273377859375</v>
      </c>
      <c r="Q1756" s="3"/>
      <c r="R1756" s="0" t="n">
        <v>4</v>
      </c>
      <c r="S1756" s="0" t="n">
        <v>13.5</v>
      </c>
      <c r="T1756" s="0" t="n">
        <f aca="false">(S1756/32)*5</f>
        <v>2.109375</v>
      </c>
      <c r="V1756" s="0" t="n">
        <v>21</v>
      </c>
      <c r="W1756" s="0" t="n">
        <v>4</v>
      </c>
      <c r="X1756" s="3" t="n">
        <f aca="false">LOOKUP(V1756,$AB$3:$AC$123)</f>
        <v>1.08545</v>
      </c>
      <c r="Y1756" s="2" t="n">
        <f aca="false">(V1756*((W1756+T1756)/1000)*X1756)/((((W1756+T1756)/1000)*X1756)-((W1756/1000)*0.9982))</f>
        <v>52.7775068950254</v>
      </c>
      <c r="Z1756" s="3" t="n">
        <f aca="false">(X1756*(V1756/100)*((W1756+T1756)/1000))*1000</f>
        <v>1.3925984296875</v>
      </c>
    </row>
    <row r="1757" customFormat="false" ht="15" hidden="false" customHeight="false" outlineLevel="0" collapsed="false">
      <c r="A1757" s="0" t="s">
        <v>86</v>
      </c>
      <c r="B1757" s="0" t="s">
        <v>87</v>
      </c>
      <c r="C1757" s="0" t="s">
        <v>81</v>
      </c>
      <c r="D1757" s="0" t="s">
        <v>164</v>
      </c>
      <c r="E1757" s="0" t="n">
        <v>37</v>
      </c>
      <c r="F1757" s="0" t="n">
        <v>0</v>
      </c>
      <c r="G1757" s="1"/>
      <c r="H1757" s="1"/>
      <c r="I1757" s="0" t="n">
        <v>0</v>
      </c>
      <c r="J1757" s="0" t="n">
        <f aca="false">(I1757/32)*5</f>
        <v>0</v>
      </c>
      <c r="L1757" s="0" t="n">
        <v>0</v>
      </c>
      <c r="M1757" s="0" t="n">
        <v>0</v>
      </c>
      <c r="N1757" s="0" t="n">
        <f aca="false">L1757</f>
        <v>0</v>
      </c>
      <c r="O1757" s="3" t="n">
        <v>0</v>
      </c>
      <c r="P1757" s="3" t="n">
        <f aca="false">(O1757*(N1757/100)*(J1757/1000))*1000</f>
        <v>0</v>
      </c>
      <c r="Q1757" s="3"/>
      <c r="R1757" s="0" t="n">
        <v>2</v>
      </c>
      <c r="S1757" s="0" t="n">
        <v>6.5</v>
      </c>
      <c r="T1757" s="0" t="n">
        <f aca="false">(S1757/32)*5</f>
        <v>1.015625</v>
      </c>
      <c r="V1757" s="0" t="n">
        <v>14</v>
      </c>
      <c r="W1757" s="0" t="n">
        <v>4</v>
      </c>
      <c r="X1757" s="3" t="n">
        <f aca="false">LOOKUP(V1757,$AB$3:$AC$123)</f>
        <v>1.0549</v>
      </c>
      <c r="Y1757" s="2" t="n">
        <f aca="false">(V1757*((W1757+T1757)/1000)*X1757)/((((W1757+T1757)/1000)*X1757)-((W1757/1000)*0.9982))</f>
        <v>57.059574862458</v>
      </c>
      <c r="Z1757" s="3" t="n">
        <f aca="false">(X1757*(V1757/100)*((W1757+T1757)/1000))*1000</f>
        <v>0.74073759375</v>
      </c>
    </row>
    <row r="1758" customFormat="false" ht="15" hidden="false" customHeight="false" outlineLevel="0" collapsed="false">
      <c r="A1758" s="0" t="s">
        <v>88</v>
      </c>
      <c r="B1758" s="0" t="s">
        <v>89</v>
      </c>
      <c r="C1758" s="0" t="s">
        <v>81</v>
      </c>
      <c r="D1758" s="0" t="s">
        <v>164</v>
      </c>
      <c r="E1758" s="0" t="n">
        <v>37</v>
      </c>
      <c r="F1758" s="0" t="n">
        <v>0</v>
      </c>
      <c r="G1758" s="1"/>
      <c r="H1758" s="1"/>
      <c r="I1758" s="0" t="n">
        <v>0</v>
      </c>
      <c r="J1758" s="0" t="n">
        <f aca="false">(I1758/32)*5</f>
        <v>0</v>
      </c>
      <c r="L1758" s="0" t="n">
        <v>0</v>
      </c>
      <c r="M1758" s="0" t="n">
        <v>0</v>
      </c>
      <c r="N1758" s="0" t="n">
        <f aca="false">L1758</f>
        <v>0</v>
      </c>
      <c r="O1758" s="3" t="n">
        <v>0</v>
      </c>
      <c r="P1758" s="3" t="n">
        <f aca="false">(O1758*(N1758/100)*(J1758/1000))*1000</f>
        <v>0</v>
      </c>
      <c r="Q1758" s="3"/>
      <c r="R1758" s="0" t="n">
        <v>2</v>
      </c>
      <c r="S1758" s="0" t="n">
        <v>8</v>
      </c>
      <c r="T1758" s="0" t="n">
        <f aca="false">(S1758/32)*5</f>
        <v>1.25</v>
      </c>
      <c r="V1758" s="0" t="n">
        <v>20.5</v>
      </c>
      <c r="W1758" s="0" t="n">
        <v>4</v>
      </c>
      <c r="X1758" s="3" t="n">
        <f aca="false">LOOKUP(V1758,$AB$3:$AC$123)</f>
        <v>1.083225</v>
      </c>
      <c r="Y1758" s="2" t="n">
        <f aca="false">(V1758*((W1758+T1758)/1000)*X1758)/((((W1758+T1758)/1000)*X1758)-((W1758/1000)*0.9982))</f>
        <v>68.8152648296878</v>
      </c>
      <c r="Z1758" s="3" t="n">
        <f aca="false">(X1758*(V1758/100)*((W1758+T1758)/1000))*1000</f>
        <v>1.16582090625</v>
      </c>
    </row>
    <row r="1759" customFormat="false" ht="15" hidden="false" customHeight="false" outlineLevel="0" collapsed="false">
      <c r="A1759" s="0" t="s">
        <v>90</v>
      </c>
      <c r="B1759" s="0" t="s">
        <v>91</v>
      </c>
      <c r="C1759" s="0" t="s">
        <v>81</v>
      </c>
      <c r="D1759" s="0" t="s">
        <v>164</v>
      </c>
      <c r="E1759" s="0" t="n">
        <v>37</v>
      </c>
      <c r="F1759" s="0" t="n">
        <v>1</v>
      </c>
      <c r="G1759" s="1"/>
      <c r="H1759" s="1"/>
      <c r="I1759" s="0" t="n">
        <v>14.3</v>
      </c>
      <c r="J1759" s="0" t="n">
        <f aca="false">(I1759/32)*5</f>
        <v>2.234375</v>
      </c>
      <c r="L1759" s="0" t="n">
        <v>20</v>
      </c>
      <c r="M1759" s="0" t="n">
        <v>0</v>
      </c>
      <c r="N1759" s="0" t="n">
        <f aca="false">L1759</f>
        <v>20</v>
      </c>
      <c r="O1759" s="3" t="n">
        <f aca="false">LOOKUP(L1759,$AB$3:$AC$123)</f>
        <v>1.081</v>
      </c>
      <c r="P1759" s="3" t="n">
        <f aca="false">(O1759*(N1759/100)*(J1759/1000))*1000</f>
        <v>0.483071875</v>
      </c>
      <c r="Q1759" s="3"/>
      <c r="R1759" s="0" t="n">
        <v>3</v>
      </c>
      <c r="S1759" s="0" t="n">
        <v>11.2</v>
      </c>
      <c r="T1759" s="0" t="n">
        <f aca="false">(S1759/32)*5</f>
        <v>1.75</v>
      </c>
      <c r="V1759" s="0" t="n">
        <v>24</v>
      </c>
      <c r="W1759" s="0" t="n">
        <v>4</v>
      </c>
      <c r="X1759" s="3" t="n">
        <f aca="false">LOOKUP(V1759,$AB$3:$AC$123)</f>
        <v>1.099</v>
      </c>
      <c r="Y1759" s="2" t="n">
        <f aca="false">(V1759*((W1759+T1759)/1000)*X1759)/((((W1759+T1759)/1000)*X1759)-((W1759/1000)*0.9982))</f>
        <v>65.1903114186852</v>
      </c>
      <c r="Z1759" s="3" t="n">
        <f aca="false">(X1759*(V1759/100)*((W1759+T1759)/1000))*1000</f>
        <v>1.51662</v>
      </c>
    </row>
    <row r="1760" customFormat="false" ht="15" hidden="false" customHeight="false" outlineLevel="0" collapsed="false">
      <c r="A1760" s="0" t="s">
        <v>92</v>
      </c>
      <c r="B1760" s="0" t="s">
        <v>93</v>
      </c>
      <c r="C1760" s="0" t="s">
        <v>81</v>
      </c>
      <c r="D1760" s="0" t="s">
        <v>164</v>
      </c>
      <c r="E1760" s="0" t="n">
        <v>37</v>
      </c>
      <c r="F1760" s="0" t="n">
        <v>1</v>
      </c>
      <c r="G1760" s="1"/>
      <c r="H1760" s="1"/>
      <c r="I1760" s="0" t="n">
        <v>17</v>
      </c>
      <c r="J1760" s="0" t="n">
        <f aca="false">(I1760/32)*5</f>
        <v>2.65625</v>
      </c>
      <c r="L1760" s="0" t="n">
        <v>21</v>
      </c>
      <c r="M1760" s="0" t="n">
        <v>0</v>
      </c>
      <c r="N1760" s="0" t="n">
        <f aca="false">L1760</f>
        <v>21</v>
      </c>
      <c r="O1760" s="3" t="n">
        <f aca="false">LOOKUP(L1760,$AB$3:$AC$123)</f>
        <v>1.08545</v>
      </c>
      <c r="P1760" s="3" t="n">
        <f aca="false">(O1760*(N1760/100)*(J1760/1000))*1000</f>
        <v>0.605477578125</v>
      </c>
      <c r="Q1760" s="3"/>
      <c r="R1760" s="0" t="n">
        <v>2</v>
      </c>
      <c r="S1760" s="0" t="n">
        <v>5.2</v>
      </c>
      <c r="T1760" s="0" t="n">
        <f aca="false">(S1760/32)*5</f>
        <v>0.8125</v>
      </c>
      <c r="V1760" s="0" t="n">
        <v>15</v>
      </c>
      <c r="W1760" s="0" t="n">
        <v>4</v>
      </c>
      <c r="X1760" s="3" t="n">
        <f aca="false">LOOKUP(V1760,$AB$3:$AC$123)</f>
        <v>1.0592</v>
      </c>
      <c r="Y1760" s="2" t="n">
        <f aca="false">(V1760*((W1760+T1760)/1000)*X1760)/((((W1760+T1760)/1000)*X1760)-((W1760/1000)*0.9982))</f>
        <v>69.2205323193917</v>
      </c>
      <c r="Z1760" s="3" t="n">
        <f aca="false">(X1760*(V1760/100)*((W1760+T1760)/1000))*1000</f>
        <v>0.76461</v>
      </c>
    </row>
    <row r="1761" customFormat="false" ht="15" hidden="false" customHeight="false" outlineLevel="0" collapsed="false">
      <c r="A1761" s="0" t="s">
        <v>94</v>
      </c>
      <c r="B1761" s="0" t="s">
        <v>95</v>
      </c>
      <c r="C1761" s="0" t="s">
        <v>81</v>
      </c>
      <c r="D1761" s="0" t="s">
        <v>164</v>
      </c>
      <c r="E1761" s="0" t="n">
        <v>37</v>
      </c>
      <c r="F1761" s="0" t="n">
        <v>3</v>
      </c>
      <c r="G1761" s="1"/>
      <c r="H1761" s="1"/>
      <c r="I1761" s="0" t="n">
        <f aca="false">20.7+27.8+64</f>
        <v>112.5</v>
      </c>
      <c r="J1761" s="0" t="n">
        <f aca="false">(I1761/32)*5</f>
        <v>17.578125</v>
      </c>
      <c r="L1761" s="0" t="n">
        <v>28</v>
      </c>
      <c r="M1761" s="0" t="n">
        <v>0</v>
      </c>
      <c r="N1761" s="0" t="n">
        <f aca="false">L1761</f>
        <v>28</v>
      </c>
      <c r="O1761" s="3" t="n">
        <f aca="false">LOOKUP(L1761,$AB$3:$AC$123)</f>
        <v>1.1175</v>
      </c>
      <c r="P1761" s="3" t="n">
        <f aca="false">(O1761*(N1761/100)*(J1761/1000))*1000</f>
        <v>5.5001953125</v>
      </c>
      <c r="Q1761" s="3"/>
      <c r="R1761" s="0" t="n">
        <v>3</v>
      </c>
      <c r="S1761" s="0" t="n">
        <v>9.1</v>
      </c>
      <c r="T1761" s="0" t="n">
        <f aca="false">(S1761/32)*5</f>
        <v>1.421875</v>
      </c>
      <c r="V1761" s="0" t="n">
        <v>16</v>
      </c>
      <c r="W1761" s="0" t="n">
        <v>4</v>
      </c>
      <c r="X1761" s="3" t="n">
        <f aca="false">LOOKUP(V1761,$AB$3:$AC$123)</f>
        <v>1.0635</v>
      </c>
      <c r="Y1761" s="2" t="n">
        <f aca="false">(V1761*((W1761+T1761)/1000)*X1761)/((((W1761+T1761)/1000)*X1761)-((W1761/1000)*0.9982))</f>
        <v>52.0246389057521</v>
      </c>
      <c r="Z1761" s="3" t="n">
        <f aca="false">(X1761*(V1761/100)*((W1761+T1761)/1000))*1000</f>
        <v>0.92258625</v>
      </c>
    </row>
    <row r="1762" customFormat="false" ht="15" hidden="false" customHeight="false" outlineLevel="0" collapsed="false">
      <c r="A1762" s="0" t="s">
        <v>96</v>
      </c>
      <c r="B1762" s="0" t="s">
        <v>97</v>
      </c>
      <c r="C1762" s="0" t="s">
        <v>81</v>
      </c>
      <c r="D1762" s="0" t="s">
        <v>164</v>
      </c>
      <c r="E1762" s="0" t="n">
        <v>37</v>
      </c>
      <c r="F1762" s="0" t="n">
        <v>0</v>
      </c>
      <c r="G1762" s="1"/>
      <c r="H1762" s="1"/>
      <c r="I1762" s="0" t="n">
        <v>0</v>
      </c>
      <c r="J1762" s="0" t="n">
        <f aca="false">(I1762/32)*5</f>
        <v>0</v>
      </c>
      <c r="L1762" s="0" t="n">
        <v>0</v>
      </c>
      <c r="M1762" s="0" t="n">
        <v>0</v>
      </c>
      <c r="N1762" s="0" t="n">
        <f aca="false">L1762</f>
        <v>0</v>
      </c>
      <c r="O1762" s="3" t="n">
        <v>0</v>
      </c>
      <c r="P1762" s="3" t="n">
        <f aca="false">(O1762*(N1762/100)*(J1762/1000))*1000</f>
        <v>0</v>
      </c>
      <c r="Q1762" s="3"/>
      <c r="R1762" s="0" t="n">
        <v>2</v>
      </c>
      <c r="S1762" s="0" t="n">
        <v>4.8</v>
      </c>
      <c r="T1762" s="0" t="n">
        <f aca="false">(S1762/32)*5</f>
        <v>0.75</v>
      </c>
      <c r="V1762" s="0" t="n">
        <v>13</v>
      </c>
      <c r="W1762" s="0" t="n">
        <v>4</v>
      </c>
      <c r="X1762" s="3" t="n">
        <f aca="false">LOOKUP(V1762,$AB$3:$AC$123)</f>
        <v>1.0507</v>
      </c>
      <c r="Y1762" s="2" t="n">
        <f aca="false">(V1762*((W1762+T1762)/1000)*X1762)/((((W1762+T1762)/1000)*X1762)-((W1762/1000)*0.9982))</f>
        <v>65.009118008066</v>
      </c>
      <c r="Z1762" s="3" t="n">
        <f aca="false">(X1762*(V1762/100)*((W1762+T1762)/1000))*1000</f>
        <v>0.64880725</v>
      </c>
    </row>
    <row r="1763" customFormat="false" ht="15" hidden="false" customHeight="false" outlineLevel="0" collapsed="false">
      <c r="A1763" s="0" t="s">
        <v>98</v>
      </c>
      <c r="B1763" s="0" t="s">
        <v>99</v>
      </c>
      <c r="C1763" s="0" t="s">
        <v>81</v>
      </c>
      <c r="D1763" s="0" t="s">
        <v>164</v>
      </c>
      <c r="E1763" s="0" t="n">
        <v>37</v>
      </c>
      <c r="F1763" s="0" t="n">
        <v>1</v>
      </c>
      <c r="G1763" s="1"/>
      <c r="H1763" s="1"/>
      <c r="I1763" s="0" t="n">
        <v>19.6</v>
      </c>
      <c r="J1763" s="0" t="n">
        <f aca="false">(I1763/32)*5</f>
        <v>3.0625</v>
      </c>
      <c r="L1763" s="0" t="n">
        <v>22</v>
      </c>
      <c r="M1763" s="0" t="n">
        <v>0</v>
      </c>
      <c r="N1763" s="0" t="n">
        <f aca="false">L1763</f>
        <v>22</v>
      </c>
      <c r="O1763" s="3" t="n">
        <f aca="false">LOOKUP(L1763,$AB$3:$AC$123)</f>
        <v>1.0899</v>
      </c>
      <c r="P1763" s="3" t="n">
        <f aca="false">(O1763*(N1763/100)*(J1763/1000))*1000</f>
        <v>0.734320125</v>
      </c>
      <c r="Q1763" s="3"/>
      <c r="R1763" s="0" t="n">
        <v>2</v>
      </c>
      <c r="S1763" s="0" t="n">
        <v>6.6</v>
      </c>
      <c r="T1763" s="0" t="n">
        <f aca="false">(S1763/32)*5</f>
        <v>1.03125</v>
      </c>
      <c r="V1763" s="0" t="n">
        <v>13</v>
      </c>
      <c r="W1763" s="0" t="n">
        <v>4</v>
      </c>
      <c r="X1763" s="3" t="n">
        <f aca="false">LOOKUP(V1763,$AB$3:$AC$123)</f>
        <v>1.0507</v>
      </c>
      <c r="Y1763" s="2" t="n">
        <f aca="false">(V1763*((W1763+T1763)/1000)*X1763)/((((W1763+T1763)/1000)*X1763)-((W1763/1000)*0.9982))</f>
        <v>53.1275768183586</v>
      </c>
      <c r="Z1763" s="3" t="n">
        <f aca="false">(X1763*(V1763/100)*((W1763+T1763)/1000))*1000</f>
        <v>0.68722346875</v>
      </c>
    </row>
    <row r="1764" customFormat="false" ht="15" hidden="false" customHeight="false" outlineLevel="0" collapsed="false">
      <c r="A1764" s="0" t="s">
        <v>100</v>
      </c>
      <c r="B1764" s="0" t="s">
        <v>101</v>
      </c>
      <c r="C1764" s="0" t="s">
        <v>81</v>
      </c>
      <c r="D1764" s="0" t="s">
        <v>164</v>
      </c>
      <c r="E1764" s="0" t="n">
        <v>37</v>
      </c>
      <c r="F1764" s="0" t="n">
        <v>0</v>
      </c>
      <c r="G1764" s="1"/>
      <c r="H1764" s="1"/>
      <c r="I1764" s="0" t="n">
        <v>0</v>
      </c>
      <c r="J1764" s="0" t="n">
        <f aca="false">(I1764/32)*5</f>
        <v>0</v>
      </c>
      <c r="L1764" s="0" t="n">
        <v>0</v>
      </c>
      <c r="M1764" s="0" t="n">
        <v>0</v>
      </c>
      <c r="N1764" s="0" t="n">
        <f aca="false">L1764</f>
        <v>0</v>
      </c>
      <c r="O1764" s="3" t="n">
        <v>0</v>
      </c>
      <c r="P1764" s="3" t="n">
        <f aca="false">(O1764*(N1764/100)*(J1764/1000))*1000</f>
        <v>0</v>
      </c>
      <c r="Q1764" s="3"/>
      <c r="R1764" s="0" t="n">
        <v>1</v>
      </c>
      <c r="S1764" s="0" t="n">
        <v>2</v>
      </c>
      <c r="T1764" s="0" t="n">
        <f aca="false">(S1764/32)*5</f>
        <v>0.3125</v>
      </c>
      <c r="V1764" s="0" t="n">
        <v>9</v>
      </c>
      <c r="W1764" s="0" t="n">
        <v>4</v>
      </c>
      <c r="X1764" s="3" t="n">
        <f aca="false">LOOKUP(V1764,$AB$3:$AC$123)</f>
        <v>1.0341</v>
      </c>
      <c r="Y1764" s="2" t="n">
        <f aca="false">(V1764*((W1764+T1764)/1000)*X1764)/((((W1764+T1764)/1000)*X1764)-((W1764/1000)*0.9982))</f>
        <v>85.9892208192177</v>
      </c>
      <c r="Z1764" s="3" t="n">
        <f aca="false">(X1764*(V1764/100)*((W1764+T1764)/1000))*1000</f>
        <v>0.4013600625</v>
      </c>
    </row>
    <row r="1765" customFormat="false" ht="15" hidden="false" customHeight="false" outlineLevel="0" collapsed="false">
      <c r="A1765" s="0" t="s">
        <v>102</v>
      </c>
      <c r="B1765" s="0" t="s">
        <v>103</v>
      </c>
      <c r="C1765" s="0" t="s">
        <v>81</v>
      </c>
      <c r="D1765" s="0" t="s">
        <v>164</v>
      </c>
      <c r="E1765" s="0" t="n">
        <v>37</v>
      </c>
      <c r="F1765" s="0" t="n">
        <v>2</v>
      </c>
      <c r="G1765" s="1"/>
      <c r="H1765" s="1"/>
      <c r="I1765" s="0" t="n">
        <f aca="false">17.2+23.9</f>
        <v>41.1</v>
      </c>
      <c r="J1765" s="0" t="n">
        <f aca="false">(I1765/32)*5</f>
        <v>6.421875</v>
      </c>
      <c r="L1765" s="0" t="n">
        <v>22</v>
      </c>
      <c r="M1765" s="0" t="n">
        <v>0</v>
      </c>
      <c r="N1765" s="0" t="n">
        <f aca="false">L1765</f>
        <v>22</v>
      </c>
      <c r="O1765" s="3" t="n">
        <f aca="false">LOOKUP(L1765,$AB$3:$AC$123)</f>
        <v>1.0899</v>
      </c>
      <c r="P1765" s="3" t="n">
        <f aca="false">(O1765*(N1765/100)*(J1765/1000))*1000</f>
        <v>1.53982434375</v>
      </c>
      <c r="Q1765" s="3"/>
      <c r="R1765" s="0" t="n">
        <v>2</v>
      </c>
      <c r="S1765" s="0" t="n">
        <v>7.6</v>
      </c>
      <c r="T1765" s="0" t="n">
        <f aca="false">(S1765/32)*5</f>
        <v>1.1875</v>
      </c>
      <c r="V1765" s="0" t="n">
        <v>14</v>
      </c>
      <c r="W1765" s="0" t="n">
        <v>4</v>
      </c>
      <c r="X1765" s="3" t="n">
        <f aca="false">LOOKUP(V1765,$AB$3:$AC$123)</f>
        <v>1.0549</v>
      </c>
      <c r="Y1765" s="2" t="n">
        <f aca="false">(V1765*((W1765+T1765)/1000)*X1765)/((((W1765+T1765)/1000)*X1765)-((W1765/1000)*0.9982))</f>
        <v>51.7826536948872</v>
      </c>
      <c r="Z1765" s="3" t="n">
        <f aca="false">(X1765*(V1765/100)*((W1765+T1765)/1000))*1000</f>
        <v>0.766121125</v>
      </c>
    </row>
    <row r="1766" customFormat="false" ht="15" hidden="false" customHeight="false" outlineLevel="0" collapsed="false">
      <c r="A1766" s="0" t="s">
        <v>104</v>
      </c>
      <c r="B1766" s="0" t="s">
        <v>105</v>
      </c>
      <c r="C1766" s="0" t="s">
        <v>106</v>
      </c>
      <c r="D1766" s="0" t="s">
        <v>164</v>
      </c>
      <c r="E1766" s="0" t="n">
        <v>37</v>
      </c>
      <c r="F1766" s="0" t="n">
        <v>1</v>
      </c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0" t="n">
        <v>9</v>
      </c>
      <c r="S1766" s="1"/>
      <c r="T1766" s="1"/>
      <c r="U1766" s="1"/>
      <c r="V1766" s="1"/>
      <c r="W1766" s="1"/>
      <c r="X1766" s="1"/>
      <c r="Y1766" s="5"/>
      <c r="Z1766" s="1"/>
    </row>
    <row r="1767" customFormat="false" ht="15" hidden="false" customHeight="false" outlineLevel="0" collapsed="false">
      <c r="A1767" s="0" t="s">
        <v>107</v>
      </c>
      <c r="B1767" s="0" t="s">
        <v>37</v>
      </c>
      <c r="C1767" s="0" t="s">
        <v>106</v>
      </c>
      <c r="D1767" s="0" t="s">
        <v>164</v>
      </c>
      <c r="E1767" s="0" t="n">
        <v>37</v>
      </c>
      <c r="F1767" s="0" t="n">
        <v>1</v>
      </c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0" t="n">
        <v>10</v>
      </c>
      <c r="S1767" s="1"/>
      <c r="T1767" s="1"/>
      <c r="U1767" s="1"/>
      <c r="V1767" s="1"/>
      <c r="W1767" s="1"/>
      <c r="X1767" s="1"/>
      <c r="Y1767" s="5"/>
      <c r="Z1767" s="1"/>
    </row>
    <row r="1768" customFormat="false" ht="15" hidden="false" customHeight="false" outlineLevel="0" collapsed="false">
      <c r="A1768" s="0" t="s">
        <v>108</v>
      </c>
      <c r="B1768" s="0" t="s">
        <v>109</v>
      </c>
      <c r="C1768" s="0" t="s">
        <v>106</v>
      </c>
      <c r="D1768" s="0" t="s">
        <v>164</v>
      </c>
      <c r="E1768" s="0" t="n">
        <v>37</v>
      </c>
      <c r="F1768" s="0" t="n">
        <v>5</v>
      </c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0" t="n">
        <v>12</v>
      </c>
      <c r="S1768" s="1"/>
      <c r="T1768" s="1"/>
      <c r="U1768" s="1"/>
      <c r="V1768" s="1"/>
      <c r="W1768" s="1"/>
      <c r="X1768" s="1"/>
      <c r="Y1768" s="5"/>
      <c r="Z1768" s="1"/>
    </row>
    <row r="1769" customFormat="false" ht="15" hidden="false" customHeight="false" outlineLevel="0" collapsed="false">
      <c r="A1769" s="0" t="s">
        <v>110</v>
      </c>
      <c r="B1769" s="0" t="s">
        <v>111</v>
      </c>
      <c r="C1769" s="0" t="s">
        <v>106</v>
      </c>
      <c r="D1769" s="0" t="s">
        <v>164</v>
      </c>
      <c r="E1769" s="0" t="n">
        <v>37</v>
      </c>
      <c r="F1769" s="0" t="n">
        <v>0</v>
      </c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0" t="n">
        <v>8</v>
      </c>
      <c r="S1769" s="1"/>
      <c r="T1769" s="1"/>
      <c r="U1769" s="1"/>
      <c r="V1769" s="1"/>
      <c r="W1769" s="1"/>
      <c r="X1769" s="1"/>
      <c r="Y1769" s="5"/>
      <c r="Z1769" s="1"/>
    </row>
    <row r="1770" customFormat="false" ht="15" hidden="false" customHeight="false" outlineLevel="0" collapsed="false">
      <c r="A1770" s="0" t="s">
        <v>112</v>
      </c>
      <c r="B1770" s="0" t="s">
        <v>113</v>
      </c>
      <c r="C1770" s="0" t="s">
        <v>106</v>
      </c>
      <c r="D1770" s="0" t="s">
        <v>164</v>
      </c>
      <c r="E1770" s="0" t="n">
        <v>37</v>
      </c>
      <c r="F1770" s="0" t="n">
        <v>0</v>
      </c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0" t="n">
        <v>7</v>
      </c>
      <c r="S1770" s="1"/>
      <c r="T1770" s="1"/>
      <c r="U1770" s="1"/>
      <c r="V1770" s="1"/>
      <c r="W1770" s="1"/>
      <c r="X1770" s="1"/>
      <c r="Y1770" s="5"/>
      <c r="Z1770" s="1"/>
    </row>
    <row r="1771" customFormat="false" ht="15" hidden="false" customHeight="false" outlineLevel="0" collapsed="false">
      <c r="A1771" s="0" t="s">
        <v>114</v>
      </c>
      <c r="B1771" s="0" t="s">
        <v>115</v>
      </c>
      <c r="C1771" s="0" t="s">
        <v>106</v>
      </c>
      <c r="D1771" s="0" t="s">
        <v>164</v>
      </c>
      <c r="E1771" s="0" t="n">
        <v>37</v>
      </c>
      <c r="F1771" s="0" t="n">
        <v>0</v>
      </c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0" t="n">
        <v>9</v>
      </c>
      <c r="S1771" s="1"/>
      <c r="T1771" s="1"/>
      <c r="U1771" s="1"/>
      <c r="V1771" s="1"/>
      <c r="W1771" s="1"/>
      <c r="X1771" s="1"/>
      <c r="Y1771" s="5"/>
      <c r="Z1771" s="1"/>
    </row>
    <row r="1772" customFormat="false" ht="15" hidden="false" customHeight="false" outlineLevel="0" collapsed="false">
      <c r="A1772" s="0" t="s">
        <v>116</v>
      </c>
      <c r="B1772" s="0" t="s">
        <v>117</v>
      </c>
      <c r="C1772" s="0" t="s">
        <v>106</v>
      </c>
      <c r="D1772" s="0" t="s">
        <v>164</v>
      </c>
      <c r="E1772" s="0" t="n">
        <v>37</v>
      </c>
      <c r="F1772" s="0" t="n">
        <v>1</v>
      </c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0" t="n">
        <v>4</v>
      </c>
      <c r="S1772" s="1"/>
      <c r="T1772" s="1"/>
      <c r="U1772" s="1"/>
      <c r="V1772" s="1"/>
      <c r="W1772" s="1"/>
      <c r="X1772" s="1"/>
      <c r="Y1772" s="5"/>
      <c r="Z1772" s="1"/>
    </row>
    <row r="1773" customFormat="false" ht="15" hidden="false" customHeight="false" outlineLevel="0" collapsed="false">
      <c r="A1773" s="0" t="s">
        <v>118</v>
      </c>
      <c r="B1773" s="0" t="s">
        <v>119</v>
      </c>
      <c r="C1773" s="0" t="s">
        <v>106</v>
      </c>
      <c r="D1773" s="0" t="s">
        <v>164</v>
      </c>
      <c r="E1773" s="0" t="n">
        <v>37</v>
      </c>
      <c r="F1773" s="0" t="n">
        <v>2</v>
      </c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0" t="n">
        <v>6</v>
      </c>
      <c r="S1773" s="1"/>
      <c r="T1773" s="1"/>
      <c r="U1773" s="1"/>
      <c r="V1773" s="1"/>
      <c r="W1773" s="1"/>
      <c r="X1773" s="1"/>
      <c r="Y1773" s="5"/>
      <c r="Z1773" s="1"/>
    </row>
    <row r="1774" customFormat="false" ht="15" hidden="false" customHeight="false" outlineLevel="0" collapsed="false">
      <c r="A1774" s="0" t="s">
        <v>120</v>
      </c>
      <c r="B1774" s="0" t="s">
        <v>121</v>
      </c>
      <c r="C1774" s="0" t="s">
        <v>106</v>
      </c>
      <c r="D1774" s="0" t="s">
        <v>164</v>
      </c>
      <c r="E1774" s="0" t="n">
        <v>37</v>
      </c>
      <c r="F1774" s="0" t="n">
        <v>1</v>
      </c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0" t="n">
        <v>9</v>
      </c>
      <c r="S1774" s="1"/>
      <c r="T1774" s="1"/>
      <c r="U1774" s="1"/>
      <c r="V1774" s="1"/>
      <c r="W1774" s="1"/>
      <c r="X1774" s="1"/>
      <c r="Y1774" s="5"/>
      <c r="Z1774" s="1"/>
    </row>
    <row r="1775" customFormat="false" ht="15" hidden="false" customHeight="false" outlineLevel="0" collapsed="false">
      <c r="A1775" s="0" t="s">
        <v>122</v>
      </c>
      <c r="B1775" s="0" t="s">
        <v>123</v>
      </c>
      <c r="C1775" s="0" t="s">
        <v>106</v>
      </c>
      <c r="D1775" s="0" t="s">
        <v>164</v>
      </c>
      <c r="E1775" s="0" t="n">
        <v>37</v>
      </c>
      <c r="F1775" s="0" t="n">
        <v>1</v>
      </c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0" t="n">
        <v>8</v>
      </c>
      <c r="S1775" s="1"/>
      <c r="T1775" s="1"/>
      <c r="U1775" s="1"/>
      <c r="V1775" s="1"/>
      <c r="W1775" s="1"/>
      <c r="X1775" s="1"/>
      <c r="Y1775" s="5"/>
      <c r="Z1775" s="1"/>
    </row>
    <row r="1776" customFormat="false" ht="15" hidden="false" customHeight="false" outlineLevel="0" collapsed="false">
      <c r="A1776" s="0" t="s">
        <v>124</v>
      </c>
      <c r="B1776" s="0" t="s">
        <v>125</v>
      </c>
      <c r="C1776" s="0" t="s">
        <v>106</v>
      </c>
      <c r="D1776" s="0" t="s">
        <v>164</v>
      </c>
      <c r="E1776" s="0" t="n">
        <v>37</v>
      </c>
      <c r="F1776" s="0" t="n">
        <v>2</v>
      </c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0" t="n">
        <v>11</v>
      </c>
      <c r="S1776" s="1"/>
      <c r="T1776" s="1"/>
      <c r="U1776" s="1"/>
      <c r="V1776" s="1"/>
      <c r="W1776" s="1"/>
      <c r="X1776" s="1"/>
      <c r="Y1776" s="5"/>
      <c r="Z1776" s="1"/>
    </row>
    <row r="1777" customFormat="false" ht="15" hidden="false" customHeight="false" outlineLevel="0" collapsed="false">
      <c r="A1777" s="0" t="s">
        <v>126</v>
      </c>
      <c r="B1777" s="0" t="s">
        <v>127</v>
      </c>
      <c r="C1777" s="0" t="s">
        <v>106</v>
      </c>
      <c r="D1777" s="0" t="s">
        <v>164</v>
      </c>
      <c r="E1777" s="0" t="n">
        <v>37</v>
      </c>
      <c r="F1777" s="0" t="n">
        <v>2</v>
      </c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0" t="n">
        <v>6</v>
      </c>
      <c r="S1777" s="1"/>
      <c r="T1777" s="1"/>
      <c r="U1777" s="1"/>
      <c r="V1777" s="1"/>
      <c r="W1777" s="1"/>
      <c r="X1777" s="1"/>
      <c r="Y1777" s="5"/>
      <c r="Z1777" s="1"/>
    </row>
    <row r="1778" customFormat="false" ht="15" hidden="false" customHeight="false" outlineLevel="0" collapsed="false">
      <c r="A1778" s="0" t="s">
        <v>26</v>
      </c>
      <c r="B1778" s="0" t="s">
        <v>27</v>
      </c>
      <c r="C1778" s="0" t="s">
        <v>28</v>
      </c>
      <c r="D1778" s="0" t="s">
        <v>165</v>
      </c>
      <c r="E1778" s="0" t="n">
        <v>38</v>
      </c>
      <c r="F1778" s="0" t="n">
        <v>1</v>
      </c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0" t="n">
        <v>3</v>
      </c>
      <c r="S1778" s="0" t="n">
        <v>8.7</v>
      </c>
      <c r="T1778" s="0" t="n">
        <f aca="false">(S1778/32)*5</f>
        <v>1.359375</v>
      </c>
      <c r="V1778" s="0" t="n">
        <v>29</v>
      </c>
      <c r="W1778" s="0" t="n">
        <v>4</v>
      </c>
      <c r="X1778" s="3" t="n">
        <f aca="false">LOOKUP(V1778,$AB$3:$AC$123)</f>
        <v>1.12225</v>
      </c>
      <c r="Y1778" s="2" t="n">
        <f aca="false">(V1778*((W1778+T1778)/1000)*X1778)/((((W1778+T1778)/1000)*X1778)-((W1778/1000)*0.9982))</f>
        <v>86.2725153032381</v>
      </c>
      <c r="Z1778" s="3" t="n">
        <f aca="false">(X1778*(V1778/100)*((W1778+T1778)/1000))*1000</f>
        <v>1.7442219921875</v>
      </c>
    </row>
    <row r="1779" customFormat="false" ht="15" hidden="false" customHeight="false" outlineLevel="0" collapsed="false">
      <c r="A1779" s="0" t="s">
        <v>32</v>
      </c>
      <c r="B1779" s="0" t="s">
        <v>33</v>
      </c>
      <c r="C1779" s="0" t="s">
        <v>28</v>
      </c>
      <c r="D1779" s="0" t="s">
        <v>165</v>
      </c>
      <c r="E1779" s="0" t="n">
        <v>38</v>
      </c>
      <c r="F1779" s="0" t="n">
        <v>2</v>
      </c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0" t="n">
        <v>2</v>
      </c>
      <c r="S1779" s="0" t="n">
        <v>7.5</v>
      </c>
      <c r="T1779" s="0" t="n">
        <f aca="false">(S1779/32)*5</f>
        <v>1.171875</v>
      </c>
      <c r="V1779" s="0" t="n">
        <v>23</v>
      </c>
      <c r="W1779" s="0" t="n">
        <v>4</v>
      </c>
      <c r="X1779" s="3" t="n">
        <f aca="false">LOOKUP(V1779,$AB$3:$AC$123)</f>
        <v>1.09445</v>
      </c>
      <c r="Y1779" s="2" t="n">
        <f aca="false">(V1779*((W1779+T1779)/1000)*X1779)/((((W1779+T1779)/1000)*X1779)-((W1779/1000)*0.9982))</f>
        <v>78.0711683200787</v>
      </c>
      <c r="Z1779" s="3" t="n">
        <f aca="false">(X1779*(V1779/100)*((W1779+T1779)/1000))*1000</f>
        <v>1.3018824765625</v>
      </c>
    </row>
    <row r="1780" customFormat="false" ht="15" hidden="false" customHeight="false" outlineLevel="0" collapsed="false">
      <c r="A1780" s="0" t="s">
        <v>34</v>
      </c>
      <c r="B1780" s="0" t="s">
        <v>35</v>
      </c>
      <c r="C1780" s="0" t="s">
        <v>28</v>
      </c>
      <c r="D1780" s="0" t="s">
        <v>165</v>
      </c>
      <c r="E1780" s="0" t="n">
        <v>38</v>
      </c>
      <c r="F1780" s="0" t="n">
        <v>0</v>
      </c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0" t="n">
        <v>4</v>
      </c>
      <c r="S1780" s="0" t="n">
        <v>9.9</v>
      </c>
      <c r="T1780" s="0" t="n">
        <f aca="false">(S1780/32)*5</f>
        <v>1.546875</v>
      </c>
      <c r="V1780" s="0" t="n">
        <v>17</v>
      </c>
      <c r="W1780" s="0" t="n">
        <v>4</v>
      </c>
      <c r="X1780" s="3" t="n">
        <f aca="false">LOOKUP(V1780,$AB$3:$AC$123)</f>
        <v>1.0678</v>
      </c>
      <c r="Y1780" s="2" t="n">
        <f aca="false">(V1780*((W1780+T1780)/1000)*X1780)/((((W1780+T1780)/1000)*X1780)-((W1780/1000)*0.9982))</f>
        <v>52.1669508086308</v>
      </c>
      <c r="Z1780" s="3" t="n">
        <f aca="false">(X1780*(V1780/100)*((W1780+T1780)/1000))*1000</f>
        <v>1.00690203125</v>
      </c>
    </row>
    <row r="1781" customFormat="false" ht="15" hidden="false" customHeight="false" outlineLevel="0" collapsed="false">
      <c r="A1781" s="0" t="s">
        <v>36</v>
      </c>
      <c r="B1781" s="0" t="s">
        <v>37</v>
      </c>
      <c r="C1781" s="0" t="s">
        <v>28</v>
      </c>
      <c r="D1781" s="0" t="s">
        <v>165</v>
      </c>
      <c r="E1781" s="0" t="n">
        <v>38</v>
      </c>
      <c r="F1781" s="0" t="n">
        <v>1</v>
      </c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0" t="n">
        <v>3</v>
      </c>
      <c r="S1781" s="0" t="n">
        <v>7.7</v>
      </c>
      <c r="T1781" s="0" t="n">
        <f aca="false">(S1781/32)*5</f>
        <v>1.203125</v>
      </c>
      <c r="V1781" s="0" t="n">
        <v>11</v>
      </c>
      <c r="W1781" s="0" t="n">
        <v>4</v>
      </c>
      <c r="X1781" s="3" t="n">
        <f aca="false">LOOKUP(V1781,$AB$3:$AC$123)</f>
        <v>1.0423</v>
      </c>
      <c r="Y1781" s="2" t="n">
        <f aca="false">(V1781*((W1781+T1781)/1000)*X1781)/((((W1781+T1781)/1000)*X1781)-((W1781/1000)*0.9982))</f>
        <v>41.7048883247567</v>
      </c>
      <c r="Z1781" s="3" t="n">
        <f aca="false">(X1781*(V1781/100)*((W1781+T1781)/1000))*1000</f>
        <v>0.596553890625</v>
      </c>
    </row>
    <row r="1782" customFormat="false" ht="15" hidden="false" customHeight="false" outlineLevel="0" collapsed="false">
      <c r="A1782" s="0" t="s">
        <v>38</v>
      </c>
      <c r="B1782" s="0" t="s">
        <v>39</v>
      </c>
      <c r="C1782" s="0" t="s">
        <v>28</v>
      </c>
      <c r="D1782" s="0" t="s">
        <v>165</v>
      </c>
      <c r="E1782" s="0" t="n">
        <v>38</v>
      </c>
      <c r="F1782" s="0" t="n">
        <v>2</v>
      </c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0" t="n">
        <v>4</v>
      </c>
      <c r="S1782" s="0" t="n">
        <v>13.1</v>
      </c>
      <c r="T1782" s="0" t="n">
        <f aca="false">(S1782/32)*5</f>
        <v>2.046875</v>
      </c>
      <c r="V1782" s="0" t="n">
        <v>20</v>
      </c>
      <c r="W1782" s="0" t="n">
        <v>4</v>
      </c>
      <c r="X1782" s="3" t="n">
        <f aca="false">LOOKUP(V1782,$AB$3:$AC$123)</f>
        <v>1.081</v>
      </c>
      <c r="Y1782" s="2" t="n">
        <f aca="false">(V1782*((W1782+T1782)/1000)*X1782)/((((W1782+T1782)/1000)*X1782)-((W1782/1000)*0.9982))</f>
        <v>51.3915180967988</v>
      </c>
      <c r="Z1782" s="3" t="n">
        <f aca="false">(X1782*(V1782/100)*((W1782+T1782)/1000))*1000</f>
        <v>1.307334375</v>
      </c>
    </row>
    <row r="1783" customFormat="false" ht="15" hidden="false" customHeight="false" outlineLevel="0" collapsed="false">
      <c r="A1783" s="0" t="s">
        <v>40</v>
      </c>
      <c r="B1783" s="0" t="s">
        <v>41</v>
      </c>
      <c r="C1783" s="0" t="s">
        <v>28</v>
      </c>
      <c r="D1783" s="0" t="s">
        <v>165</v>
      </c>
      <c r="E1783" s="0" t="n">
        <v>38</v>
      </c>
      <c r="F1783" s="0" t="n">
        <v>3</v>
      </c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0" t="n">
        <v>5</v>
      </c>
      <c r="S1783" s="0" t="n">
        <v>8.9</v>
      </c>
      <c r="T1783" s="0" t="n">
        <f aca="false">(S1783/32)*5</f>
        <v>1.390625</v>
      </c>
      <c r="V1783" s="0" t="n">
        <v>19</v>
      </c>
      <c r="W1783" s="0" t="n">
        <v>4</v>
      </c>
      <c r="X1783" s="3" t="n">
        <f aca="false">LOOKUP(V1783,$AB$3:$AC$123)</f>
        <v>1.0765</v>
      </c>
      <c r="Y1783" s="2" t="n">
        <f aca="false">(V1783*((W1783+T1783)/1000)*X1783)/((((W1783+T1783)/1000)*X1783)-((W1783/1000)*0.9982))</f>
        <v>60.90855849596</v>
      </c>
      <c r="Z1783" s="3" t="n">
        <f aca="false">(X1783*(V1783/100)*((W1783+T1783)/1000))*1000</f>
        <v>1.102571484375</v>
      </c>
    </row>
    <row r="1784" customFormat="false" ht="15" hidden="false" customHeight="false" outlineLevel="0" collapsed="false">
      <c r="A1784" s="0" t="s">
        <v>42</v>
      </c>
      <c r="B1784" s="0" t="s">
        <v>43</v>
      </c>
      <c r="C1784" s="0" t="s">
        <v>28</v>
      </c>
      <c r="D1784" s="0" t="s">
        <v>165</v>
      </c>
      <c r="E1784" s="0" t="n">
        <v>38</v>
      </c>
      <c r="F1784" s="0" t="n">
        <v>1</v>
      </c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0" t="n">
        <v>3</v>
      </c>
      <c r="S1784" s="0" t="n">
        <v>10.3</v>
      </c>
      <c r="T1784" s="0" t="n">
        <f aca="false">(S1784/32)*5</f>
        <v>1.609375</v>
      </c>
      <c r="V1784" s="0" t="n">
        <v>34</v>
      </c>
      <c r="W1784" s="0" t="n">
        <v>4</v>
      </c>
      <c r="X1784" s="3" t="n">
        <f aca="false">LOOKUP(V1784,$AB$3:$AC$123)</f>
        <v>1.1464</v>
      </c>
      <c r="Y1784" s="2" t="n">
        <f aca="false">(V1784*((W1784+T1784)/1000)*X1784)/((((W1784+T1784)/1000)*X1784)-((W1784/1000)*0.9982))</f>
        <v>89.6878727124493</v>
      </c>
      <c r="Z1784" s="3" t="n">
        <f aca="false">(X1784*(V1784/100)*((W1784+T1784)/1000))*1000</f>
        <v>2.18639975</v>
      </c>
    </row>
    <row r="1785" customFormat="false" ht="15" hidden="false" customHeight="false" outlineLevel="0" collapsed="false">
      <c r="A1785" s="0" t="s">
        <v>44</v>
      </c>
      <c r="B1785" s="0" t="s">
        <v>45</v>
      </c>
      <c r="C1785" s="0" t="s">
        <v>28</v>
      </c>
      <c r="D1785" s="0" t="s">
        <v>165</v>
      </c>
      <c r="E1785" s="0" t="n">
        <v>38</v>
      </c>
      <c r="F1785" s="0" t="n">
        <v>2</v>
      </c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0" t="n">
        <v>4</v>
      </c>
      <c r="S1785" s="0" t="n">
        <v>10.4</v>
      </c>
      <c r="T1785" s="0" t="n">
        <f aca="false">(S1785/32)*5</f>
        <v>1.625</v>
      </c>
      <c r="V1785" s="0" t="n">
        <v>15</v>
      </c>
      <c r="W1785" s="0" t="n">
        <v>4</v>
      </c>
      <c r="X1785" s="3" t="n">
        <f aca="false">LOOKUP(V1785,$AB$3:$AC$123)</f>
        <v>1.0592</v>
      </c>
      <c r="Y1785" s="2" t="n">
        <f aca="false">(V1785*((W1785+T1785)/1000)*X1785)/((((W1785+T1785)/1000)*X1785)-((W1785/1000)*0.9982))</f>
        <v>45.4762874007735</v>
      </c>
      <c r="Z1785" s="3" t="n">
        <f aca="false">(X1785*(V1785/100)*((W1785+T1785)/1000))*1000</f>
        <v>0.8937</v>
      </c>
    </row>
    <row r="1786" customFormat="false" ht="15" hidden="false" customHeight="false" outlineLevel="0" collapsed="false">
      <c r="A1786" s="0" t="s">
        <v>46</v>
      </c>
      <c r="B1786" s="0" t="s">
        <v>47</v>
      </c>
      <c r="C1786" s="0" t="s">
        <v>28</v>
      </c>
      <c r="D1786" s="0" t="s">
        <v>165</v>
      </c>
      <c r="E1786" s="0" t="n">
        <v>38</v>
      </c>
      <c r="F1786" s="0" t="n">
        <v>1</v>
      </c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0" t="n">
        <v>3</v>
      </c>
      <c r="S1786" s="0" t="n">
        <v>4.5</v>
      </c>
      <c r="T1786" s="0" t="n">
        <f aca="false">(S1786/32)*5</f>
        <v>0.703125</v>
      </c>
      <c r="V1786" s="0" t="n">
        <v>12</v>
      </c>
      <c r="W1786" s="0" t="n">
        <v>4</v>
      </c>
      <c r="X1786" s="3" t="n">
        <f aca="false">LOOKUP(V1786,$AB$3:$AC$123)</f>
        <v>1.0465</v>
      </c>
      <c r="Y1786" s="2" t="n">
        <f aca="false">(V1786*((W1786+T1786)/1000)*X1786)/((((W1786+T1786)/1000)*X1786)-((W1786/1000)*0.9982))</f>
        <v>63.57432981316</v>
      </c>
      <c r="Z1786" s="3" t="n">
        <f aca="false">(X1786*(V1786/100)*((W1786+T1786)/1000))*1000</f>
        <v>0.5906184375</v>
      </c>
    </row>
    <row r="1787" customFormat="false" ht="15" hidden="false" customHeight="false" outlineLevel="0" collapsed="false">
      <c r="A1787" s="0" t="s">
        <v>48</v>
      </c>
      <c r="B1787" s="0" t="s">
        <v>49</v>
      </c>
      <c r="C1787" s="0" t="s">
        <v>28</v>
      </c>
      <c r="D1787" s="0" t="s">
        <v>165</v>
      </c>
      <c r="E1787" s="0" t="n">
        <v>38</v>
      </c>
      <c r="F1787" s="0" t="n">
        <v>1</v>
      </c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0" t="n">
        <v>4</v>
      </c>
      <c r="S1787" s="0" t="n">
        <v>4.2</v>
      </c>
      <c r="T1787" s="0" t="n">
        <f aca="false">(S1787/32)*5</f>
        <v>0.65625</v>
      </c>
      <c r="V1787" s="0" t="n">
        <v>8</v>
      </c>
      <c r="W1787" s="0" t="n">
        <v>4</v>
      </c>
      <c r="X1787" s="3" t="n">
        <f aca="false">LOOKUP(V1787,$AB$3:$AC$123)</f>
        <v>1.0299</v>
      </c>
      <c r="Y1787" s="2" t="n">
        <f aca="false">(V1787*((W1787+T1787)/1000)*X1787)/((((W1787+T1787)/1000)*X1787)-((W1787/1000)*0.9982))</f>
        <v>47.7950906153277</v>
      </c>
      <c r="Z1787" s="3" t="n">
        <f aca="false">(X1787*(V1787/100)*((W1787+T1787)/1000))*1000</f>
        <v>0.38363775</v>
      </c>
    </row>
    <row r="1788" customFormat="false" ht="15" hidden="false" customHeight="false" outlineLevel="0" collapsed="false">
      <c r="A1788" s="0" t="s">
        <v>50</v>
      </c>
      <c r="B1788" s="0" t="s">
        <v>51</v>
      </c>
      <c r="C1788" s="0" t="s">
        <v>28</v>
      </c>
      <c r="D1788" s="0" t="s">
        <v>165</v>
      </c>
      <c r="E1788" s="0" t="n">
        <v>38</v>
      </c>
      <c r="F1788" s="0" t="n">
        <v>0</v>
      </c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0" t="n">
        <v>1</v>
      </c>
      <c r="S1788" s="0" t="n">
        <v>1</v>
      </c>
      <c r="T1788" s="0" t="n">
        <f aca="false">(S1788/32)*5</f>
        <v>0.15625</v>
      </c>
      <c r="V1788" s="0" t="n">
        <v>10</v>
      </c>
      <c r="W1788" s="0" t="n">
        <v>1</v>
      </c>
      <c r="X1788" s="3" t="n">
        <f aca="false">LOOKUP(V1788,$AB$3:$AC$123)</f>
        <v>1.0381</v>
      </c>
      <c r="Y1788" s="2" t="n">
        <f aca="false">(V1788*((W1788+T1788)/1000)*X1788)/((((W1788+T1788)/1000)*X1788)-((W1788/1000)*0.9982))</f>
        <v>59.3906266912004</v>
      </c>
      <c r="Z1788" s="3" t="n">
        <f aca="false">(X1788*(V1788/100)*((W1788+T1788)/1000))*1000</f>
        <v>0.1200303125</v>
      </c>
    </row>
    <row r="1789" customFormat="false" ht="15" hidden="false" customHeight="false" outlineLevel="0" collapsed="false">
      <c r="A1789" s="0" t="s">
        <v>52</v>
      </c>
      <c r="B1789" s="0" t="s">
        <v>53</v>
      </c>
      <c r="C1789" s="0" t="s">
        <v>28</v>
      </c>
      <c r="D1789" s="0" t="s">
        <v>165</v>
      </c>
      <c r="E1789" s="0" t="n">
        <v>38</v>
      </c>
      <c r="F1789" s="0" t="n">
        <v>0</v>
      </c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0" t="n">
        <v>2</v>
      </c>
      <c r="S1789" s="0" t="n">
        <v>6.8</v>
      </c>
      <c r="T1789" s="0" t="n">
        <f aca="false">(S1789/32)*5</f>
        <v>1.0625</v>
      </c>
      <c r="V1789" s="0" t="n">
        <v>9</v>
      </c>
      <c r="W1789" s="0" t="n">
        <v>4</v>
      </c>
      <c r="X1789" s="3" t="n">
        <f aca="false">LOOKUP(V1789,$AB$3:$AC$123)</f>
        <v>1.0341</v>
      </c>
      <c r="Y1789" s="2" t="n">
        <f aca="false">(V1789*((W1789+T1789)/1000)*X1789)/((((W1789+T1789)/1000)*X1789)-((W1789/1000)*0.9982))</f>
        <v>37.9256186705438</v>
      </c>
      <c r="Z1789" s="3" t="n">
        <f aca="false">(X1789*(V1789/100)*((W1789+T1789)/1000))*1000</f>
        <v>0.4711618125</v>
      </c>
    </row>
    <row r="1790" customFormat="false" ht="15" hidden="false" customHeight="false" outlineLevel="0" collapsed="false">
      <c r="A1790" s="0" t="s">
        <v>54</v>
      </c>
      <c r="B1790" s="0" t="s">
        <v>55</v>
      </c>
      <c r="C1790" s="0" t="s">
        <v>56</v>
      </c>
      <c r="D1790" s="0" t="s">
        <v>165</v>
      </c>
      <c r="E1790" s="0" t="n">
        <v>38</v>
      </c>
      <c r="F1790" s="0" t="n">
        <v>1</v>
      </c>
      <c r="G1790" s="1"/>
      <c r="H1790" s="1"/>
      <c r="I1790" s="0" t="n">
        <f aca="false">24.1+23.7</f>
        <v>47.8</v>
      </c>
      <c r="J1790" s="0" t="n">
        <f aca="false">(I1790/32)*5</f>
        <v>7.46875</v>
      </c>
      <c r="L1790" s="0" t="n">
        <v>23.5</v>
      </c>
      <c r="M1790" s="0" t="n">
        <v>4</v>
      </c>
      <c r="N1790" s="0" t="n">
        <f aca="false">L1790</f>
        <v>23.5</v>
      </c>
      <c r="O1790" s="3" t="n">
        <f aca="false">LOOKUP(L1790,$AB$3:$AC$123)</f>
        <v>1.096725</v>
      </c>
      <c r="P1790" s="3" t="n">
        <f aca="false">(O1790*(N1790/100)*(J1790/1000))*1000</f>
        <v>1.92492373828125</v>
      </c>
      <c r="Q1790" s="3"/>
      <c r="R1790" s="1"/>
      <c r="S1790" s="1"/>
      <c r="T1790" s="1"/>
      <c r="U1790" s="1"/>
      <c r="V1790" s="1"/>
      <c r="W1790" s="1"/>
      <c r="X1790" s="1"/>
      <c r="Y1790" s="5"/>
      <c r="Z1790" s="1"/>
    </row>
    <row r="1791" customFormat="false" ht="15" hidden="false" customHeight="false" outlineLevel="0" collapsed="false">
      <c r="A1791" s="0" t="s">
        <v>57</v>
      </c>
      <c r="B1791" s="0" t="s">
        <v>58</v>
      </c>
      <c r="C1791" s="0" t="s">
        <v>56</v>
      </c>
      <c r="D1791" s="0" t="s">
        <v>165</v>
      </c>
      <c r="E1791" s="0" t="n">
        <v>38</v>
      </c>
      <c r="F1791" s="0" t="n">
        <v>1</v>
      </c>
      <c r="G1791" s="1"/>
      <c r="H1791" s="1"/>
      <c r="I1791" s="0" t="n">
        <v>43.9</v>
      </c>
      <c r="J1791" s="0" t="n">
        <f aca="false">(I1791/32)*5</f>
        <v>6.859375</v>
      </c>
      <c r="L1791" s="0" t="n">
        <v>20</v>
      </c>
      <c r="M1791" s="0" t="n">
        <v>4</v>
      </c>
      <c r="N1791" s="0" t="n">
        <f aca="false">L1791</f>
        <v>20</v>
      </c>
      <c r="O1791" s="3" t="n">
        <f aca="false">LOOKUP(L1791,$AB$3:$AC$123)</f>
        <v>1.081</v>
      </c>
      <c r="P1791" s="3" t="n">
        <f aca="false">(O1791*(N1791/100)*(J1791/1000))*1000</f>
        <v>1.482996875</v>
      </c>
      <c r="Q1791" s="3"/>
      <c r="R1791" s="1"/>
      <c r="S1791" s="1"/>
      <c r="T1791" s="1"/>
      <c r="U1791" s="1"/>
      <c r="V1791" s="1"/>
      <c r="W1791" s="1"/>
      <c r="X1791" s="1"/>
      <c r="Y1791" s="5"/>
      <c r="Z1791" s="1"/>
    </row>
    <row r="1792" customFormat="false" ht="15" hidden="false" customHeight="false" outlineLevel="0" collapsed="false">
      <c r="A1792" s="0" t="s">
        <v>59</v>
      </c>
      <c r="B1792" s="0" t="s">
        <v>60</v>
      </c>
      <c r="C1792" s="0" t="s">
        <v>56</v>
      </c>
      <c r="D1792" s="0" t="s">
        <v>165</v>
      </c>
      <c r="E1792" s="0" t="n">
        <v>38</v>
      </c>
      <c r="F1792" s="0" t="n">
        <v>2</v>
      </c>
      <c r="G1792" s="1"/>
      <c r="H1792" s="1"/>
      <c r="I1792" s="0" t="n">
        <f aca="false">49.2+45.9</f>
        <v>95.1</v>
      </c>
      <c r="J1792" s="0" t="n">
        <f aca="false">(I1792/32)*5</f>
        <v>14.859375</v>
      </c>
      <c r="L1792" s="0" t="n">
        <v>25</v>
      </c>
      <c r="M1792" s="0" t="n">
        <v>4</v>
      </c>
      <c r="N1792" s="0" t="n">
        <f aca="false">L1792</f>
        <v>25</v>
      </c>
      <c r="O1792" s="3" t="n">
        <f aca="false">LOOKUP(L1792,$AB$3:$AC$123)</f>
        <v>1.10355</v>
      </c>
      <c r="P1792" s="3" t="n">
        <f aca="false">(O1792*(N1792/100)*(J1792/1000))*1000</f>
        <v>4.0995158203125</v>
      </c>
      <c r="Q1792" s="3"/>
      <c r="R1792" s="1"/>
      <c r="S1792" s="1"/>
      <c r="T1792" s="1"/>
      <c r="U1792" s="1"/>
      <c r="V1792" s="1"/>
      <c r="W1792" s="1"/>
      <c r="X1792" s="1"/>
      <c r="Y1792" s="5"/>
      <c r="Z1792" s="1"/>
    </row>
    <row r="1793" customFormat="false" ht="15" hidden="false" customHeight="false" outlineLevel="0" collapsed="false">
      <c r="A1793" s="0" t="s">
        <v>61</v>
      </c>
      <c r="B1793" s="0" t="s">
        <v>62</v>
      </c>
      <c r="C1793" s="0" t="s">
        <v>56</v>
      </c>
      <c r="D1793" s="0" t="s">
        <v>165</v>
      </c>
      <c r="E1793" s="0" t="n">
        <v>38</v>
      </c>
      <c r="F1793" s="0" t="n">
        <v>2</v>
      </c>
      <c r="G1793" s="1"/>
      <c r="H1793" s="1"/>
      <c r="I1793" s="0" t="n">
        <f aca="false">15.1+23.5+14.3</f>
        <v>52.9</v>
      </c>
      <c r="J1793" s="0" t="n">
        <f aca="false">(I1793/32)*5</f>
        <v>8.265625</v>
      </c>
      <c r="L1793" s="0" t="n">
        <v>24</v>
      </c>
      <c r="M1793" s="0" t="n">
        <v>4</v>
      </c>
      <c r="N1793" s="0" t="n">
        <f aca="false">L1793</f>
        <v>24</v>
      </c>
      <c r="O1793" s="3" t="n">
        <f aca="false">LOOKUP(L1793,$AB$3:$AC$123)</f>
        <v>1.099</v>
      </c>
      <c r="P1793" s="3" t="n">
        <f aca="false">(O1793*(N1793/100)*(J1793/1000))*1000</f>
        <v>2.18014125</v>
      </c>
      <c r="Q1793" s="3"/>
      <c r="R1793" s="1"/>
      <c r="S1793" s="1"/>
      <c r="T1793" s="1"/>
      <c r="U1793" s="1"/>
      <c r="V1793" s="1"/>
      <c r="W1793" s="1"/>
      <c r="X1793" s="1"/>
      <c r="Y1793" s="5"/>
      <c r="Z1793" s="1"/>
    </row>
    <row r="1794" customFormat="false" ht="15" hidden="false" customHeight="false" outlineLevel="0" collapsed="false">
      <c r="A1794" s="0" t="s">
        <v>63</v>
      </c>
      <c r="B1794" s="0" t="s">
        <v>64</v>
      </c>
      <c r="C1794" s="0" t="s">
        <v>56</v>
      </c>
      <c r="D1794" s="0" t="s">
        <v>165</v>
      </c>
      <c r="E1794" s="0" t="n">
        <v>38</v>
      </c>
      <c r="F1794" s="0" t="n">
        <v>0</v>
      </c>
      <c r="G1794" s="1"/>
      <c r="H1794" s="1"/>
      <c r="I1794" s="0" t="n">
        <v>0</v>
      </c>
      <c r="J1794" s="0" t="n">
        <f aca="false">(I1794/32)*5</f>
        <v>0</v>
      </c>
      <c r="L1794" s="0" t="n">
        <v>0</v>
      </c>
      <c r="M1794" s="0" t="n">
        <v>4</v>
      </c>
      <c r="N1794" s="0" t="n">
        <f aca="false">L1794</f>
        <v>0</v>
      </c>
      <c r="O1794" s="3" t="n">
        <v>0</v>
      </c>
      <c r="P1794" s="3" t="n">
        <f aca="false">(O1794*(N1794/100)*(J1794/1000))*1000</f>
        <v>0</v>
      </c>
      <c r="Q1794" s="3"/>
      <c r="R1794" s="1"/>
      <c r="S1794" s="1"/>
      <c r="T1794" s="1"/>
      <c r="U1794" s="1"/>
      <c r="V1794" s="1"/>
      <c r="W1794" s="1"/>
      <c r="X1794" s="1"/>
      <c r="Y1794" s="5"/>
      <c r="Z1794" s="1"/>
    </row>
    <row r="1795" customFormat="false" ht="15" hidden="false" customHeight="false" outlineLevel="0" collapsed="false">
      <c r="A1795" s="0" t="s">
        <v>65</v>
      </c>
      <c r="B1795" s="0" t="s">
        <v>66</v>
      </c>
      <c r="C1795" s="0" t="s">
        <v>56</v>
      </c>
      <c r="D1795" s="0" t="s">
        <v>165</v>
      </c>
      <c r="E1795" s="0" t="n">
        <v>38</v>
      </c>
      <c r="F1795" s="0" t="n">
        <v>1</v>
      </c>
      <c r="G1795" s="1"/>
      <c r="H1795" s="1"/>
      <c r="I1795" s="0" t="n">
        <f aca="false">28.1+8.2</f>
        <v>36.3</v>
      </c>
      <c r="J1795" s="0" t="n">
        <f aca="false">(I1795/32)*5</f>
        <v>5.671875</v>
      </c>
      <c r="L1795" s="0" t="n">
        <v>23</v>
      </c>
      <c r="M1795" s="0" t="n">
        <v>4</v>
      </c>
      <c r="N1795" s="0" t="n">
        <f aca="false">L1795</f>
        <v>23</v>
      </c>
      <c r="O1795" s="3" t="n">
        <f aca="false">LOOKUP(L1795,$AB$3:$AC$123)</f>
        <v>1.09445</v>
      </c>
      <c r="P1795" s="3" t="n">
        <f aca="false">(O1795*(N1795/100)*(J1795/1000))*1000</f>
        <v>1.4277442265625</v>
      </c>
      <c r="Q1795" s="3"/>
      <c r="R1795" s="1"/>
      <c r="S1795" s="1"/>
      <c r="T1795" s="1"/>
      <c r="U1795" s="1"/>
      <c r="V1795" s="1"/>
      <c r="W1795" s="1"/>
      <c r="X1795" s="1"/>
      <c r="Y1795" s="5"/>
      <c r="Z1795" s="1"/>
    </row>
    <row r="1796" customFormat="false" ht="15" hidden="false" customHeight="false" outlineLevel="0" collapsed="false">
      <c r="A1796" s="0" t="s">
        <v>67</v>
      </c>
      <c r="B1796" s="0" t="s">
        <v>68</v>
      </c>
      <c r="C1796" s="0" t="s">
        <v>56</v>
      </c>
      <c r="D1796" s="0" t="s">
        <v>165</v>
      </c>
      <c r="E1796" s="0" t="n">
        <v>38</v>
      </c>
      <c r="F1796" s="0" t="n">
        <v>3</v>
      </c>
      <c r="G1796" s="1"/>
      <c r="H1796" s="1"/>
      <c r="I1796" s="0" t="n">
        <f aca="false">27.3+25.5+23.9+12.3+26</f>
        <v>115</v>
      </c>
      <c r="J1796" s="0" t="n">
        <f aca="false">(I1796/32)*5</f>
        <v>17.96875</v>
      </c>
      <c r="L1796" s="0" t="n">
        <v>20</v>
      </c>
      <c r="M1796" s="0" t="n">
        <v>4</v>
      </c>
      <c r="N1796" s="0" t="n">
        <f aca="false">L1796</f>
        <v>20</v>
      </c>
      <c r="O1796" s="3" t="n">
        <f aca="false">LOOKUP(L1796,$AB$3:$AC$123)</f>
        <v>1.081</v>
      </c>
      <c r="P1796" s="3" t="n">
        <f aca="false">(O1796*(N1796/100)*(J1796/1000))*1000</f>
        <v>3.88484375</v>
      </c>
      <c r="Q1796" s="3"/>
      <c r="R1796" s="1"/>
      <c r="S1796" s="1"/>
      <c r="T1796" s="1"/>
      <c r="U1796" s="1"/>
      <c r="V1796" s="1"/>
      <c r="W1796" s="1"/>
      <c r="X1796" s="1"/>
      <c r="Y1796" s="5"/>
      <c r="Z1796" s="1"/>
    </row>
    <row r="1797" customFormat="false" ht="15" hidden="false" customHeight="false" outlineLevel="0" collapsed="false">
      <c r="A1797" s="0" t="s">
        <v>69</v>
      </c>
      <c r="B1797" s="0" t="s">
        <v>70</v>
      </c>
      <c r="C1797" s="0" t="s">
        <v>56</v>
      </c>
      <c r="D1797" s="0" t="s">
        <v>165</v>
      </c>
      <c r="E1797" s="0" t="n">
        <v>38</v>
      </c>
      <c r="F1797" s="0" t="n">
        <v>2</v>
      </c>
      <c r="G1797" s="1"/>
      <c r="H1797" s="1"/>
      <c r="I1797" s="0" t="n">
        <f aca="false">27.1+17.7+10.7</f>
        <v>55.5</v>
      </c>
      <c r="J1797" s="0" t="n">
        <f aca="false">(I1797/32)*5</f>
        <v>8.671875</v>
      </c>
      <c r="L1797" s="0" t="n">
        <v>21.5</v>
      </c>
      <c r="M1797" s="0" t="n">
        <v>4</v>
      </c>
      <c r="N1797" s="0" t="n">
        <f aca="false">L1797</f>
        <v>21.5</v>
      </c>
      <c r="O1797" s="3" t="n">
        <f aca="false">LOOKUP(L1797,$AB$3:$AC$123)</f>
        <v>1.087675</v>
      </c>
      <c r="P1797" s="3" t="n">
        <f aca="false">(O1797*(N1797/100)*(J1797/1000))*1000</f>
        <v>2.02791905273437</v>
      </c>
      <c r="Q1797" s="3"/>
      <c r="R1797" s="1"/>
      <c r="S1797" s="1"/>
      <c r="T1797" s="1"/>
      <c r="U1797" s="1"/>
      <c r="V1797" s="1"/>
      <c r="W1797" s="1"/>
      <c r="X1797" s="1"/>
      <c r="Y1797" s="5"/>
      <c r="Z1797" s="1"/>
    </row>
    <row r="1798" customFormat="false" ht="15" hidden="false" customHeight="false" outlineLevel="0" collapsed="false">
      <c r="A1798" s="0" t="s">
        <v>71</v>
      </c>
      <c r="B1798" s="0" t="s">
        <v>72</v>
      </c>
      <c r="C1798" s="0" t="s">
        <v>56</v>
      </c>
      <c r="D1798" s="0" t="s">
        <v>165</v>
      </c>
      <c r="E1798" s="0" t="n">
        <v>38</v>
      </c>
      <c r="F1798" s="0" t="n">
        <v>0</v>
      </c>
      <c r="G1798" s="1"/>
      <c r="H1798" s="1"/>
      <c r="I1798" s="0" t="n">
        <v>0</v>
      </c>
      <c r="J1798" s="0" t="n">
        <f aca="false">(I1798/32)*5</f>
        <v>0</v>
      </c>
      <c r="L1798" s="0" t="n">
        <v>0</v>
      </c>
      <c r="M1798" s="0" t="n">
        <v>4</v>
      </c>
      <c r="N1798" s="0" t="n">
        <f aca="false">L1798</f>
        <v>0</v>
      </c>
      <c r="O1798" s="3" t="n">
        <v>0</v>
      </c>
      <c r="P1798" s="3" t="n">
        <f aca="false">(O1798*(N1798/100)*(J1798/1000))*1000</f>
        <v>0</v>
      </c>
      <c r="Q1798" s="3"/>
      <c r="R1798" s="1"/>
      <c r="S1798" s="1"/>
      <c r="T1798" s="1"/>
      <c r="U1798" s="1"/>
      <c r="V1798" s="1"/>
      <c r="W1798" s="1"/>
      <c r="X1798" s="1"/>
      <c r="Y1798" s="5"/>
      <c r="Z1798" s="1"/>
    </row>
    <row r="1799" customFormat="false" ht="15" hidden="false" customHeight="false" outlineLevel="0" collapsed="false">
      <c r="A1799" s="0" t="s">
        <v>73</v>
      </c>
      <c r="B1799" s="0" t="s">
        <v>74</v>
      </c>
      <c r="C1799" s="0" t="s">
        <v>56</v>
      </c>
      <c r="D1799" s="0" t="s">
        <v>165</v>
      </c>
      <c r="E1799" s="0" t="n">
        <v>38</v>
      </c>
      <c r="F1799" s="0" t="n">
        <v>0</v>
      </c>
      <c r="G1799" s="1"/>
      <c r="H1799" s="1"/>
      <c r="I1799" s="0" t="n">
        <v>0</v>
      </c>
      <c r="J1799" s="0" t="n">
        <f aca="false">(I1799/32)*5</f>
        <v>0</v>
      </c>
      <c r="L1799" s="0" t="n">
        <v>0</v>
      </c>
      <c r="M1799" s="0" t="n">
        <v>4</v>
      </c>
      <c r="N1799" s="0" t="n">
        <f aca="false">L1799</f>
        <v>0</v>
      </c>
      <c r="O1799" s="3" t="n">
        <v>0</v>
      </c>
      <c r="P1799" s="3" t="n">
        <f aca="false">(O1799*(N1799/100)*(J1799/1000))*1000</f>
        <v>0</v>
      </c>
      <c r="Q1799" s="3"/>
      <c r="R1799" s="1"/>
      <c r="S1799" s="1"/>
      <c r="T1799" s="1"/>
      <c r="U1799" s="1"/>
      <c r="V1799" s="1"/>
      <c r="W1799" s="1"/>
      <c r="X1799" s="1"/>
      <c r="Y1799" s="5"/>
      <c r="Z1799" s="1"/>
    </row>
    <row r="1800" customFormat="false" ht="15" hidden="false" customHeight="false" outlineLevel="0" collapsed="false">
      <c r="A1800" s="0" t="s">
        <v>75</v>
      </c>
      <c r="B1800" s="0" t="s">
        <v>76</v>
      </c>
      <c r="C1800" s="0" t="s">
        <v>56</v>
      </c>
      <c r="D1800" s="0" t="s">
        <v>165</v>
      </c>
      <c r="E1800" s="0" t="n">
        <v>38</v>
      </c>
      <c r="F1800" s="0" t="n">
        <v>4</v>
      </c>
      <c r="G1800" s="1"/>
      <c r="H1800" s="1"/>
      <c r="I1800" s="0" t="n">
        <f aca="false">28.9+29.6+29.6+29.6+29.4+27.5+23.5</f>
        <v>198.1</v>
      </c>
      <c r="J1800" s="0" t="n">
        <f aca="false">(I1800/32)*5</f>
        <v>30.953125</v>
      </c>
      <c r="L1800" s="0" t="n">
        <v>25</v>
      </c>
      <c r="M1800" s="0" t="n">
        <v>4</v>
      </c>
      <c r="N1800" s="0" t="n">
        <f aca="false">L1800</f>
        <v>25</v>
      </c>
      <c r="O1800" s="3" t="n">
        <f aca="false">LOOKUP(L1800,$AB$3:$AC$123)</f>
        <v>1.10355</v>
      </c>
      <c r="P1800" s="3" t="n">
        <f aca="false">(O1800*(N1800/100)*(J1800/1000))*1000</f>
        <v>8.5395802734375</v>
      </c>
      <c r="Q1800" s="3"/>
      <c r="R1800" s="1"/>
      <c r="S1800" s="1"/>
      <c r="T1800" s="1"/>
      <c r="U1800" s="1"/>
      <c r="V1800" s="1"/>
      <c r="W1800" s="1"/>
      <c r="X1800" s="1"/>
      <c r="Y1800" s="5"/>
      <c r="Z1800" s="1"/>
    </row>
    <row r="1801" customFormat="false" ht="15" hidden="false" customHeight="false" outlineLevel="0" collapsed="false">
      <c r="A1801" s="0" t="s">
        <v>77</v>
      </c>
      <c r="B1801" s="0" t="s">
        <v>78</v>
      </c>
      <c r="C1801" s="0" t="s">
        <v>56</v>
      </c>
      <c r="D1801" s="0" t="s">
        <v>165</v>
      </c>
      <c r="E1801" s="0" t="n">
        <v>38</v>
      </c>
      <c r="F1801" s="0" t="n">
        <v>3</v>
      </c>
      <c r="G1801" s="1"/>
      <c r="H1801" s="1"/>
      <c r="I1801" s="0" t="n">
        <f aca="false">27.8+15.3+27.4</f>
        <v>70.5</v>
      </c>
      <c r="J1801" s="0" t="n">
        <f aca="false">(I1801/32)*5</f>
        <v>11.015625</v>
      </c>
      <c r="L1801" s="0" t="n">
        <v>19</v>
      </c>
      <c r="M1801" s="0" t="n">
        <v>4</v>
      </c>
      <c r="N1801" s="0" t="n">
        <f aca="false">L1801</f>
        <v>19</v>
      </c>
      <c r="O1801" s="3" t="n">
        <f aca="false">LOOKUP(L1801,$AB$3:$AC$123)</f>
        <v>1.0765</v>
      </c>
      <c r="P1801" s="3" t="n">
        <f aca="false">(O1801*(N1801/100)*(J1801/1000))*1000</f>
        <v>2.253080859375</v>
      </c>
      <c r="Q1801" s="3"/>
      <c r="R1801" s="1"/>
      <c r="S1801" s="1"/>
      <c r="T1801" s="1"/>
      <c r="U1801" s="1"/>
      <c r="V1801" s="1"/>
      <c r="W1801" s="1"/>
      <c r="X1801" s="1"/>
      <c r="Y1801" s="5"/>
      <c r="Z1801" s="1"/>
    </row>
    <row r="1802" customFormat="false" ht="15" hidden="false" customHeight="false" outlineLevel="0" collapsed="false">
      <c r="A1802" s="0" t="s">
        <v>79</v>
      </c>
      <c r="B1802" s="0" t="s">
        <v>80</v>
      </c>
      <c r="C1802" s="0" t="s">
        <v>81</v>
      </c>
      <c r="D1802" s="0" t="s">
        <v>165</v>
      </c>
      <c r="E1802" s="0" t="n">
        <v>38</v>
      </c>
      <c r="F1802" s="0" t="n">
        <v>1</v>
      </c>
      <c r="G1802" s="1"/>
      <c r="H1802" s="1"/>
      <c r="I1802" s="0" t="n">
        <v>19.5</v>
      </c>
      <c r="J1802" s="0" t="n">
        <f aca="false">(I1802/32)*5</f>
        <v>3.046875</v>
      </c>
      <c r="L1802" s="0" t="n">
        <v>25</v>
      </c>
      <c r="M1802" s="0" t="n">
        <v>4</v>
      </c>
      <c r="N1802" s="0" t="n">
        <f aca="false">L1802</f>
        <v>25</v>
      </c>
      <c r="O1802" s="3" t="n">
        <f aca="false">LOOKUP(L1802,$AB$3:$AC$123)</f>
        <v>1.10355</v>
      </c>
      <c r="P1802" s="3" t="n">
        <f aca="false">(O1802*(N1802/100)*(J1802/1000))*1000</f>
        <v>0.8405947265625</v>
      </c>
      <c r="Q1802" s="3"/>
      <c r="R1802" s="0" t="n">
        <v>4</v>
      </c>
      <c r="S1802" s="0" t="n">
        <v>4.6</v>
      </c>
      <c r="T1802" s="0" t="n">
        <f aca="false">(S1802/32)*5</f>
        <v>0.71875</v>
      </c>
      <c r="V1802" s="0" t="n">
        <v>10</v>
      </c>
      <c r="W1802" s="0" t="n">
        <v>4</v>
      </c>
      <c r="X1802" s="3" t="n">
        <f aca="false">LOOKUP(V1802,$AB$3:$AC$123)</f>
        <v>1.0381</v>
      </c>
      <c r="Y1802" s="2" t="n">
        <f aca="false">(V1802*((W1802+T1802)/1000)*X1802)/((((W1802+T1802)/1000)*X1802)-((W1802/1000)*0.9982))</f>
        <v>54.0835647868615</v>
      </c>
      <c r="Z1802" s="3" t="n">
        <f aca="false">(X1802*(V1802/100)*((W1802+T1802)/1000))*1000</f>
        <v>0.4898534375</v>
      </c>
    </row>
    <row r="1803" customFormat="false" ht="15" hidden="false" customHeight="false" outlineLevel="0" collapsed="false">
      <c r="A1803" s="0" t="s">
        <v>82</v>
      </c>
      <c r="B1803" s="0" t="s">
        <v>83</v>
      </c>
      <c r="C1803" s="0" t="s">
        <v>81</v>
      </c>
      <c r="D1803" s="0" t="s">
        <v>165</v>
      </c>
      <c r="E1803" s="0" t="n">
        <v>38</v>
      </c>
      <c r="F1803" s="0" t="n">
        <v>0</v>
      </c>
      <c r="G1803" s="1"/>
      <c r="H1803" s="1"/>
      <c r="I1803" s="0" t="n">
        <v>0</v>
      </c>
      <c r="J1803" s="0" t="n">
        <f aca="false">(I1803/32)*5</f>
        <v>0</v>
      </c>
      <c r="L1803" s="0" t="n">
        <v>0</v>
      </c>
      <c r="M1803" s="0" t="n">
        <v>4</v>
      </c>
      <c r="N1803" s="0" t="n">
        <f aca="false">L1803</f>
        <v>0</v>
      </c>
      <c r="O1803" s="3" t="n">
        <v>0</v>
      </c>
      <c r="P1803" s="3" t="n">
        <f aca="false">(O1803*(N1803/100)*(J1803/1000))*1000</f>
        <v>0</v>
      </c>
      <c r="Q1803" s="3"/>
      <c r="R1803" s="0" t="n">
        <v>3</v>
      </c>
      <c r="S1803" s="0" t="n">
        <v>10.5</v>
      </c>
      <c r="T1803" s="0" t="n">
        <f aca="false">(S1803/32)*5</f>
        <v>1.640625</v>
      </c>
      <c r="V1803" s="0" t="n">
        <v>23.5</v>
      </c>
      <c r="W1803" s="0" t="n">
        <v>4</v>
      </c>
      <c r="X1803" s="3" t="n">
        <f aca="false">LOOKUP(V1803,$AB$3:$AC$123)</f>
        <v>1.096725</v>
      </c>
      <c r="Y1803" s="2" t="n">
        <f aca="false">(V1803*((W1803+T1803)/1000)*X1803)/((((W1803+T1803)/1000)*X1803)-((W1803/1000)*0.9982))</f>
        <v>66.2784178527307</v>
      </c>
      <c r="Z1803" s="3" t="n">
        <f aca="false">(X1803*(V1803/100)*((W1803+T1803)/1000))*1000</f>
        <v>1.45376039648438</v>
      </c>
    </row>
    <row r="1804" customFormat="false" ht="15" hidden="false" customHeight="false" outlineLevel="0" collapsed="false">
      <c r="A1804" s="0" t="s">
        <v>84</v>
      </c>
      <c r="B1804" s="0" t="s">
        <v>85</v>
      </c>
      <c r="C1804" s="0" t="s">
        <v>81</v>
      </c>
      <c r="D1804" s="0" t="s">
        <v>165</v>
      </c>
      <c r="E1804" s="0" t="n">
        <v>38</v>
      </c>
      <c r="F1804" s="0" t="n">
        <v>0</v>
      </c>
      <c r="G1804" s="1"/>
      <c r="H1804" s="1"/>
      <c r="I1804" s="0" t="n">
        <v>0</v>
      </c>
      <c r="J1804" s="0" t="n">
        <f aca="false">(I1804/32)*5</f>
        <v>0</v>
      </c>
      <c r="L1804" s="0" t="n">
        <v>0</v>
      </c>
      <c r="M1804" s="0" t="n">
        <v>4</v>
      </c>
      <c r="N1804" s="0" t="n">
        <f aca="false">L1804</f>
        <v>0</v>
      </c>
      <c r="O1804" s="3" t="n">
        <v>0</v>
      </c>
      <c r="P1804" s="3" t="n">
        <f aca="false">(O1804*(N1804/100)*(J1804/1000))*1000</f>
        <v>0</v>
      </c>
      <c r="Q1804" s="3"/>
      <c r="R1804" s="0" t="n">
        <v>3</v>
      </c>
      <c r="S1804" s="0" t="n">
        <v>10.8</v>
      </c>
      <c r="T1804" s="0" t="n">
        <f aca="false">(S1804/32)*5</f>
        <v>1.6875</v>
      </c>
      <c r="V1804" s="0" t="n">
        <v>24</v>
      </c>
      <c r="W1804" s="0" t="n">
        <v>4</v>
      </c>
      <c r="X1804" s="3" t="n">
        <f aca="false">LOOKUP(V1804,$AB$3:$AC$123)</f>
        <v>1.099</v>
      </c>
      <c r="Y1804" s="2" t="n">
        <f aca="false">(V1804*((W1804+T1804)/1000)*X1804)/((((W1804+T1804)/1000)*X1804)-((W1804/1000)*0.9982))</f>
        <v>66.4434368096733</v>
      </c>
      <c r="Z1804" s="3" t="n">
        <f aca="false">(X1804*(V1804/100)*((W1804+T1804)/1000))*1000</f>
        <v>1.500135</v>
      </c>
    </row>
    <row r="1805" customFormat="false" ht="15" hidden="false" customHeight="false" outlineLevel="0" collapsed="false">
      <c r="A1805" s="0" t="s">
        <v>86</v>
      </c>
      <c r="B1805" s="0" t="s">
        <v>87</v>
      </c>
      <c r="C1805" s="0" t="s">
        <v>81</v>
      </c>
      <c r="D1805" s="0" t="s">
        <v>165</v>
      </c>
      <c r="E1805" s="0" t="n">
        <v>38</v>
      </c>
      <c r="F1805" s="0" t="n">
        <v>2</v>
      </c>
      <c r="G1805" s="1"/>
      <c r="H1805" s="1"/>
      <c r="I1805" s="0" t="n">
        <f aca="false">29.7+24.1</f>
        <v>53.8</v>
      </c>
      <c r="J1805" s="0" t="n">
        <f aca="false">(I1805/32)*5</f>
        <v>8.40625</v>
      </c>
      <c r="L1805" s="0" t="n">
        <v>23</v>
      </c>
      <c r="M1805" s="0" t="n">
        <v>4</v>
      </c>
      <c r="N1805" s="0" t="n">
        <f aca="false">L1805</f>
        <v>23</v>
      </c>
      <c r="O1805" s="3" t="n">
        <f aca="false">LOOKUP(L1805,$AB$3:$AC$123)</f>
        <v>1.09445</v>
      </c>
      <c r="P1805" s="3" t="n">
        <f aca="false">(O1805*(N1805/100)*(J1805/1000))*1000</f>
        <v>2.116050671875</v>
      </c>
      <c r="Q1805" s="3"/>
      <c r="R1805" s="0" t="n">
        <v>3</v>
      </c>
      <c r="S1805" s="0" t="n">
        <v>6.5</v>
      </c>
      <c r="T1805" s="0" t="n">
        <f aca="false">(S1805/32)*5</f>
        <v>1.015625</v>
      </c>
      <c r="V1805" s="0" t="n">
        <v>18</v>
      </c>
      <c r="W1805" s="0" t="n">
        <v>4</v>
      </c>
      <c r="X1805" s="3" t="n">
        <f aca="false">LOOKUP(V1805,$AB$3:$AC$123)</f>
        <v>1.0722</v>
      </c>
      <c r="Y1805" s="2" t="n">
        <f aca="false">(V1805*((W1805+T1805)/1000)*X1805)/((((W1805+T1805)/1000)*X1805)-((W1805/1000)*0.9982))</f>
        <v>69.8937418910839</v>
      </c>
      <c r="Z1805" s="3" t="n">
        <f aca="false">(X1805*(V1805/100)*((W1805+T1805)/1000))*1000</f>
        <v>0.9679955625</v>
      </c>
    </row>
    <row r="1806" customFormat="false" ht="15" hidden="false" customHeight="false" outlineLevel="0" collapsed="false">
      <c r="A1806" s="0" t="s">
        <v>88</v>
      </c>
      <c r="B1806" s="0" t="s">
        <v>89</v>
      </c>
      <c r="C1806" s="0" t="s">
        <v>81</v>
      </c>
      <c r="D1806" s="0" t="s">
        <v>165</v>
      </c>
      <c r="E1806" s="0" t="n">
        <v>38</v>
      </c>
      <c r="F1806" s="0" t="n">
        <v>1</v>
      </c>
      <c r="G1806" s="1"/>
      <c r="H1806" s="1"/>
      <c r="I1806" s="0" t="n">
        <v>20.1</v>
      </c>
      <c r="J1806" s="0" t="n">
        <f aca="false">(I1806/32)*5</f>
        <v>3.140625</v>
      </c>
      <c r="L1806" s="0" t="n">
        <v>25</v>
      </c>
      <c r="M1806" s="0" t="n">
        <v>4</v>
      </c>
      <c r="N1806" s="0" t="n">
        <f aca="false">L1806</f>
        <v>25</v>
      </c>
      <c r="O1806" s="3" t="n">
        <f aca="false">LOOKUP(L1806,$AB$3:$AC$123)</f>
        <v>1.10355</v>
      </c>
      <c r="P1806" s="3" t="n">
        <f aca="false">(O1806*(N1806/100)*(J1806/1000))*1000</f>
        <v>0.8664591796875</v>
      </c>
      <c r="Q1806" s="3"/>
      <c r="R1806" s="0" t="n">
        <v>5</v>
      </c>
      <c r="S1806" s="0" t="n">
        <v>4.2</v>
      </c>
      <c r="T1806" s="0" t="n">
        <f aca="false">(S1806/32)*5</f>
        <v>0.65625</v>
      </c>
      <c r="V1806" s="0" t="n">
        <v>20</v>
      </c>
      <c r="W1806" s="0" t="n">
        <v>4</v>
      </c>
      <c r="X1806" s="3" t="n">
        <f aca="false">LOOKUP(V1806,$AB$3:$AC$123)</f>
        <v>1.081</v>
      </c>
      <c r="Y1806" s="2" t="n">
        <f aca="false">(V1806*((W1806+T1806)/1000)*X1806)/((((W1806+T1806)/1000)*X1806)-((W1806/1000)*0.9982))</f>
        <v>96.7398811990607</v>
      </c>
      <c r="Z1806" s="3" t="n">
        <f aca="false">(X1806*(V1806/100)*((W1806+T1806)/1000))*1000</f>
        <v>1.00668125</v>
      </c>
    </row>
    <row r="1807" customFormat="false" ht="15" hidden="false" customHeight="false" outlineLevel="0" collapsed="false">
      <c r="A1807" s="0" t="s">
        <v>90</v>
      </c>
      <c r="B1807" s="0" t="s">
        <v>91</v>
      </c>
      <c r="C1807" s="0" t="s">
        <v>81</v>
      </c>
      <c r="D1807" s="0" t="s">
        <v>165</v>
      </c>
      <c r="E1807" s="0" t="n">
        <v>38</v>
      </c>
      <c r="F1807" s="0" t="n">
        <v>0</v>
      </c>
      <c r="G1807" s="1"/>
      <c r="H1807" s="1"/>
      <c r="I1807" s="0" t="n">
        <v>0</v>
      </c>
      <c r="J1807" s="0" t="n">
        <f aca="false">(I1807/32)*5</f>
        <v>0</v>
      </c>
      <c r="L1807" s="0" t="n">
        <v>0</v>
      </c>
      <c r="M1807" s="0" t="n">
        <v>4</v>
      </c>
      <c r="N1807" s="0" t="n">
        <f aca="false">L1807</f>
        <v>0</v>
      </c>
      <c r="O1807" s="3" t="n">
        <v>0</v>
      </c>
      <c r="P1807" s="3" t="n">
        <f aca="false">(O1807*(N1807/100)*(J1807/1000))*1000</f>
        <v>0</v>
      </c>
      <c r="Q1807" s="3"/>
      <c r="R1807" s="0" t="n">
        <v>4</v>
      </c>
      <c r="S1807" s="0" t="n">
        <v>5.3</v>
      </c>
      <c r="T1807" s="0" t="n">
        <f aca="false">(S1807/32)*5</f>
        <v>0.828125</v>
      </c>
      <c r="V1807" s="0" t="n">
        <v>11</v>
      </c>
      <c r="W1807" s="0" t="n">
        <v>4</v>
      </c>
      <c r="X1807" s="3" t="n">
        <f aca="false">LOOKUP(V1807,$AB$3:$AC$123)</f>
        <v>1.0423</v>
      </c>
      <c r="Y1807" s="2" t="n">
        <f aca="false">(V1807*((W1807+T1807)/1000)*X1807)/((((W1807+T1807)/1000)*X1807)-((W1807/1000)*0.9982))</f>
        <v>53.249629123047</v>
      </c>
      <c r="Z1807" s="3" t="n">
        <f aca="false">(X1807*(V1807/100)*((W1807+T1807)/1000))*1000</f>
        <v>0.553559015625</v>
      </c>
    </row>
    <row r="1808" customFormat="false" ht="15" hidden="false" customHeight="false" outlineLevel="0" collapsed="false">
      <c r="A1808" s="0" t="s">
        <v>92</v>
      </c>
      <c r="B1808" s="0" t="s">
        <v>93</v>
      </c>
      <c r="C1808" s="0" t="s">
        <v>81</v>
      </c>
      <c r="D1808" s="0" t="s">
        <v>165</v>
      </c>
      <c r="E1808" s="0" t="n">
        <v>38</v>
      </c>
      <c r="F1808" s="0" t="n">
        <v>0</v>
      </c>
      <c r="G1808" s="1"/>
      <c r="H1808" s="1"/>
      <c r="I1808" s="0" t="n">
        <v>0</v>
      </c>
      <c r="J1808" s="0" t="n">
        <f aca="false">(I1808/32)*5</f>
        <v>0</v>
      </c>
      <c r="L1808" s="0" t="n">
        <v>0</v>
      </c>
      <c r="M1808" s="0" t="n">
        <v>4</v>
      </c>
      <c r="N1808" s="0" t="n">
        <f aca="false">L1808</f>
        <v>0</v>
      </c>
      <c r="O1808" s="3" t="n">
        <v>0</v>
      </c>
      <c r="P1808" s="3" t="n">
        <f aca="false">(O1808*(N1808/100)*(J1808/1000))*1000</f>
        <v>0</v>
      </c>
      <c r="Q1808" s="3"/>
      <c r="R1808" s="0" t="n">
        <v>2</v>
      </c>
      <c r="S1808" s="0" t="n">
        <v>1.1</v>
      </c>
      <c r="T1808" s="0" t="n">
        <f aca="false">(S1808/32)*5</f>
        <v>0.171875</v>
      </c>
      <c r="V1808" s="0" t="n">
        <v>1</v>
      </c>
      <c r="W1808" s="0" t="n">
        <v>4</v>
      </c>
      <c r="X1808" s="3" t="n">
        <f aca="false">LOOKUP(V1808,$AB$3:$AC$123)</f>
        <v>1.0021</v>
      </c>
      <c r="Y1808" s="2" t="n">
        <f aca="false">(V1808*((W1808+T1808)/1000)*X1808)/((((W1808+T1808)/1000)*X1808)-((W1808/1000)*0.9982))</f>
        <v>22.2568481470698</v>
      </c>
      <c r="Z1808" s="3" t="n">
        <f aca="false">(X1808*(V1808/100)*((W1808+T1808)/1000))*1000</f>
        <v>0.041806359375</v>
      </c>
    </row>
    <row r="1809" customFormat="false" ht="15" hidden="false" customHeight="false" outlineLevel="0" collapsed="false">
      <c r="A1809" s="0" t="s">
        <v>94</v>
      </c>
      <c r="B1809" s="0" t="s">
        <v>95</v>
      </c>
      <c r="C1809" s="0" t="s">
        <v>81</v>
      </c>
      <c r="D1809" s="0" t="s">
        <v>165</v>
      </c>
      <c r="E1809" s="0" t="n">
        <v>38</v>
      </c>
      <c r="F1809" s="0" t="n">
        <v>3</v>
      </c>
      <c r="G1809" s="1"/>
      <c r="H1809" s="1"/>
      <c r="I1809" s="0" t="n">
        <f aca="false">38.3+35.3+33.2+26.3</f>
        <v>133.1</v>
      </c>
      <c r="J1809" s="0" t="n">
        <f aca="false">(I1809/32)*5</f>
        <v>20.796875</v>
      </c>
      <c r="L1809" s="0" t="n">
        <v>24.5</v>
      </c>
      <c r="M1809" s="0" t="n">
        <v>4</v>
      </c>
      <c r="N1809" s="0" t="n">
        <f aca="false">L1809</f>
        <v>24.5</v>
      </c>
      <c r="O1809" s="3" t="n">
        <f aca="false">LOOKUP(L1809,$AB$3:$AC$123)</f>
        <v>1.101275</v>
      </c>
      <c r="P1809" s="3" t="n">
        <f aca="false">(O1809*(N1809/100)*(J1809/1000))*1000</f>
        <v>5.61125423632812</v>
      </c>
      <c r="Q1809" s="3"/>
      <c r="R1809" s="0" t="n">
        <v>5</v>
      </c>
      <c r="S1809" s="0" t="n">
        <v>6.5</v>
      </c>
      <c r="T1809" s="0" t="n">
        <f aca="false">(S1809/32)*5</f>
        <v>1.015625</v>
      </c>
      <c r="V1809" s="0" t="n">
        <v>25</v>
      </c>
      <c r="W1809" s="0" t="n">
        <v>4</v>
      </c>
      <c r="X1809" s="3" t="n">
        <f aca="false">LOOKUP(V1809,$AB$3:$AC$123)</f>
        <v>1.10355</v>
      </c>
      <c r="Y1809" s="2" t="n">
        <f aca="false">(V1809*((W1809+T1809)/1000)*X1809)/((((W1809+T1809)/1000)*X1809)-((W1809/1000)*0.9982))</f>
        <v>89.726011609888</v>
      </c>
      <c r="Z1809" s="3" t="n">
        <f aca="false">(X1809*(V1809/100)*((W1809+T1809)/1000))*1000</f>
        <v>1.3837482421875</v>
      </c>
    </row>
    <row r="1810" customFormat="false" ht="15" hidden="false" customHeight="false" outlineLevel="0" collapsed="false">
      <c r="A1810" s="0" t="s">
        <v>96</v>
      </c>
      <c r="B1810" s="0" t="s">
        <v>97</v>
      </c>
      <c r="C1810" s="0" t="s">
        <v>81</v>
      </c>
      <c r="D1810" s="0" t="s">
        <v>165</v>
      </c>
      <c r="E1810" s="0" t="n">
        <v>38</v>
      </c>
      <c r="F1810" s="0" t="n">
        <v>2</v>
      </c>
      <c r="G1810" s="1"/>
      <c r="H1810" s="1"/>
      <c r="I1810" s="0" t="n">
        <f aca="false">23.3+24.1+21.4+30.4+27.3</f>
        <v>126.5</v>
      </c>
      <c r="J1810" s="0" t="n">
        <f aca="false">(I1810/32)*5</f>
        <v>19.765625</v>
      </c>
      <c r="L1810" s="0" t="n">
        <v>19</v>
      </c>
      <c r="M1810" s="0" t="n">
        <v>4</v>
      </c>
      <c r="N1810" s="0" t="n">
        <f aca="false">L1810</f>
        <v>19</v>
      </c>
      <c r="O1810" s="3" t="n">
        <f aca="false">LOOKUP(L1810,$AB$3:$AC$123)</f>
        <v>1.0765</v>
      </c>
      <c r="P1810" s="3" t="n">
        <f aca="false">(O1810*(N1810/100)*(J1810/1000))*1000</f>
        <v>4.042762109375</v>
      </c>
      <c r="Q1810" s="3"/>
      <c r="R1810" s="0" t="n">
        <v>3</v>
      </c>
      <c r="S1810" s="0" t="n">
        <v>1.5</v>
      </c>
      <c r="T1810" s="0" t="n">
        <f aca="false">(S1810/32)*5</f>
        <v>0.234375</v>
      </c>
      <c r="V1810" s="0" t="n">
        <v>3</v>
      </c>
      <c r="W1810" s="0" t="n">
        <v>4</v>
      </c>
      <c r="X1810" s="3" t="n">
        <f aca="false">LOOKUP(V1810,$AB$3:$AC$123)</f>
        <v>1.0099</v>
      </c>
      <c r="Y1810" s="2" t="n">
        <f aca="false">(V1810*((W1810+T1810)/1000)*X1810)/((((W1810+T1810)/1000)*X1810)-((W1810/1000)*0.9982))</f>
        <v>45.2525504720647</v>
      </c>
      <c r="Z1810" s="3" t="n">
        <f aca="false">(X1810*(V1810/100)*((W1810+T1810)/1000))*1000</f>
        <v>0.128288859375</v>
      </c>
    </row>
    <row r="1811" customFormat="false" ht="15" hidden="false" customHeight="false" outlineLevel="0" collapsed="false">
      <c r="A1811" s="0" t="s">
        <v>98</v>
      </c>
      <c r="B1811" s="0" t="s">
        <v>99</v>
      </c>
      <c r="C1811" s="0" t="s">
        <v>81</v>
      </c>
      <c r="D1811" s="0" t="s">
        <v>165</v>
      </c>
      <c r="E1811" s="0" t="n">
        <v>38</v>
      </c>
      <c r="F1811" s="0" t="n">
        <v>0</v>
      </c>
      <c r="G1811" s="1"/>
      <c r="H1811" s="1"/>
      <c r="I1811" s="0" t="n">
        <v>0</v>
      </c>
      <c r="J1811" s="0" t="n">
        <f aca="false">(I1811/32)*5</f>
        <v>0</v>
      </c>
      <c r="L1811" s="0" t="n">
        <v>0</v>
      </c>
      <c r="M1811" s="0" t="n">
        <v>4</v>
      </c>
      <c r="N1811" s="0" t="n">
        <f aca="false">L1811</f>
        <v>0</v>
      </c>
      <c r="O1811" s="3" t="n">
        <v>0</v>
      </c>
      <c r="P1811" s="3" t="n">
        <f aca="false">(O1811*(N1811/100)*(J1811/1000))*1000</f>
        <v>0</v>
      </c>
      <c r="Q1811" s="3"/>
      <c r="R1811" s="0" t="n">
        <v>3</v>
      </c>
      <c r="S1811" s="0" t="n">
        <v>2.8</v>
      </c>
      <c r="T1811" s="0" t="n">
        <f aca="false">(S1811/32)*5</f>
        <v>0.4375</v>
      </c>
      <c r="V1811" s="0" t="n">
        <v>2</v>
      </c>
      <c r="W1811" s="0" t="n">
        <v>4</v>
      </c>
      <c r="X1811" s="3" t="n">
        <f aca="false">LOOKUP(V1811,$AB$3:$AC$123)</f>
        <v>1.006</v>
      </c>
      <c r="Y1811" s="2" t="n">
        <f aca="false">(V1811*((W1811+T1811)/1000)*X1811)/((((W1811+T1811)/1000)*X1811)-((W1811/1000)*0.9982))</f>
        <v>18.9428738131863</v>
      </c>
      <c r="Z1811" s="3" t="n">
        <f aca="false">(X1811*(V1811/100)*((W1811+T1811)/1000))*1000</f>
        <v>0.0892825</v>
      </c>
    </row>
    <row r="1812" customFormat="false" ht="15" hidden="false" customHeight="false" outlineLevel="0" collapsed="false">
      <c r="A1812" s="0" t="s">
        <v>100</v>
      </c>
      <c r="B1812" s="0" t="s">
        <v>101</v>
      </c>
      <c r="C1812" s="0" t="s">
        <v>81</v>
      </c>
      <c r="D1812" s="0" t="s">
        <v>165</v>
      </c>
      <c r="E1812" s="0" t="n">
        <v>38</v>
      </c>
      <c r="F1812" s="0" t="n">
        <v>0</v>
      </c>
      <c r="G1812" s="1"/>
      <c r="H1812" s="1"/>
      <c r="I1812" s="0" t="n">
        <v>0</v>
      </c>
      <c r="J1812" s="0" t="n">
        <f aca="false">(I1812/32)*5</f>
        <v>0</v>
      </c>
      <c r="L1812" s="0" t="n">
        <v>0</v>
      </c>
      <c r="M1812" s="0" t="n">
        <v>4</v>
      </c>
      <c r="N1812" s="0" t="n">
        <f aca="false">L1812</f>
        <v>0</v>
      </c>
      <c r="O1812" s="3" t="n">
        <v>0</v>
      </c>
      <c r="P1812" s="3" t="n">
        <f aca="false">(O1812*(N1812/100)*(J1812/1000))*1000</f>
        <v>0</v>
      </c>
      <c r="Q1812" s="3"/>
      <c r="R1812" s="0" t="n">
        <v>2</v>
      </c>
      <c r="S1812" s="0" t="n">
        <v>4.1</v>
      </c>
      <c r="T1812" s="0" t="n">
        <f aca="false">(S1812/32)*5</f>
        <v>0.640625</v>
      </c>
      <c r="V1812" s="0" t="n">
        <v>15</v>
      </c>
      <c r="W1812" s="0" t="n">
        <v>4</v>
      </c>
      <c r="X1812" s="3" t="n">
        <f aca="false">LOOKUP(V1812,$AB$3:$AC$123)</f>
        <v>1.0592</v>
      </c>
      <c r="Y1812" s="2" t="n">
        <f aca="false">(V1812*((W1812+T1812)/1000)*X1812)/((((W1812+T1812)/1000)*X1812)-((W1812/1000)*0.9982))</f>
        <v>79.9200585334128</v>
      </c>
      <c r="Z1812" s="3" t="n">
        <f aca="false">(X1812*(V1812/100)*((W1812+T1812)/1000))*1000</f>
        <v>0.7373025</v>
      </c>
    </row>
    <row r="1813" customFormat="false" ht="15" hidden="false" customHeight="false" outlineLevel="0" collapsed="false">
      <c r="A1813" s="0" t="s">
        <v>102</v>
      </c>
      <c r="B1813" s="0" t="s">
        <v>103</v>
      </c>
      <c r="C1813" s="0" t="s">
        <v>81</v>
      </c>
      <c r="D1813" s="0" t="s">
        <v>165</v>
      </c>
      <c r="E1813" s="0" t="n">
        <v>38</v>
      </c>
      <c r="F1813" s="0" t="n">
        <v>1</v>
      </c>
      <c r="G1813" s="1"/>
      <c r="H1813" s="1"/>
      <c r="I1813" s="0" t="n">
        <v>26.8</v>
      </c>
      <c r="J1813" s="0" t="n">
        <f aca="false">(I1813/32)*5</f>
        <v>4.1875</v>
      </c>
      <c r="L1813" s="0" t="n">
        <v>20</v>
      </c>
      <c r="M1813" s="0" t="n">
        <v>4</v>
      </c>
      <c r="N1813" s="0" t="n">
        <f aca="false">L1813</f>
        <v>20</v>
      </c>
      <c r="O1813" s="3" t="n">
        <f aca="false">LOOKUP(L1813,$AB$3:$AC$123)</f>
        <v>1.081</v>
      </c>
      <c r="P1813" s="3" t="n">
        <f aca="false">(O1813*(N1813/100)*(J1813/1000))*1000</f>
        <v>0.9053375</v>
      </c>
      <c r="Q1813" s="3"/>
      <c r="R1813" s="0" t="n">
        <v>4</v>
      </c>
      <c r="S1813" s="0" t="n">
        <v>6.8</v>
      </c>
      <c r="T1813" s="0" t="n">
        <f aca="false">(S1813/32)*5</f>
        <v>1.0625</v>
      </c>
      <c r="V1813" s="0" t="n">
        <v>18</v>
      </c>
      <c r="W1813" s="0" t="n">
        <v>4</v>
      </c>
      <c r="X1813" s="3" t="n">
        <f aca="false">LOOKUP(V1813,$AB$3:$AC$123)</f>
        <v>1.0722</v>
      </c>
      <c r="Y1813" s="2" t="n">
        <f aca="false">(V1813*((W1813+T1813)/1000)*X1813)/((((W1813+T1813)/1000)*X1813)-((W1813/1000)*0.9982))</f>
        <v>68.0764869313778</v>
      </c>
      <c r="Z1813" s="3" t="n">
        <f aca="false">(X1813*(V1813/100)*((W1813+T1813)/1000))*1000</f>
        <v>0.97704225</v>
      </c>
    </row>
    <row r="1814" customFormat="false" ht="15" hidden="false" customHeight="false" outlineLevel="0" collapsed="false">
      <c r="A1814" s="0" t="s">
        <v>104</v>
      </c>
      <c r="B1814" s="0" t="s">
        <v>105</v>
      </c>
      <c r="C1814" s="0" t="s">
        <v>106</v>
      </c>
      <c r="D1814" s="0" t="s">
        <v>165</v>
      </c>
      <c r="E1814" s="0" t="n">
        <v>38</v>
      </c>
      <c r="F1814" s="0" t="n">
        <v>2</v>
      </c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0" t="n">
        <v>5</v>
      </c>
      <c r="S1814" s="1"/>
      <c r="T1814" s="1"/>
      <c r="U1814" s="1"/>
      <c r="V1814" s="1"/>
      <c r="W1814" s="1"/>
      <c r="X1814" s="1"/>
      <c r="Y1814" s="5"/>
      <c r="Z1814" s="1"/>
    </row>
    <row r="1815" customFormat="false" ht="15" hidden="false" customHeight="false" outlineLevel="0" collapsed="false">
      <c r="A1815" s="0" t="s">
        <v>107</v>
      </c>
      <c r="B1815" s="0" t="s">
        <v>37</v>
      </c>
      <c r="C1815" s="0" t="s">
        <v>106</v>
      </c>
      <c r="D1815" s="0" t="s">
        <v>165</v>
      </c>
      <c r="E1815" s="0" t="n">
        <v>38</v>
      </c>
      <c r="F1815" s="0" t="n">
        <v>0</v>
      </c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0" t="n">
        <v>3</v>
      </c>
      <c r="S1815" s="1"/>
      <c r="T1815" s="1"/>
      <c r="U1815" s="1"/>
      <c r="V1815" s="1"/>
      <c r="W1815" s="1"/>
      <c r="X1815" s="1"/>
      <c r="Y1815" s="5"/>
      <c r="Z1815" s="1"/>
    </row>
    <row r="1816" customFormat="false" ht="15" hidden="false" customHeight="false" outlineLevel="0" collapsed="false">
      <c r="A1816" s="0" t="s">
        <v>108</v>
      </c>
      <c r="B1816" s="0" t="s">
        <v>109</v>
      </c>
      <c r="C1816" s="0" t="s">
        <v>106</v>
      </c>
      <c r="D1816" s="0" t="s">
        <v>165</v>
      </c>
      <c r="E1816" s="0" t="n">
        <v>38</v>
      </c>
      <c r="F1816" s="0" t="n">
        <v>2</v>
      </c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0" t="n">
        <v>7</v>
      </c>
      <c r="S1816" s="1"/>
      <c r="T1816" s="1"/>
      <c r="U1816" s="1"/>
      <c r="V1816" s="1"/>
      <c r="W1816" s="1"/>
      <c r="X1816" s="1"/>
      <c r="Y1816" s="5"/>
      <c r="Z1816" s="1"/>
    </row>
    <row r="1817" customFormat="false" ht="15" hidden="false" customHeight="false" outlineLevel="0" collapsed="false">
      <c r="A1817" s="0" t="s">
        <v>110</v>
      </c>
      <c r="B1817" s="0" t="s">
        <v>111</v>
      </c>
      <c r="C1817" s="0" t="s">
        <v>106</v>
      </c>
      <c r="D1817" s="0" t="s">
        <v>165</v>
      </c>
      <c r="E1817" s="0" t="n">
        <v>38</v>
      </c>
      <c r="F1817" s="0" t="n">
        <v>2</v>
      </c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0" t="n">
        <v>5</v>
      </c>
      <c r="S1817" s="1"/>
      <c r="T1817" s="1"/>
      <c r="U1817" s="1"/>
      <c r="V1817" s="1"/>
      <c r="W1817" s="1"/>
      <c r="X1817" s="1"/>
      <c r="Y1817" s="5"/>
      <c r="Z1817" s="1"/>
    </row>
    <row r="1818" customFormat="false" ht="15" hidden="false" customHeight="false" outlineLevel="0" collapsed="false">
      <c r="A1818" s="0" t="s">
        <v>112</v>
      </c>
      <c r="B1818" s="0" t="s">
        <v>113</v>
      </c>
      <c r="C1818" s="0" t="s">
        <v>106</v>
      </c>
      <c r="D1818" s="0" t="s">
        <v>165</v>
      </c>
      <c r="E1818" s="0" t="n">
        <v>38</v>
      </c>
      <c r="F1818" s="0" t="n">
        <v>2</v>
      </c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0" t="n">
        <v>8</v>
      </c>
      <c r="S1818" s="1"/>
      <c r="T1818" s="1"/>
      <c r="U1818" s="1"/>
      <c r="V1818" s="1"/>
      <c r="W1818" s="1"/>
      <c r="X1818" s="1"/>
      <c r="Y1818" s="5"/>
      <c r="Z1818" s="1"/>
    </row>
    <row r="1819" customFormat="false" ht="15" hidden="false" customHeight="false" outlineLevel="0" collapsed="false">
      <c r="A1819" s="0" t="s">
        <v>114</v>
      </c>
      <c r="B1819" s="0" t="s">
        <v>115</v>
      </c>
      <c r="C1819" s="0" t="s">
        <v>106</v>
      </c>
      <c r="D1819" s="0" t="s">
        <v>165</v>
      </c>
      <c r="E1819" s="0" t="n">
        <v>38</v>
      </c>
      <c r="F1819" s="0" t="n">
        <v>1</v>
      </c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0" t="n">
        <v>6</v>
      </c>
      <c r="S1819" s="1"/>
      <c r="T1819" s="1"/>
      <c r="U1819" s="1"/>
      <c r="V1819" s="1"/>
      <c r="W1819" s="1"/>
      <c r="X1819" s="1"/>
      <c r="Y1819" s="5"/>
      <c r="Z1819" s="1"/>
    </row>
    <row r="1820" customFormat="false" ht="15" hidden="false" customHeight="false" outlineLevel="0" collapsed="false">
      <c r="A1820" s="0" t="s">
        <v>116</v>
      </c>
      <c r="B1820" s="0" t="s">
        <v>117</v>
      </c>
      <c r="C1820" s="0" t="s">
        <v>106</v>
      </c>
      <c r="D1820" s="0" t="s">
        <v>165</v>
      </c>
      <c r="E1820" s="0" t="n">
        <v>38</v>
      </c>
      <c r="F1820" s="0" t="n">
        <v>0</v>
      </c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0" t="n">
        <v>3</v>
      </c>
      <c r="S1820" s="1"/>
      <c r="T1820" s="1"/>
      <c r="U1820" s="1"/>
      <c r="V1820" s="1"/>
      <c r="W1820" s="1"/>
      <c r="X1820" s="1"/>
      <c r="Y1820" s="5"/>
      <c r="Z1820" s="1"/>
    </row>
    <row r="1821" customFormat="false" ht="15" hidden="false" customHeight="false" outlineLevel="0" collapsed="false">
      <c r="A1821" s="0" t="s">
        <v>118</v>
      </c>
      <c r="B1821" s="0" t="s">
        <v>119</v>
      </c>
      <c r="C1821" s="0" t="s">
        <v>106</v>
      </c>
      <c r="D1821" s="0" t="s">
        <v>165</v>
      </c>
      <c r="E1821" s="0" t="n">
        <v>38</v>
      </c>
      <c r="F1821" s="0" t="n">
        <v>2</v>
      </c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0" t="n">
        <v>9</v>
      </c>
      <c r="S1821" s="1"/>
      <c r="T1821" s="1"/>
      <c r="U1821" s="1"/>
      <c r="V1821" s="1"/>
      <c r="W1821" s="1"/>
      <c r="X1821" s="1"/>
      <c r="Y1821" s="5"/>
      <c r="Z1821" s="1"/>
    </row>
    <row r="1822" customFormat="false" ht="15" hidden="false" customHeight="false" outlineLevel="0" collapsed="false">
      <c r="A1822" s="0" t="s">
        <v>120</v>
      </c>
      <c r="B1822" s="0" t="s">
        <v>121</v>
      </c>
      <c r="C1822" s="0" t="s">
        <v>106</v>
      </c>
      <c r="D1822" s="0" t="s">
        <v>165</v>
      </c>
      <c r="E1822" s="0" t="n">
        <v>38</v>
      </c>
      <c r="F1822" s="0" t="n">
        <v>3</v>
      </c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0" t="n">
        <v>8</v>
      </c>
      <c r="S1822" s="1"/>
      <c r="T1822" s="1"/>
      <c r="U1822" s="1"/>
      <c r="V1822" s="1"/>
      <c r="W1822" s="1"/>
      <c r="X1822" s="1"/>
      <c r="Y1822" s="5"/>
      <c r="Z1822" s="1"/>
    </row>
    <row r="1823" customFormat="false" ht="15" hidden="false" customHeight="false" outlineLevel="0" collapsed="false">
      <c r="A1823" s="0" t="s">
        <v>122</v>
      </c>
      <c r="B1823" s="0" t="s">
        <v>123</v>
      </c>
      <c r="C1823" s="0" t="s">
        <v>106</v>
      </c>
      <c r="D1823" s="0" t="s">
        <v>165</v>
      </c>
      <c r="E1823" s="0" t="n">
        <v>38</v>
      </c>
      <c r="F1823" s="0" t="n">
        <v>2</v>
      </c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0" t="n">
        <v>6</v>
      </c>
      <c r="S1823" s="1"/>
      <c r="T1823" s="1"/>
      <c r="U1823" s="1"/>
      <c r="V1823" s="1"/>
      <c r="W1823" s="1"/>
      <c r="X1823" s="1"/>
      <c r="Y1823" s="5"/>
      <c r="Z1823" s="1"/>
    </row>
    <row r="1824" customFormat="false" ht="15" hidden="false" customHeight="false" outlineLevel="0" collapsed="false">
      <c r="A1824" s="0" t="s">
        <v>124</v>
      </c>
      <c r="B1824" s="0" t="s">
        <v>125</v>
      </c>
      <c r="C1824" s="0" t="s">
        <v>106</v>
      </c>
      <c r="D1824" s="0" t="s">
        <v>165</v>
      </c>
      <c r="E1824" s="0" t="n">
        <v>38</v>
      </c>
      <c r="F1824" s="0" t="n">
        <v>1</v>
      </c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0" t="n">
        <v>5</v>
      </c>
      <c r="S1824" s="1"/>
      <c r="T1824" s="1"/>
      <c r="U1824" s="1"/>
      <c r="V1824" s="1"/>
      <c r="W1824" s="1"/>
      <c r="X1824" s="1"/>
      <c r="Y1824" s="5"/>
      <c r="Z1824" s="1"/>
    </row>
    <row r="1825" customFormat="false" ht="15" hidden="false" customHeight="false" outlineLevel="0" collapsed="false">
      <c r="A1825" s="0" t="s">
        <v>126</v>
      </c>
      <c r="B1825" s="0" t="s">
        <v>127</v>
      </c>
      <c r="C1825" s="0" t="s">
        <v>106</v>
      </c>
      <c r="D1825" s="0" t="s">
        <v>165</v>
      </c>
      <c r="E1825" s="0" t="n">
        <v>38</v>
      </c>
      <c r="F1825" s="0" t="n">
        <v>1</v>
      </c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0" t="n">
        <v>5</v>
      </c>
      <c r="S1825" s="1"/>
      <c r="T1825" s="1"/>
      <c r="U1825" s="1"/>
      <c r="V1825" s="1"/>
      <c r="W1825" s="1"/>
      <c r="X1825" s="1"/>
      <c r="Y1825" s="5"/>
      <c r="Z1825" s="1"/>
    </row>
    <row r="1826" customFormat="false" ht="15" hidden="false" customHeight="false" outlineLevel="0" collapsed="false">
      <c r="A1826" s="0" t="s">
        <v>26</v>
      </c>
      <c r="B1826" s="0" t="s">
        <v>27</v>
      </c>
      <c r="C1826" s="0" t="s">
        <v>28</v>
      </c>
      <c r="D1826" s="0" t="s">
        <v>166</v>
      </c>
      <c r="E1826" s="0" t="n">
        <v>39</v>
      </c>
      <c r="F1826" s="0" t="n">
        <v>1</v>
      </c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0" t="n">
        <v>1</v>
      </c>
      <c r="S1826" s="0" t="n">
        <v>3</v>
      </c>
      <c r="T1826" s="0" t="n">
        <f aca="false">(S1826/32)*5</f>
        <v>0.46875</v>
      </c>
      <c r="V1826" s="0" t="n">
        <v>5</v>
      </c>
      <c r="W1826" s="0" t="n">
        <v>4</v>
      </c>
      <c r="X1826" s="3" t="n">
        <f aca="false">LOOKUP(V1826,$AB$3:$AC$123)</f>
        <v>1.0179</v>
      </c>
      <c r="Y1826" s="2" t="n">
        <f aca="false">(V1826*((W1826+T1826)/1000)*X1826)/((((W1826+T1826)/1000)*X1826)-((W1826/1000)*0.9982))</f>
        <v>40.9103096666124</v>
      </c>
      <c r="Z1826" s="3" t="n">
        <f aca="false">(X1826*(V1826/100)*((W1826+T1826)/1000))*1000</f>
        <v>0.22743703125</v>
      </c>
    </row>
    <row r="1827" customFormat="false" ht="15" hidden="false" customHeight="false" outlineLevel="0" collapsed="false">
      <c r="A1827" s="0" t="s">
        <v>32</v>
      </c>
      <c r="B1827" s="0" t="s">
        <v>33</v>
      </c>
      <c r="C1827" s="0" t="s">
        <v>28</v>
      </c>
      <c r="D1827" s="0" t="s">
        <v>166</v>
      </c>
      <c r="E1827" s="0" t="n">
        <v>39</v>
      </c>
      <c r="F1827" s="0" t="n">
        <v>2</v>
      </c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0" t="n">
        <v>2</v>
      </c>
      <c r="S1827" s="0" t="n">
        <v>3.6</v>
      </c>
      <c r="T1827" s="0" t="n">
        <f aca="false">(S1827/32)*5</f>
        <v>0.5625</v>
      </c>
      <c r="V1827" s="0" t="n">
        <v>10</v>
      </c>
      <c r="W1827" s="0" t="n">
        <v>4</v>
      </c>
      <c r="X1827" s="3" t="n">
        <f aca="false">LOOKUP(V1827,$AB$3:$AC$123)</f>
        <v>1.0381</v>
      </c>
      <c r="Y1827" s="2" t="n">
        <f aca="false">(V1827*((W1827+T1827)/1000)*X1827)/((((W1827+T1827)/1000)*X1827)-((W1827/1000)*0.9982))</f>
        <v>63.7005001471022</v>
      </c>
      <c r="Z1827" s="3" t="n">
        <f aca="false">(X1827*(V1827/100)*((W1827+T1827)/1000))*1000</f>
        <v>0.473633125</v>
      </c>
    </row>
    <row r="1828" customFormat="false" ht="15" hidden="false" customHeight="false" outlineLevel="0" collapsed="false">
      <c r="A1828" s="0" t="s">
        <v>34</v>
      </c>
      <c r="B1828" s="0" t="s">
        <v>35</v>
      </c>
      <c r="C1828" s="0" t="s">
        <v>28</v>
      </c>
      <c r="D1828" s="0" t="s">
        <v>166</v>
      </c>
      <c r="E1828" s="0" t="n">
        <v>39</v>
      </c>
      <c r="F1828" s="0" t="n">
        <v>1</v>
      </c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0" t="n">
        <v>3</v>
      </c>
      <c r="S1828" s="0" t="n">
        <v>9.1</v>
      </c>
      <c r="T1828" s="0" t="n">
        <f aca="false">(S1828/32)*5</f>
        <v>1.421875</v>
      </c>
      <c r="V1828" s="0" t="n">
        <v>19</v>
      </c>
      <c r="W1828" s="0" t="n">
        <v>4</v>
      </c>
      <c r="X1828" s="3" t="n">
        <f aca="false">LOOKUP(V1828,$AB$3:$AC$123)</f>
        <v>1.0765</v>
      </c>
      <c r="Y1828" s="2" t="n">
        <f aca="false">(V1828*((W1828+T1828)/1000)*X1828)/((((W1828+T1828)/1000)*X1828)-((W1828/1000)*0.9982))</f>
        <v>60.1439457045938</v>
      </c>
      <c r="Z1828" s="3" t="n">
        <f aca="false">(X1828*(V1828/100)*((W1828+T1828)/1000))*1000</f>
        <v>1.108963203125</v>
      </c>
    </row>
    <row r="1829" customFormat="false" ht="15" hidden="false" customHeight="false" outlineLevel="0" collapsed="false">
      <c r="A1829" s="0" t="s">
        <v>36</v>
      </c>
      <c r="B1829" s="0" t="s">
        <v>37</v>
      </c>
      <c r="C1829" s="0" t="s">
        <v>28</v>
      </c>
      <c r="D1829" s="0" t="s">
        <v>166</v>
      </c>
      <c r="E1829" s="0" t="n">
        <v>39</v>
      </c>
      <c r="F1829" s="0" t="n">
        <v>1</v>
      </c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0" t="n">
        <v>4</v>
      </c>
      <c r="S1829" s="0" t="n">
        <v>6.9</v>
      </c>
      <c r="T1829" s="0" t="n">
        <f aca="false">(S1829/32)*5</f>
        <v>1.078125</v>
      </c>
      <c r="V1829" s="0" t="n">
        <v>16.5</v>
      </c>
      <c r="W1829" s="0" t="n">
        <v>4</v>
      </c>
      <c r="X1829" s="3" t="n">
        <f aca="false">LOOKUP(V1829,$AB$3:$AC$123)</f>
        <v>1.06565</v>
      </c>
      <c r="Y1829" s="2" t="n">
        <f aca="false">(V1829*((W1829+T1829)/1000)*X1829)/((((W1829+T1829)/1000)*X1829)-((W1829/1000)*0.9982))</f>
        <v>62.9375968161961</v>
      </c>
      <c r="Z1829" s="3" t="n">
        <f aca="false">(X1829*(V1829/100)*((W1829+T1829)/1000))*1000</f>
        <v>0.89289814453125</v>
      </c>
    </row>
    <row r="1830" customFormat="false" ht="15" hidden="false" customHeight="false" outlineLevel="0" collapsed="false">
      <c r="A1830" s="0" t="s">
        <v>38</v>
      </c>
      <c r="B1830" s="0" t="s">
        <v>39</v>
      </c>
      <c r="C1830" s="0" t="s">
        <v>28</v>
      </c>
      <c r="D1830" s="0" t="s">
        <v>166</v>
      </c>
      <c r="E1830" s="0" t="n">
        <v>39</v>
      </c>
      <c r="F1830" s="0" t="n">
        <v>0</v>
      </c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0" t="n">
        <v>3</v>
      </c>
      <c r="S1830" s="0" t="n">
        <v>5.9</v>
      </c>
      <c r="T1830" s="0" t="n">
        <f aca="false">(S1830/32)*5</f>
        <v>0.921875</v>
      </c>
      <c r="V1830" s="0" t="n">
        <v>17</v>
      </c>
      <c r="W1830" s="0" t="n">
        <v>4</v>
      </c>
      <c r="X1830" s="3" t="n">
        <f aca="false">LOOKUP(V1830,$AB$3:$AC$123)</f>
        <v>1.0678</v>
      </c>
      <c r="Y1830" s="2" t="n">
        <f aca="false">(V1830*((W1830+T1830)/1000)*X1830)/((((W1830+T1830)/1000)*X1830)-((W1830/1000)*0.9982))</f>
        <v>70.7525941067439</v>
      </c>
      <c r="Z1830" s="3" t="n">
        <f aca="false">(X1830*(V1830/100)*((W1830+T1830)/1000))*1000</f>
        <v>0.89344828125</v>
      </c>
    </row>
    <row r="1831" customFormat="false" ht="15" hidden="false" customHeight="false" outlineLevel="0" collapsed="false">
      <c r="A1831" s="0" t="s">
        <v>40</v>
      </c>
      <c r="B1831" s="0" t="s">
        <v>41</v>
      </c>
      <c r="C1831" s="0" t="s">
        <v>28</v>
      </c>
      <c r="D1831" s="0" t="s">
        <v>166</v>
      </c>
      <c r="E1831" s="0" t="n">
        <v>39</v>
      </c>
      <c r="F1831" s="0" t="n">
        <v>0</v>
      </c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0" t="n">
        <v>0</v>
      </c>
      <c r="S1831" s="0" t="n">
        <v>0</v>
      </c>
      <c r="T1831" s="0" t="n">
        <f aca="false">(S1831/32)*5</f>
        <v>0</v>
      </c>
      <c r="V1831" s="0" t="n">
        <v>0</v>
      </c>
      <c r="W1831" s="0" t="n">
        <v>4</v>
      </c>
      <c r="X1831" s="3" t="n">
        <v>0</v>
      </c>
      <c r="Y1831" s="2" t="n">
        <f aca="false">(V1831*((W1831+T1831)/1000)*X1831)/((((W1831+T1831)/1000)*X1831)-((W1831/1000)*0.9982))</f>
        <v>-0</v>
      </c>
      <c r="Z1831" s="3" t="n">
        <f aca="false">(X1831*(V1831/100)*((W1831+T1831)/1000))*1000</f>
        <v>0</v>
      </c>
    </row>
    <row r="1832" customFormat="false" ht="15" hidden="false" customHeight="false" outlineLevel="0" collapsed="false">
      <c r="A1832" s="0" t="s">
        <v>42</v>
      </c>
      <c r="B1832" s="0" t="s">
        <v>43</v>
      </c>
      <c r="C1832" s="0" t="s">
        <v>28</v>
      </c>
      <c r="D1832" s="0" t="s">
        <v>166</v>
      </c>
      <c r="E1832" s="0" t="n">
        <v>39</v>
      </c>
      <c r="F1832" s="0" t="n">
        <v>2</v>
      </c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0" t="n">
        <v>4</v>
      </c>
      <c r="S1832" s="0" t="n">
        <v>13.1</v>
      </c>
      <c r="T1832" s="0" t="n">
        <f aca="false">(S1832/32)*5</f>
        <v>2.046875</v>
      </c>
      <c r="V1832" s="0" t="n">
        <v>27</v>
      </c>
      <c r="W1832" s="0" t="n">
        <v>4</v>
      </c>
      <c r="X1832" s="3" t="n">
        <f aca="false">LOOKUP(V1832,$AB$3:$AC$123)</f>
        <v>1.1128</v>
      </c>
      <c r="Y1832" s="2" t="n">
        <f aca="false">(V1832*((W1832+T1832)/1000)*X1832)/((((W1832+T1832)/1000)*X1832)-((W1832/1000)*0.9982))</f>
        <v>66.400291466607</v>
      </c>
      <c r="Z1832" s="3" t="n">
        <f aca="false">(X1832*(V1832/100)*((W1832+T1832)/1000))*1000</f>
        <v>1.816819875</v>
      </c>
    </row>
    <row r="1833" customFormat="false" ht="15" hidden="false" customHeight="false" outlineLevel="0" collapsed="false">
      <c r="A1833" s="0" t="s">
        <v>44</v>
      </c>
      <c r="B1833" s="0" t="s">
        <v>45</v>
      </c>
      <c r="C1833" s="0" t="s">
        <v>28</v>
      </c>
      <c r="D1833" s="0" t="s">
        <v>166</v>
      </c>
      <c r="E1833" s="0" t="n">
        <v>39</v>
      </c>
      <c r="F1833" s="0" t="n">
        <v>0</v>
      </c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0" t="n">
        <v>1</v>
      </c>
      <c r="S1833" s="0" t="n">
        <v>1.7</v>
      </c>
      <c r="T1833" s="0" t="n">
        <f aca="false">(S1833/32)*5</f>
        <v>0.265625</v>
      </c>
      <c r="V1833" s="0" t="n">
        <v>9</v>
      </c>
      <c r="W1833" s="0" t="n">
        <v>1</v>
      </c>
      <c r="X1833" s="3" t="n">
        <f aca="false">LOOKUP(V1833,$AB$3:$AC$123)</f>
        <v>1.0341</v>
      </c>
      <c r="Y1833" s="2" t="n">
        <f aca="false">(V1833*((W1833+T1833)/1000)*X1833)/((((W1833+T1833)/1000)*X1833)-((W1833/1000)*0.9982))</f>
        <v>37.9256186705438</v>
      </c>
      <c r="Z1833" s="3" t="n">
        <f aca="false">(X1833*(V1833/100)*((W1833+T1833)/1000))*1000</f>
        <v>0.117790453125</v>
      </c>
    </row>
    <row r="1834" customFormat="false" ht="15" hidden="false" customHeight="false" outlineLevel="0" collapsed="false">
      <c r="A1834" s="0" t="s">
        <v>46</v>
      </c>
      <c r="B1834" s="0" t="s">
        <v>47</v>
      </c>
      <c r="C1834" s="0" t="s">
        <v>28</v>
      </c>
      <c r="D1834" s="0" t="s">
        <v>166</v>
      </c>
      <c r="E1834" s="0" t="n">
        <v>39</v>
      </c>
      <c r="F1834" s="0" t="n">
        <v>2</v>
      </c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0" t="n">
        <v>2</v>
      </c>
      <c r="S1834" s="0" t="n">
        <v>4.3</v>
      </c>
      <c r="T1834" s="0" t="n">
        <f aca="false">(S1834/32)*5</f>
        <v>0.671875</v>
      </c>
      <c r="V1834" s="0" t="n">
        <v>7.5</v>
      </c>
      <c r="W1834" s="0" t="n">
        <v>4</v>
      </c>
      <c r="X1834" s="3" t="n">
        <f aca="false">LOOKUP(V1834,$AB$3:$AC$123)</f>
        <v>1.0279</v>
      </c>
      <c r="Y1834" s="2" t="n">
        <f aca="false">(V1834*((W1834+T1834)/1000)*X1834)/((((W1834+T1834)/1000)*X1834)-((W1834/1000)*0.9982))</f>
        <v>44.4968476668295</v>
      </c>
      <c r="Z1834" s="3" t="n">
        <f aca="false">(X1834*(V1834/100)*((W1834+T1834)/1000))*1000</f>
        <v>0.3601665234375</v>
      </c>
    </row>
    <row r="1835" customFormat="false" ht="15" hidden="false" customHeight="false" outlineLevel="0" collapsed="false">
      <c r="A1835" s="0" t="s">
        <v>48</v>
      </c>
      <c r="B1835" s="0" t="s">
        <v>49</v>
      </c>
      <c r="C1835" s="0" t="s">
        <v>28</v>
      </c>
      <c r="D1835" s="0" t="s">
        <v>166</v>
      </c>
      <c r="E1835" s="0" t="n">
        <v>39</v>
      </c>
      <c r="F1835" s="0" t="n">
        <v>1</v>
      </c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0" t="n">
        <v>3</v>
      </c>
      <c r="S1835" s="0" t="n">
        <v>9.8</v>
      </c>
      <c r="T1835" s="0" t="n">
        <f aca="false">(S1835/32)*5</f>
        <v>1.53125</v>
      </c>
      <c r="V1835" s="0" t="n">
        <v>17</v>
      </c>
      <c r="W1835" s="0" t="n">
        <v>4</v>
      </c>
      <c r="X1835" s="3" t="n">
        <f aca="false">LOOKUP(V1835,$AB$3:$AC$123)</f>
        <v>1.0678</v>
      </c>
      <c r="Y1835" s="2" t="n">
        <f aca="false">(V1835*((W1835+T1835)/1000)*X1835)/((((W1835+T1835)/1000)*X1835)-((W1835/1000)*0.9982))</f>
        <v>52.4735869085921</v>
      </c>
      <c r="Z1835" s="3" t="n">
        <f aca="false">(X1835*(V1835/100)*((W1835+T1835)/1000))*1000</f>
        <v>1.0040656875</v>
      </c>
    </row>
    <row r="1836" customFormat="false" ht="15" hidden="false" customHeight="false" outlineLevel="0" collapsed="false">
      <c r="A1836" s="0" t="s">
        <v>50</v>
      </c>
      <c r="B1836" s="0" t="s">
        <v>51</v>
      </c>
      <c r="C1836" s="0" t="s">
        <v>28</v>
      </c>
      <c r="D1836" s="0" t="s">
        <v>166</v>
      </c>
      <c r="E1836" s="0" t="n">
        <v>39</v>
      </c>
      <c r="F1836" s="0" t="n">
        <v>0</v>
      </c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0" t="n">
        <v>1</v>
      </c>
      <c r="S1836" s="0" t="n">
        <v>4</v>
      </c>
      <c r="T1836" s="0" t="n">
        <f aca="false">(S1836/32)*5</f>
        <v>0.625</v>
      </c>
      <c r="V1836" s="0" t="n">
        <v>10.5</v>
      </c>
      <c r="W1836" s="0" t="n">
        <v>4</v>
      </c>
      <c r="X1836" s="3" t="n">
        <f aca="false">LOOKUP(V1836,$AB$3:$AC$123)</f>
        <v>1.0402</v>
      </c>
      <c r="Y1836" s="2" t="n">
        <f aca="false">(V1836*((W1836+T1836)/1000)*X1836)/((((W1836+T1836)/1000)*X1836)-((W1836/1000)*0.9982))</f>
        <v>61.7444919786097</v>
      </c>
      <c r="Z1836" s="3" t="n">
        <f aca="false">(X1836*(V1836/100)*((W1836+T1836)/1000))*1000</f>
        <v>0.505147125</v>
      </c>
    </row>
    <row r="1837" customFormat="false" ht="15" hidden="false" customHeight="false" outlineLevel="0" collapsed="false">
      <c r="A1837" s="0" t="s">
        <v>52</v>
      </c>
      <c r="B1837" s="0" t="s">
        <v>53</v>
      </c>
      <c r="C1837" s="0" t="s">
        <v>28</v>
      </c>
      <c r="D1837" s="0" t="s">
        <v>166</v>
      </c>
      <c r="E1837" s="0" t="n">
        <v>39</v>
      </c>
      <c r="F1837" s="0" t="n">
        <v>0</v>
      </c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0" t="n">
        <v>2</v>
      </c>
      <c r="S1837" s="0" t="n">
        <v>4.9</v>
      </c>
      <c r="T1837" s="0" t="n">
        <f aca="false">(S1837/32)*5</f>
        <v>0.765625</v>
      </c>
      <c r="V1837" s="0" t="n">
        <v>11.5</v>
      </c>
      <c r="W1837" s="0" t="n">
        <v>4</v>
      </c>
      <c r="X1837" s="3" t="n">
        <f aca="false">LOOKUP(V1837,$AB$3:$AC$123)</f>
        <v>1.0444</v>
      </c>
      <c r="Y1837" s="2" t="n">
        <f aca="false">(V1837*((W1837+T1837)/1000)*X1837)/((((W1837+T1837)/1000)*X1837)-((W1837/1000)*0.9982))</f>
        <v>58.1439713790499</v>
      </c>
      <c r="Z1837" s="3" t="n">
        <f aca="false">(X1837*(V1837/100)*((W1837+T1837)/1000))*1000</f>
        <v>0.57238015625</v>
      </c>
    </row>
    <row r="1838" customFormat="false" ht="15" hidden="false" customHeight="false" outlineLevel="0" collapsed="false">
      <c r="A1838" s="0" t="s">
        <v>54</v>
      </c>
      <c r="B1838" s="0" t="s">
        <v>55</v>
      </c>
      <c r="C1838" s="0" t="s">
        <v>56</v>
      </c>
      <c r="D1838" s="0" t="s">
        <v>166</v>
      </c>
      <c r="E1838" s="0" t="n">
        <v>39</v>
      </c>
      <c r="F1838" s="0" t="n">
        <v>0</v>
      </c>
      <c r="G1838" s="1"/>
      <c r="H1838" s="1"/>
      <c r="I1838" s="0" t="n">
        <v>0</v>
      </c>
      <c r="J1838" s="0" t="n">
        <f aca="false">(I1838/32)*5</f>
        <v>0</v>
      </c>
      <c r="L1838" s="0" t="n">
        <v>0</v>
      </c>
      <c r="M1838" s="0" t="n">
        <v>0</v>
      </c>
      <c r="N1838" s="0" t="n">
        <f aca="false">L1838</f>
        <v>0</v>
      </c>
      <c r="O1838" s="3" t="n">
        <v>0</v>
      </c>
      <c r="P1838" s="3" t="n">
        <f aca="false">(O1838*(N1838/100)*(J1838/1000))*1000</f>
        <v>0</v>
      </c>
      <c r="Q1838" s="3"/>
      <c r="R1838" s="1"/>
      <c r="S1838" s="1"/>
      <c r="T1838" s="1"/>
      <c r="U1838" s="1"/>
      <c r="V1838" s="1"/>
      <c r="W1838" s="1"/>
      <c r="X1838" s="1"/>
      <c r="Y1838" s="5"/>
      <c r="Z1838" s="1"/>
    </row>
    <row r="1839" customFormat="false" ht="15" hidden="false" customHeight="false" outlineLevel="0" collapsed="false">
      <c r="A1839" s="0" t="s">
        <v>57</v>
      </c>
      <c r="B1839" s="0" t="s">
        <v>58</v>
      </c>
      <c r="C1839" s="0" t="s">
        <v>56</v>
      </c>
      <c r="D1839" s="0" t="s">
        <v>166</v>
      </c>
      <c r="E1839" s="0" t="n">
        <v>39</v>
      </c>
      <c r="F1839" s="0" t="n">
        <v>2</v>
      </c>
      <c r="G1839" s="1"/>
      <c r="H1839" s="1"/>
      <c r="I1839" s="0" t="n">
        <f aca="false">22.8+23.4+53.2</f>
        <v>99.4</v>
      </c>
      <c r="J1839" s="0" t="n">
        <f aca="false">(I1839/32)*5</f>
        <v>15.53125</v>
      </c>
      <c r="L1839" s="0" t="n">
        <v>21.5</v>
      </c>
      <c r="M1839" s="0" t="n">
        <v>0</v>
      </c>
      <c r="N1839" s="0" t="n">
        <f aca="false">L1839</f>
        <v>21.5</v>
      </c>
      <c r="O1839" s="3" t="n">
        <f aca="false">LOOKUP(L1839,$AB$3:$AC$123)</f>
        <v>1.087675</v>
      </c>
      <c r="P1839" s="3" t="n">
        <f aca="false">(O1839*(N1839/100)*(J1839/1000))*1000</f>
        <v>3.63198475390625</v>
      </c>
      <c r="Q1839" s="3"/>
      <c r="R1839" s="1"/>
      <c r="S1839" s="1"/>
      <c r="T1839" s="1"/>
      <c r="U1839" s="1"/>
      <c r="V1839" s="1"/>
      <c r="W1839" s="1"/>
      <c r="X1839" s="1"/>
      <c r="Y1839" s="5"/>
      <c r="Z1839" s="1"/>
    </row>
    <row r="1840" customFormat="false" ht="15" hidden="false" customHeight="false" outlineLevel="0" collapsed="false">
      <c r="A1840" s="0" t="s">
        <v>59</v>
      </c>
      <c r="B1840" s="0" t="s">
        <v>60</v>
      </c>
      <c r="C1840" s="0" t="s">
        <v>56</v>
      </c>
      <c r="D1840" s="0" t="s">
        <v>166</v>
      </c>
      <c r="E1840" s="0" t="n">
        <v>39</v>
      </c>
      <c r="F1840" s="0" t="n">
        <v>1</v>
      </c>
      <c r="G1840" s="1"/>
      <c r="H1840" s="1"/>
      <c r="I1840" s="0" t="n">
        <f aca="false">30.4+29.5+15</f>
        <v>74.9</v>
      </c>
      <c r="J1840" s="0" t="n">
        <f aca="false">(I1840/32)*5</f>
        <v>11.703125</v>
      </c>
      <c r="L1840" s="0" t="n">
        <v>20</v>
      </c>
      <c r="M1840" s="0" t="n">
        <v>0</v>
      </c>
      <c r="N1840" s="0" t="n">
        <f aca="false">L1840</f>
        <v>20</v>
      </c>
      <c r="O1840" s="3" t="n">
        <f aca="false">LOOKUP(L1840,$AB$3:$AC$123)</f>
        <v>1.081</v>
      </c>
      <c r="P1840" s="3" t="n">
        <f aca="false">(O1840*(N1840/100)*(J1840/1000))*1000</f>
        <v>2.530215625</v>
      </c>
      <c r="Q1840" s="3"/>
      <c r="R1840" s="1"/>
      <c r="S1840" s="1"/>
      <c r="T1840" s="1"/>
      <c r="U1840" s="1"/>
      <c r="V1840" s="1"/>
      <c r="W1840" s="1"/>
      <c r="X1840" s="1"/>
      <c r="Y1840" s="5"/>
      <c r="Z1840" s="1"/>
    </row>
    <row r="1841" customFormat="false" ht="15" hidden="false" customHeight="false" outlineLevel="0" collapsed="false">
      <c r="A1841" s="0" t="s">
        <v>61</v>
      </c>
      <c r="B1841" s="0" t="s">
        <v>62</v>
      </c>
      <c r="C1841" s="0" t="s">
        <v>56</v>
      </c>
      <c r="D1841" s="0" t="s">
        <v>166</v>
      </c>
      <c r="E1841" s="0" t="n">
        <v>39</v>
      </c>
      <c r="F1841" s="0" t="n">
        <v>1</v>
      </c>
      <c r="G1841" s="1"/>
      <c r="H1841" s="1"/>
      <c r="I1841" s="0" t="n">
        <v>38</v>
      </c>
      <c r="J1841" s="0" t="n">
        <f aca="false">(I1841/32)*5</f>
        <v>5.9375</v>
      </c>
      <c r="L1841" s="0" t="n">
        <v>15</v>
      </c>
      <c r="M1841" s="0" t="n">
        <v>0</v>
      </c>
      <c r="N1841" s="0" t="n">
        <f aca="false">L1841</f>
        <v>15</v>
      </c>
      <c r="O1841" s="3" t="n">
        <f aca="false">LOOKUP(L1841,$AB$3:$AC$123)</f>
        <v>1.0592</v>
      </c>
      <c r="P1841" s="3" t="n">
        <f aca="false">(O1841*(N1841/100)*(J1841/1000))*1000</f>
        <v>0.94335</v>
      </c>
      <c r="Q1841" s="3"/>
      <c r="R1841" s="1"/>
      <c r="S1841" s="1"/>
      <c r="T1841" s="1"/>
      <c r="U1841" s="1"/>
      <c r="V1841" s="1"/>
      <c r="W1841" s="1"/>
      <c r="X1841" s="1"/>
      <c r="Y1841" s="5"/>
      <c r="Z1841" s="1"/>
    </row>
    <row r="1842" customFormat="false" ht="15" hidden="false" customHeight="false" outlineLevel="0" collapsed="false">
      <c r="A1842" s="0" t="s">
        <v>63</v>
      </c>
      <c r="B1842" s="0" t="s">
        <v>64</v>
      </c>
      <c r="C1842" s="0" t="s">
        <v>56</v>
      </c>
      <c r="D1842" s="0" t="s">
        <v>166</v>
      </c>
      <c r="E1842" s="0" t="n">
        <v>39</v>
      </c>
      <c r="F1842" s="0" t="n">
        <v>1</v>
      </c>
      <c r="G1842" s="1"/>
      <c r="H1842" s="1"/>
      <c r="I1842" s="0" t="n">
        <f aca="false">25.2+23.8</f>
        <v>49</v>
      </c>
      <c r="J1842" s="0" t="n">
        <f aca="false">(I1842/32)*5</f>
        <v>7.65625</v>
      </c>
      <c r="L1842" s="0" t="n">
        <v>19</v>
      </c>
      <c r="M1842" s="0" t="n">
        <v>0</v>
      </c>
      <c r="N1842" s="0" t="n">
        <f aca="false">L1842</f>
        <v>19</v>
      </c>
      <c r="O1842" s="3" t="n">
        <f aca="false">LOOKUP(L1842,$AB$3:$AC$123)</f>
        <v>1.0765</v>
      </c>
      <c r="P1842" s="3" t="n">
        <f aca="false">(O1842*(N1842/100)*(J1842/1000))*1000</f>
        <v>1.56597109375</v>
      </c>
      <c r="Q1842" s="3"/>
      <c r="R1842" s="1"/>
      <c r="S1842" s="1"/>
      <c r="T1842" s="1"/>
      <c r="U1842" s="1"/>
      <c r="V1842" s="1"/>
      <c r="W1842" s="1"/>
      <c r="X1842" s="1"/>
      <c r="Y1842" s="5"/>
      <c r="Z1842" s="1"/>
    </row>
    <row r="1843" customFormat="false" ht="15" hidden="false" customHeight="false" outlineLevel="0" collapsed="false">
      <c r="A1843" s="0" t="s">
        <v>65</v>
      </c>
      <c r="B1843" s="0" t="s">
        <v>66</v>
      </c>
      <c r="C1843" s="0" t="s">
        <v>56</v>
      </c>
      <c r="D1843" s="0" t="s">
        <v>166</v>
      </c>
      <c r="E1843" s="0" t="n">
        <v>39</v>
      </c>
      <c r="F1843" s="0" t="n">
        <v>1</v>
      </c>
      <c r="G1843" s="1"/>
      <c r="H1843" s="1"/>
      <c r="I1843" s="0" t="n">
        <f aca="false">27.8+22.6</f>
        <v>50.4</v>
      </c>
      <c r="J1843" s="0" t="n">
        <f aca="false">(I1843/32)*5</f>
        <v>7.875</v>
      </c>
      <c r="L1843" s="0" t="n">
        <v>22</v>
      </c>
      <c r="M1843" s="0" t="n">
        <v>0</v>
      </c>
      <c r="N1843" s="0" t="n">
        <f aca="false">L1843</f>
        <v>22</v>
      </c>
      <c r="O1843" s="3" t="n">
        <f aca="false">LOOKUP(L1843,$AB$3:$AC$123)</f>
        <v>1.0899</v>
      </c>
      <c r="P1843" s="3" t="n">
        <f aca="false">(O1843*(N1843/100)*(J1843/1000))*1000</f>
        <v>1.88825175</v>
      </c>
      <c r="Q1843" s="3"/>
      <c r="R1843" s="1"/>
      <c r="S1843" s="1"/>
      <c r="T1843" s="1"/>
      <c r="U1843" s="1"/>
      <c r="V1843" s="1"/>
      <c r="W1843" s="1"/>
      <c r="X1843" s="1"/>
      <c r="Y1843" s="5"/>
      <c r="Z1843" s="1"/>
    </row>
    <row r="1844" customFormat="false" ht="15" hidden="false" customHeight="false" outlineLevel="0" collapsed="false">
      <c r="A1844" s="0" t="s">
        <v>67</v>
      </c>
      <c r="B1844" s="0" t="s">
        <v>68</v>
      </c>
      <c r="C1844" s="0" t="s">
        <v>56</v>
      </c>
      <c r="D1844" s="0" t="s">
        <v>166</v>
      </c>
      <c r="E1844" s="0" t="n">
        <v>39</v>
      </c>
      <c r="F1844" s="0" t="n">
        <v>1</v>
      </c>
      <c r="G1844" s="1"/>
      <c r="H1844" s="1"/>
      <c r="I1844" s="0" t="n">
        <v>21.8</v>
      </c>
      <c r="J1844" s="0" t="n">
        <f aca="false">(I1844/32)*5</f>
        <v>3.40625</v>
      </c>
      <c r="L1844" s="0" t="n">
        <v>20</v>
      </c>
      <c r="M1844" s="0" t="n">
        <v>0</v>
      </c>
      <c r="N1844" s="0" t="n">
        <f aca="false">L1844</f>
        <v>20</v>
      </c>
      <c r="O1844" s="3" t="n">
        <f aca="false">LOOKUP(L1844,$AB$3:$AC$123)</f>
        <v>1.081</v>
      </c>
      <c r="P1844" s="3" t="n">
        <f aca="false">(O1844*(N1844/100)*(J1844/1000))*1000</f>
        <v>0.73643125</v>
      </c>
      <c r="Q1844" s="3"/>
      <c r="R1844" s="1"/>
      <c r="S1844" s="1"/>
      <c r="T1844" s="1"/>
      <c r="U1844" s="1"/>
      <c r="V1844" s="1"/>
      <c r="W1844" s="1"/>
      <c r="X1844" s="1"/>
      <c r="Y1844" s="5"/>
      <c r="Z1844" s="1"/>
    </row>
    <row r="1845" customFormat="false" ht="15" hidden="false" customHeight="false" outlineLevel="0" collapsed="false">
      <c r="A1845" s="0" t="s">
        <v>69</v>
      </c>
      <c r="B1845" s="0" t="s">
        <v>70</v>
      </c>
      <c r="C1845" s="0" t="s">
        <v>56</v>
      </c>
      <c r="D1845" s="0" t="s">
        <v>166</v>
      </c>
      <c r="E1845" s="0" t="n">
        <v>39</v>
      </c>
      <c r="F1845" s="0" t="n">
        <v>3</v>
      </c>
      <c r="G1845" s="1"/>
      <c r="H1845" s="1"/>
      <c r="I1845" s="0" t="n">
        <v>29.5</v>
      </c>
      <c r="J1845" s="0" t="n">
        <f aca="false">(I1845/32)*5</f>
        <v>4.609375</v>
      </c>
      <c r="L1845" s="0" t="n">
        <v>22</v>
      </c>
      <c r="M1845" s="0" t="n">
        <v>0</v>
      </c>
      <c r="N1845" s="0" t="n">
        <f aca="false">L1845</f>
        <v>22</v>
      </c>
      <c r="O1845" s="3" t="n">
        <f aca="false">LOOKUP(L1845,$AB$3:$AC$123)</f>
        <v>1.0899</v>
      </c>
      <c r="P1845" s="3" t="n">
        <f aca="false">(O1845*(N1845/100)*(J1845/1000))*1000</f>
        <v>1.10522671875</v>
      </c>
      <c r="Q1845" s="3"/>
      <c r="R1845" s="1"/>
      <c r="S1845" s="1"/>
      <c r="T1845" s="1"/>
      <c r="U1845" s="1"/>
      <c r="V1845" s="1"/>
      <c r="W1845" s="1"/>
      <c r="X1845" s="1"/>
      <c r="Y1845" s="5"/>
      <c r="Z1845" s="1"/>
    </row>
    <row r="1846" customFormat="false" ht="15" hidden="false" customHeight="false" outlineLevel="0" collapsed="false">
      <c r="A1846" s="0" t="s">
        <v>71</v>
      </c>
      <c r="B1846" s="0" t="s">
        <v>72</v>
      </c>
      <c r="C1846" s="0" t="s">
        <v>56</v>
      </c>
      <c r="D1846" s="0" t="s">
        <v>166</v>
      </c>
      <c r="E1846" s="0" t="n">
        <v>39</v>
      </c>
      <c r="F1846" s="0" t="n">
        <v>0</v>
      </c>
      <c r="G1846" s="1"/>
      <c r="H1846" s="1"/>
      <c r="I1846" s="0" t="n">
        <v>0</v>
      </c>
      <c r="J1846" s="0" t="n">
        <f aca="false">(I1846/32)*5</f>
        <v>0</v>
      </c>
      <c r="L1846" s="0" t="n">
        <v>0</v>
      </c>
      <c r="M1846" s="0" t="n">
        <v>0</v>
      </c>
      <c r="N1846" s="0" t="n">
        <f aca="false">L1846</f>
        <v>0</v>
      </c>
      <c r="O1846" s="3" t="n">
        <v>0</v>
      </c>
      <c r="P1846" s="3" t="n">
        <f aca="false">(O1846*(N1846/100)*(J1846/1000))*1000</f>
        <v>0</v>
      </c>
      <c r="Q1846" s="3"/>
      <c r="R1846" s="1"/>
      <c r="S1846" s="1"/>
      <c r="T1846" s="1"/>
      <c r="U1846" s="1"/>
      <c r="V1846" s="1"/>
      <c r="W1846" s="1"/>
      <c r="X1846" s="1"/>
      <c r="Y1846" s="5"/>
      <c r="Z1846" s="1"/>
    </row>
    <row r="1847" customFormat="false" ht="15" hidden="false" customHeight="false" outlineLevel="0" collapsed="false">
      <c r="A1847" s="0" t="s">
        <v>73</v>
      </c>
      <c r="B1847" s="0" t="s">
        <v>74</v>
      </c>
      <c r="C1847" s="0" t="s">
        <v>56</v>
      </c>
      <c r="D1847" s="0" t="s">
        <v>166</v>
      </c>
      <c r="E1847" s="0" t="n">
        <v>39</v>
      </c>
      <c r="F1847" s="0" t="n">
        <v>3</v>
      </c>
      <c r="G1847" s="1"/>
      <c r="H1847" s="1"/>
      <c r="I1847" s="0" t="n">
        <v>39.1</v>
      </c>
      <c r="J1847" s="0" t="n">
        <f aca="false">(I1847/32)*5</f>
        <v>6.109375</v>
      </c>
      <c r="L1847" s="0" t="n">
        <v>20.5</v>
      </c>
      <c r="M1847" s="0" t="n">
        <v>0</v>
      </c>
      <c r="N1847" s="0" t="n">
        <f aca="false">L1847</f>
        <v>20.5</v>
      </c>
      <c r="O1847" s="3" t="n">
        <f aca="false">LOOKUP(L1847,$AB$3:$AC$123)</f>
        <v>1.083225</v>
      </c>
      <c r="P1847" s="3" t="n">
        <f aca="false">(O1847*(N1847/100)*(J1847/1000))*1000</f>
        <v>1.35665468554688</v>
      </c>
      <c r="Q1847" s="3"/>
      <c r="R1847" s="1"/>
      <c r="S1847" s="1"/>
      <c r="T1847" s="1"/>
      <c r="U1847" s="1"/>
      <c r="V1847" s="1"/>
      <c r="W1847" s="1"/>
      <c r="X1847" s="1"/>
      <c r="Y1847" s="5"/>
      <c r="Z1847" s="1"/>
    </row>
    <row r="1848" customFormat="false" ht="15" hidden="false" customHeight="false" outlineLevel="0" collapsed="false">
      <c r="A1848" s="0" t="s">
        <v>75</v>
      </c>
      <c r="B1848" s="0" t="s">
        <v>76</v>
      </c>
      <c r="C1848" s="0" t="s">
        <v>56</v>
      </c>
      <c r="D1848" s="0" t="s">
        <v>166</v>
      </c>
      <c r="E1848" s="0" t="n">
        <v>39</v>
      </c>
      <c r="F1848" s="0" t="n">
        <v>0</v>
      </c>
      <c r="G1848" s="1"/>
      <c r="H1848" s="1"/>
      <c r="I1848" s="0" t="n">
        <v>0</v>
      </c>
      <c r="J1848" s="0" t="n">
        <f aca="false">(I1848/32)*5</f>
        <v>0</v>
      </c>
      <c r="L1848" s="0" t="n">
        <v>0</v>
      </c>
      <c r="M1848" s="0" t="n">
        <v>0</v>
      </c>
      <c r="N1848" s="0" t="n">
        <f aca="false">L1848</f>
        <v>0</v>
      </c>
      <c r="O1848" s="3" t="n">
        <v>0</v>
      </c>
      <c r="P1848" s="3" t="n">
        <f aca="false">(O1848*(N1848/100)*(J1848/1000))*1000</f>
        <v>0</v>
      </c>
      <c r="Q1848" s="3"/>
      <c r="R1848" s="1"/>
      <c r="S1848" s="1"/>
      <c r="T1848" s="1"/>
      <c r="U1848" s="1"/>
      <c r="V1848" s="1"/>
      <c r="W1848" s="1"/>
      <c r="X1848" s="1"/>
      <c r="Y1848" s="5"/>
      <c r="Z1848" s="1"/>
    </row>
    <row r="1849" customFormat="false" ht="15" hidden="false" customHeight="false" outlineLevel="0" collapsed="false">
      <c r="A1849" s="0" t="s">
        <v>77</v>
      </c>
      <c r="B1849" s="0" t="s">
        <v>78</v>
      </c>
      <c r="C1849" s="0" t="s">
        <v>56</v>
      </c>
      <c r="D1849" s="0" t="s">
        <v>166</v>
      </c>
      <c r="E1849" s="0" t="n">
        <v>39</v>
      </c>
      <c r="F1849" s="0" t="n">
        <v>0</v>
      </c>
      <c r="G1849" s="1"/>
      <c r="H1849" s="1"/>
      <c r="I1849" s="0" t="n">
        <v>0</v>
      </c>
      <c r="J1849" s="0" t="n">
        <f aca="false">(I1849/32)*5</f>
        <v>0</v>
      </c>
      <c r="L1849" s="0" t="n">
        <v>0</v>
      </c>
      <c r="M1849" s="0" t="n">
        <v>0</v>
      </c>
      <c r="N1849" s="0" t="n">
        <f aca="false">L1849</f>
        <v>0</v>
      </c>
      <c r="O1849" s="3" t="n">
        <v>0</v>
      </c>
      <c r="P1849" s="3" t="n">
        <f aca="false">(O1849*(N1849/100)*(J1849/1000))*1000</f>
        <v>0</v>
      </c>
      <c r="Q1849" s="3"/>
      <c r="R1849" s="1"/>
      <c r="S1849" s="1"/>
      <c r="T1849" s="1"/>
      <c r="U1849" s="1"/>
      <c r="V1849" s="1"/>
      <c r="W1849" s="1"/>
      <c r="X1849" s="1"/>
      <c r="Y1849" s="5"/>
      <c r="Z1849" s="1"/>
    </row>
    <row r="1850" customFormat="false" ht="15" hidden="false" customHeight="false" outlineLevel="0" collapsed="false">
      <c r="A1850" s="0" t="s">
        <v>79</v>
      </c>
      <c r="B1850" s="0" t="s">
        <v>80</v>
      </c>
      <c r="C1850" s="0" t="s">
        <v>81</v>
      </c>
      <c r="D1850" s="0" t="s">
        <v>166</v>
      </c>
      <c r="E1850" s="0" t="n">
        <v>39</v>
      </c>
      <c r="F1850" s="0" t="n">
        <v>1</v>
      </c>
      <c r="G1850" s="1"/>
      <c r="H1850" s="1"/>
      <c r="I1850" s="0" t="n">
        <v>30.3</v>
      </c>
      <c r="J1850" s="0" t="n">
        <f aca="false">(I1850/32)*5</f>
        <v>4.734375</v>
      </c>
      <c r="L1850" s="0" t="n">
        <v>20</v>
      </c>
      <c r="M1850" s="0" t="n">
        <v>0</v>
      </c>
      <c r="N1850" s="0" t="n">
        <f aca="false">L1850</f>
        <v>20</v>
      </c>
      <c r="O1850" s="3" t="n">
        <f aca="false">LOOKUP(L1850,$AB$3:$AC$123)</f>
        <v>1.081</v>
      </c>
      <c r="P1850" s="3" t="n">
        <f aca="false">(O1850*(N1850/100)*(J1850/1000))*1000</f>
        <v>1.023571875</v>
      </c>
      <c r="Q1850" s="3"/>
      <c r="R1850" s="0" t="n">
        <v>3</v>
      </c>
      <c r="S1850" s="0" t="n">
        <v>3.5</v>
      </c>
      <c r="T1850" s="0" t="n">
        <f aca="false">(S1850/32)*5</f>
        <v>0.546875</v>
      </c>
      <c r="V1850" s="0" t="n">
        <v>8</v>
      </c>
      <c r="W1850" s="0" t="n">
        <v>4</v>
      </c>
      <c r="X1850" s="3" t="n">
        <f aca="false">LOOKUP(V1850,$AB$3:$AC$123)</f>
        <v>1.0299</v>
      </c>
      <c r="Y1850" s="2" t="n">
        <f aca="false">(V1850*((W1850+T1850)/1000)*X1850)/((((W1850+T1850)/1000)*X1850)-((W1850/1000)*0.9982))</f>
        <v>54.2915512763322</v>
      </c>
      <c r="Z1850" s="3" t="n">
        <f aca="false">(X1850*(V1850/100)*((W1850+T1850)/1000))*1000</f>
        <v>0.374626125</v>
      </c>
    </row>
    <row r="1851" customFormat="false" ht="15" hidden="false" customHeight="false" outlineLevel="0" collapsed="false">
      <c r="A1851" s="0" t="s">
        <v>82</v>
      </c>
      <c r="B1851" s="0" t="s">
        <v>83</v>
      </c>
      <c r="C1851" s="0" t="s">
        <v>81</v>
      </c>
      <c r="D1851" s="0" t="s">
        <v>166</v>
      </c>
      <c r="E1851" s="0" t="n">
        <v>39</v>
      </c>
      <c r="F1851" s="0" t="n">
        <v>0</v>
      </c>
      <c r="G1851" s="1"/>
      <c r="H1851" s="1"/>
      <c r="I1851" s="0" t="n">
        <v>0</v>
      </c>
      <c r="J1851" s="0" t="n">
        <f aca="false">(I1851/32)*5</f>
        <v>0</v>
      </c>
      <c r="L1851" s="0" t="n">
        <v>0</v>
      </c>
      <c r="M1851" s="0" t="n">
        <v>0</v>
      </c>
      <c r="N1851" s="0" t="n">
        <f aca="false">L1851</f>
        <v>0</v>
      </c>
      <c r="O1851" s="3" t="n">
        <v>0</v>
      </c>
      <c r="P1851" s="3" t="n">
        <f aca="false">(O1851*(N1851/100)*(J1851/1000))*1000</f>
        <v>0</v>
      </c>
      <c r="Q1851" s="3"/>
      <c r="R1851" s="0" t="n">
        <v>3</v>
      </c>
      <c r="S1851" s="0" t="n">
        <v>10</v>
      </c>
      <c r="T1851" s="0" t="n">
        <f aca="false">(S1851/32)*5</f>
        <v>1.5625</v>
      </c>
      <c r="V1851" s="0" t="n">
        <v>16.5</v>
      </c>
      <c r="W1851" s="0" t="n">
        <v>4</v>
      </c>
      <c r="X1851" s="3" t="n">
        <f aca="false">LOOKUP(V1851,$AB$3:$AC$123)</f>
        <v>1.06565</v>
      </c>
      <c r="Y1851" s="2" t="n">
        <f aca="false">(V1851*((W1851+T1851)/1000)*X1851)/((((W1851+T1851)/1000)*X1851)-((W1851/1000)*0.9982))</f>
        <v>50.5492763594607</v>
      </c>
      <c r="Z1851" s="3" t="n">
        <f aca="false">(X1851*(V1851/100)*((W1851+T1851)/1000))*1000</f>
        <v>0.978066890625</v>
      </c>
    </row>
    <row r="1852" customFormat="false" ht="15" hidden="false" customHeight="false" outlineLevel="0" collapsed="false">
      <c r="A1852" s="0" t="s">
        <v>84</v>
      </c>
      <c r="B1852" s="0" t="s">
        <v>85</v>
      </c>
      <c r="C1852" s="0" t="s">
        <v>81</v>
      </c>
      <c r="D1852" s="0" t="s">
        <v>166</v>
      </c>
      <c r="E1852" s="0" t="n">
        <v>39</v>
      </c>
      <c r="F1852" s="0" t="n">
        <v>0</v>
      </c>
      <c r="G1852" s="1"/>
      <c r="H1852" s="1"/>
      <c r="I1852" s="0" t="n">
        <v>0</v>
      </c>
      <c r="J1852" s="0" t="n">
        <f aca="false">(I1852/32)*5</f>
        <v>0</v>
      </c>
      <c r="L1852" s="0" t="n">
        <v>0</v>
      </c>
      <c r="M1852" s="0" t="n">
        <v>0</v>
      </c>
      <c r="N1852" s="0" t="n">
        <f aca="false">L1852</f>
        <v>0</v>
      </c>
      <c r="O1852" s="3" t="n">
        <v>0</v>
      </c>
      <c r="P1852" s="3" t="n">
        <f aca="false">(O1852*(N1852/100)*(J1852/1000))*1000</f>
        <v>0</v>
      </c>
      <c r="Q1852" s="3"/>
      <c r="R1852" s="0" t="n">
        <v>5</v>
      </c>
      <c r="S1852" s="0" t="n">
        <v>18.6</v>
      </c>
      <c r="T1852" s="0" t="n">
        <f aca="false">(S1852/32)*5</f>
        <v>2.90625</v>
      </c>
      <c r="V1852" s="0" t="n">
        <v>24</v>
      </c>
      <c r="W1852" s="0" t="n">
        <v>4</v>
      </c>
      <c r="X1852" s="3" t="n">
        <f aca="false">LOOKUP(V1852,$AB$3:$AC$123)</f>
        <v>1.099</v>
      </c>
      <c r="Y1852" s="2" t="n">
        <f aca="false">(V1852*((W1852+T1852)/1000)*X1852)/((((W1852+T1852)/1000)*X1852)-((W1852/1000)*0.9982))</f>
        <v>50.6396176159375</v>
      </c>
      <c r="Z1852" s="3" t="n">
        <f aca="false">(X1852*(V1852/100)*((W1852+T1852)/1000))*1000</f>
        <v>1.8215925</v>
      </c>
    </row>
    <row r="1853" customFormat="false" ht="15" hidden="false" customHeight="false" outlineLevel="0" collapsed="false">
      <c r="A1853" s="0" t="s">
        <v>86</v>
      </c>
      <c r="B1853" s="0" t="s">
        <v>87</v>
      </c>
      <c r="C1853" s="0" t="s">
        <v>81</v>
      </c>
      <c r="D1853" s="0" t="s">
        <v>166</v>
      </c>
      <c r="E1853" s="0" t="n">
        <v>39</v>
      </c>
      <c r="F1853" s="0" t="n">
        <v>0</v>
      </c>
      <c r="G1853" s="1"/>
      <c r="H1853" s="1"/>
      <c r="I1853" s="0" t="n">
        <v>0</v>
      </c>
      <c r="J1853" s="0" t="n">
        <f aca="false">(I1853/32)*5</f>
        <v>0</v>
      </c>
      <c r="L1853" s="0" t="n">
        <v>0</v>
      </c>
      <c r="M1853" s="0" t="n">
        <v>0</v>
      </c>
      <c r="N1853" s="0" t="n">
        <f aca="false">L1853</f>
        <v>0</v>
      </c>
      <c r="O1853" s="3" t="n">
        <v>0</v>
      </c>
      <c r="P1853" s="3" t="n">
        <f aca="false">(O1853*(N1853/100)*(J1853/1000))*1000</f>
        <v>0</v>
      </c>
      <c r="Q1853" s="3"/>
      <c r="R1853" s="0" t="n">
        <v>3</v>
      </c>
      <c r="S1853" s="0" t="n">
        <v>6.1</v>
      </c>
      <c r="T1853" s="0" t="n">
        <f aca="false">(S1853/32)*5</f>
        <v>0.953125</v>
      </c>
      <c r="V1853" s="0" t="n">
        <v>15</v>
      </c>
      <c r="W1853" s="0" t="n">
        <v>4</v>
      </c>
      <c r="X1853" s="3" t="n">
        <f aca="false">LOOKUP(V1853,$AB$3:$AC$123)</f>
        <v>1.0592</v>
      </c>
      <c r="Y1853" s="2" t="n">
        <f aca="false">(V1853*((W1853+T1853)/1000)*X1853)/((((W1853+T1853)/1000)*X1853)-((W1853/1000)*0.9982))</f>
        <v>62.7779107335168</v>
      </c>
      <c r="Z1853" s="3" t="n">
        <f aca="false">(X1853*(V1853/100)*((W1853+T1853)/1000))*1000</f>
        <v>0.7869525</v>
      </c>
    </row>
    <row r="1854" customFormat="false" ht="15" hidden="false" customHeight="false" outlineLevel="0" collapsed="false">
      <c r="A1854" s="0" t="s">
        <v>88</v>
      </c>
      <c r="B1854" s="0" t="s">
        <v>89</v>
      </c>
      <c r="C1854" s="0" t="s">
        <v>81</v>
      </c>
      <c r="D1854" s="0" t="s">
        <v>166</v>
      </c>
      <c r="E1854" s="0" t="n">
        <v>39</v>
      </c>
      <c r="F1854" s="0" t="n">
        <v>0</v>
      </c>
      <c r="G1854" s="1"/>
      <c r="H1854" s="1"/>
      <c r="I1854" s="0" t="n">
        <v>0</v>
      </c>
      <c r="J1854" s="0" t="n">
        <f aca="false">(I1854/32)*5</f>
        <v>0</v>
      </c>
      <c r="L1854" s="0" t="n">
        <v>0</v>
      </c>
      <c r="M1854" s="0" t="n">
        <v>0</v>
      </c>
      <c r="N1854" s="0" t="n">
        <f aca="false">L1854</f>
        <v>0</v>
      </c>
      <c r="O1854" s="3" t="n">
        <v>0</v>
      </c>
      <c r="P1854" s="3" t="n">
        <f aca="false">(O1854*(N1854/100)*(J1854/1000))*1000</f>
        <v>0</v>
      </c>
      <c r="Q1854" s="3"/>
      <c r="R1854" s="0" t="n">
        <v>3</v>
      </c>
      <c r="S1854" s="0" t="n">
        <v>6.7</v>
      </c>
      <c r="T1854" s="0" t="n">
        <f aca="false">(S1854/32)*5</f>
        <v>1.046875</v>
      </c>
      <c r="V1854" s="0" t="n">
        <v>18</v>
      </c>
      <c r="W1854" s="0" t="n">
        <v>4</v>
      </c>
      <c r="X1854" s="3" t="n">
        <f aca="false">LOOKUP(V1854,$AB$3:$AC$123)</f>
        <v>1.0722</v>
      </c>
      <c r="Y1854" s="2" t="n">
        <f aca="false">(V1854*((W1854+T1854)/1000)*X1854)/((((W1854+T1854)/1000)*X1854)-((W1854/1000)*0.9982))</f>
        <v>68.6679297741608</v>
      </c>
      <c r="Z1854" s="3" t="n">
        <f aca="false">(X1854*(V1854/100)*((W1854+T1854)/1000))*1000</f>
        <v>0.9740266875</v>
      </c>
    </row>
    <row r="1855" customFormat="false" ht="15" hidden="false" customHeight="false" outlineLevel="0" collapsed="false">
      <c r="A1855" s="0" t="s">
        <v>90</v>
      </c>
      <c r="B1855" s="0" t="s">
        <v>91</v>
      </c>
      <c r="C1855" s="0" t="s">
        <v>81</v>
      </c>
      <c r="D1855" s="0" t="s">
        <v>166</v>
      </c>
      <c r="E1855" s="0" t="n">
        <v>39</v>
      </c>
      <c r="F1855" s="0" t="n">
        <v>1</v>
      </c>
      <c r="G1855" s="1"/>
      <c r="H1855" s="1"/>
      <c r="I1855" s="0" t="n">
        <f aca="false">22.5+19.5</f>
        <v>42</v>
      </c>
      <c r="J1855" s="0" t="n">
        <f aca="false">(I1855/32)*5</f>
        <v>6.5625</v>
      </c>
      <c r="L1855" s="0" t="n">
        <v>22</v>
      </c>
      <c r="M1855" s="0" t="n">
        <v>0</v>
      </c>
      <c r="N1855" s="0" t="n">
        <f aca="false">L1855</f>
        <v>22</v>
      </c>
      <c r="O1855" s="3" t="n">
        <f aca="false">LOOKUP(L1855,$AB$3:$AC$123)</f>
        <v>1.0899</v>
      </c>
      <c r="P1855" s="3" t="n">
        <f aca="false">(O1855*(N1855/100)*(J1855/1000))*1000</f>
        <v>1.573543125</v>
      </c>
      <c r="Q1855" s="3"/>
      <c r="R1855" s="0" t="n">
        <v>1</v>
      </c>
      <c r="S1855" s="0" t="n">
        <v>11.6</v>
      </c>
      <c r="T1855" s="0" t="n">
        <f aca="false">(S1855/32)*5</f>
        <v>1.8125</v>
      </c>
      <c r="V1855" s="0" t="n">
        <v>21</v>
      </c>
      <c r="W1855" s="0" t="n">
        <v>4</v>
      </c>
      <c r="X1855" s="3" t="n">
        <f aca="false">LOOKUP(V1855,$AB$3:$AC$123)</f>
        <v>1.08545</v>
      </c>
      <c r="Y1855" s="2" t="n">
        <f aca="false">(V1855*((W1855+T1855)/1000)*X1855)/((((W1855+T1855)/1000)*X1855)-((W1855/1000)*0.9982))</f>
        <v>57.1982351219104</v>
      </c>
      <c r="Z1855" s="3" t="n">
        <f aca="false">(X1855*(V1855/100)*((W1855+T1855)/1000))*1000</f>
        <v>1.32492740625</v>
      </c>
    </row>
    <row r="1856" customFormat="false" ht="15" hidden="false" customHeight="false" outlineLevel="0" collapsed="false">
      <c r="A1856" s="0" t="s">
        <v>92</v>
      </c>
      <c r="B1856" s="0" t="s">
        <v>93</v>
      </c>
      <c r="C1856" s="0" t="s">
        <v>81</v>
      </c>
      <c r="D1856" s="0" t="s">
        <v>166</v>
      </c>
      <c r="E1856" s="0" t="n">
        <v>39</v>
      </c>
      <c r="F1856" s="0" t="n">
        <v>0</v>
      </c>
      <c r="G1856" s="1"/>
      <c r="H1856" s="1"/>
      <c r="I1856" s="0" t="n">
        <v>0</v>
      </c>
      <c r="J1856" s="0" t="n">
        <f aca="false">(I1856/32)*5</f>
        <v>0</v>
      </c>
      <c r="L1856" s="0" t="n">
        <v>0</v>
      </c>
      <c r="M1856" s="0" t="n">
        <v>0</v>
      </c>
      <c r="N1856" s="0" t="n">
        <f aca="false">L1856</f>
        <v>0</v>
      </c>
      <c r="O1856" s="3" t="n">
        <v>0</v>
      </c>
      <c r="P1856" s="3" t="n">
        <f aca="false">(O1856*(N1856/100)*(J1856/1000))*1000</f>
        <v>0</v>
      </c>
      <c r="Q1856" s="3"/>
      <c r="R1856" s="0" t="n">
        <v>2</v>
      </c>
      <c r="S1856" s="0" t="n">
        <v>2.2</v>
      </c>
      <c r="T1856" s="0" t="n">
        <f aca="false">(S1856/32)*5</f>
        <v>0.34375</v>
      </c>
      <c r="V1856" s="0" t="n">
        <v>4.5</v>
      </c>
      <c r="W1856" s="0" t="n">
        <v>4</v>
      </c>
      <c r="X1856" s="3" t="n">
        <f aca="false">LOOKUP(V1856,$AB$3:$AC$123)</f>
        <v>1.0159</v>
      </c>
      <c r="Y1856" s="2" t="n">
        <f aca="false">(V1856*((W1856+T1856)/1000)*X1856)/((((W1856+T1856)/1000)*X1856)-((W1856/1000)*0.9982))</f>
        <v>47.2784085413489</v>
      </c>
      <c r="Z1856" s="3" t="n">
        <f aca="false">(X1856*(V1856/100)*((W1856+T1856)/1000))*1000</f>
        <v>0.198576703125</v>
      </c>
    </row>
    <row r="1857" customFormat="false" ht="15" hidden="false" customHeight="false" outlineLevel="0" collapsed="false">
      <c r="A1857" s="0" t="s">
        <v>94</v>
      </c>
      <c r="B1857" s="0" t="s">
        <v>95</v>
      </c>
      <c r="C1857" s="0" t="s">
        <v>81</v>
      </c>
      <c r="D1857" s="0" t="s">
        <v>166</v>
      </c>
      <c r="E1857" s="0" t="n">
        <v>39</v>
      </c>
      <c r="F1857" s="0" t="n">
        <v>2</v>
      </c>
      <c r="G1857" s="1"/>
      <c r="H1857" s="1"/>
      <c r="I1857" s="0" t="n">
        <f aca="false">25.1+29.1</f>
        <v>54.2</v>
      </c>
      <c r="J1857" s="0" t="n">
        <f aca="false">(I1857/32)*5</f>
        <v>8.46875</v>
      </c>
      <c r="L1857" s="0" t="n">
        <v>19</v>
      </c>
      <c r="M1857" s="0" t="n">
        <v>0</v>
      </c>
      <c r="N1857" s="0" t="n">
        <f aca="false">L1857</f>
        <v>19</v>
      </c>
      <c r="O1857" s="3" t="n">
        <f aca="false">LOOKUP(L1857,$AB$3:$AC$123)</f>
        <v>1.0765</v>
      </c>
      <c r="P1857" s="3" t="n">
        <f aca="false">(O1857*(N1857/100)*(J1857/1000))*1000</f>
        <v>1.73215578125</v>
      </c>
      <c r="Q1857" s="3"/>
      <c r="R1857" s="0" t="n">
        <v>6</v>
      </c>
      <c r="S1857" s="0" t="n">
        <v>14.3</v>
      </c>
      <c r="T1857" s="0" t="n">
        <f aca="false">(S1857/32)*5</f>
        <v>2.234375</v>
      </c>
      <c r="V1857" s="0" t="n">
        <v>28.5</v>
      </c>
      <c r="W1857" s="0" t="n">
        <v>4</v>
      </c>
      <c r="X1857" s="3" t="n">
        <f aca="false">LOOKUP(V1857,$AB$3:$AC$123)</f>
        <v>1.119875</v>
      </c>
      <c r="Y1857" s="2" t="n">
        <f aca="false">(V1857*((W1857+T1857)/1000)*X1857)/((((W1857+T1857)/1000)*X1857)-((W1857/1000)*0.9982))</f>
        <v>66.5722044184794</v>
      </c>
      <c r="Z1857" s="3" t="n">
        <f aca="false">(X1857*(V1857/100)*((W1857+T1857)/1000))*1000</f>
        <v>1.98979040039062</v>
      </c>
    </row>
    <row r="1858" customFormat="false" ht="15" hidden="false" customHeight="false" outlineLevel="0" collapsed="false">
      <c r="A1858" s="0" t="s">
        <v>96</v>
      </c>
      <c r="B1858" s="0" t="s">
        <v>97</v>
      </c>
      <c r="C1858" s="0" t="s">
        <v>81</v>
      </c>
      <c r="D1858" s="0" t="s">
        <v>166</v>
      </c>
      <c r="E1858" s="0" t="n">
        <v>39</v>
      </c>
      <c r="F1858" s="0" t="n">
        <v>1</v>
      </c>
      <c r="G1858" s="1"/>
      <c r="H1858" s="1"/>
      <c r="I1858" s="0" t="n">
        <f aca="false">14.4+16.1</f>
        <v>30.5</v>
      </c>
      <c r="J1858" s="0" t="n">
        <f aca="false">(I1858/32)*5</f>
        <v>4.765625</v>
      </c>
      <c r="L1858" s="0" t="n">
        <v>16</v>
      </c>
      <c r="M1858" s="0" t="n">
        <v>0</v>
      </c>
      <c r="N1858" s="0" t="n">
        <f aca="false">L1858</f>
        <v>16</v>
      </c>
      <c r="O1858" s="3" t="n">
        <f aca="false">LOOKUP(L1858,$AB$3:$AC$123)</f>
        <v>1.0635</v>
      </c>
      <c r="P1858" s="3" t="n">
        <f aca="false">(O1858*(N1858/100)*(J1858/1000))*1000</f>
        <v>0.81091875</v>
      </c>
      <c r="Q1858" s="3"/>
      <c r="R1858" s="0" t="n">
        <v>4</v>
      </c>
      <c r="S1858" s="0" t="n">
        <v>6.5</v>
      </c>
      <c r="T1858" s="0" t="n">
        <f aca="false">(S1858/32)*5</f>
        <v>1.015625</v>
      </c>
      <c r="V1858" s="0" t="n">
        <v>18</v>
      </c>
      <c r="W1858" s="0" t="n">
        <v>4</v>
      </c>
      <c r="X1858" s="3" t="n">
        <f aca="false">LOOKUP(V1858,$AB$3:$AC$123)</f>
        <v>1.0722</v>
      </c>
      <c r="Y1858" s="2" t="n">
        <f aca="false">(V1858*((W1858+T1858)/1000)*X1858)/((((W1858+T1858)/1000)*X1858)-((W1858/1000)*0.9982))</f>
        <v>69.8937418910839</v>
      </c>
      <c r="Z1858" s="3" t="n">
        <f aca="false">(X1858*(V1858/100)*((W1858+T1858)/1000))*1000</f>
        <v>0.9679955625</v>
      </c>
    </row>
    <row r="1859" customFormat="false" ht="15" hidden="false" customHeight="false" outlineLevel="0" collapsed="false">
      <c r="A1859" s="0" t="s">
        <v>98</v>
      </c>
      <c r="B1859" s="0" t="s">
        <v>99</v>
      </c>
      <c r="C1859" s="0" t="s">
        <v>81</v>
      </c>
      <c r="D1859" s="0" t="s">
        <v>166</v>
      </c>
      <c r="E1859" s="0" t="n">
        <v>39</v>
      </c>
      <c r="F1859" s="0" t="n">
        <v>0</v>
      </c>
      <c r="G1859" s="1"/>
      <c r="H1859" s="1"/>
      <c r="I1859" s="0" t="n">
        <v>0</v>
      </c>
      <c r="J1859" s="0" t="n">
        <f aca="false">(I1859/32)*5</f>
        <v>0</v>
      </c>
      <c r="L1859" s="0" t="n">
        <v>0</v>
      </c>
      <c r="M1859" s="0" t="n">
        <v>0</v>
      </c>
      <c r="N1859" s="0" t="n">
        <f aca="false">L1859</f>
        <v>0</v>
      </c>
      <c r="O1859" s="3" t="n">
        <v>0</v>
      </c>
      <c r="P1859" s="3" t="n">
        <f aca="false">(O1859*(N1859/100)*(J1859/1000))*1000</f>
        <v>0</v>
      </c>
      <c r="Q1859" s="3"/>
      <c r="R1859" s="0" t="n">
        <v>3</v>
      </c>
      <c r="S1859" s="0" t="n">
        <v>4.2</v>
      </c>
      <c r="T1859" s="0" t="n">
        <f aca="false">(S1859/32)*5</f>
        <v>0.65625</v>
      </c>
      <c r="V1859" s="0" t="n">
        <v>10</v>
      </c>
      <c r="W1859" s="0" t="n">
        <v>4</v>
      </c>
      <c r="X1859" s="3" t="n">
        <f aca="false">LOOKUP(V1859,$AB$3:$AC$123)</f>
        <v>1.0381</v>
      </c>
      <c r="Y1859" s="2" t="n">
        <f aca="false">(V1859*((W1859+T1859)/1000)*X1859)/((((W1859+T1859)/1000)*X1859)-((W1859/1000)*0.9982))</f>
        <v>57.4851062722757</v>
      </c>
      <c r="Z1859" s="3" t="n">
        <f aca="false">(X1859*(V1859/100)*((W1859+T1859)/1000))*1000</f>
        <v>0.4833653125</v>
      </c>
    </row>
    <row r="1860" customFormat="false" ht="15" hidden="false" customHeight="false" outlineLevel="0" collapsed="false">
      <c r="A1860" s="0" t="s">
        <v>100</v>
      </c>
      <c r="B1860" s="0" t="s">
        <v>101</v>
      </c>
      <c r="C1860" s="0" t="s">
        <v>81</v>
      </c>
      <c r="D1860" s="0" t="s">
        <v>166</v>
      </c>
      <c r="E1860" s="0" t="n">
        <v>39</v>
      </c>
      <c r="F1860" s="0" t="n">
        <v>2</v>
      </c>
      <c r="G1860" s="1"/>
      <c r="H1860" s="1"/>
      <c r="I1860" s="0" t="n">
        <f aca="false">31+26.5+13.5</f>
        <v>71</v>
      </c>
      <c r="J1860" s="0" t="n">
        <f aca="false">(I1860/32)*5</f>
        <v>11.09375</v>
      </c>
      <c r="L1860" s="0" t="n">
        <v>17.5</v>
      </c>
      <c r="M1860" s="0" t="n">
        <v>0</v>
      </c>
      <c r="N1860" s="0" t="n">
        <f aca="false">L1860</f>
        <v>17.5</v>
      </c>
      <c r="O1860" s="3" t="n">
        <f aca="false">LOOKUP(L1860,$AB$3:$AC$123)</f>
        <v>1.07</v>
      </c>
      <c r="P1860" s="3" t="n">
        <f aca="false">(O1860*(N1860/100)*(J1860/1000))*1000</f>
        <v>2.0773046875</v>
      </c>
      <c r="Q1860" s="3"/>
      <c r="R1860" s="0" t="n">
        <v>3</v>
      </c>
      <c r="S1860" s="0" t="n">
        <v>4.2</v>
      </c>
      <c r="T1860" s="0" t="n">
        <f aca="false">(S1860/32)*5</f>
        <v>0.65625</v>
      </c>
      <c r="V1860" s="0" t="n">
        <v>11</v>
      </c>
      <c r="W1860" s="0" t="n">
        <v>4</v>
      </c>
      <c r="X1860" s="3" t="n">
        <f aca="false">LOOKUP(V1860,$AB$3:$AC$123)</f>
        <v>1.0423</v>
      </c>
      <c r="Y1860" s="2" t="n">
        <f aca="false">(V1860*((W1860+T1860)/1000)*X1860)/((((W1860+T1860)/1000)*X1860)-((W1860/1000)*0.9982))</f>
        <v>62.0463986982941</v>
      </c>
      <c r="Z1860" s="3" t="n">
        <f aca="false">(X1860*(V1860/100)*((W1860+T1860)/1000))*1000</f>
        <v>0.53385303125</v>
      </c>
    </row>
    <row r="1861" customFormat="false" ht="15" hidden="false" customHeight="false" outlineLevel="0" collapsed="false">
      <c r="A1861" s="0" t="s">
        <v>102</v>
      </c>
      <c r="B1861" s="0" t="s">
        <v>103</v>
      </c>
      <c r="C1861" s="0" t="s">
        <v>81</v>
      </c>
      <c r="D1861" s="0" t="s">
        <v>166</v>
      </c>
      <c r="E1861" s="0" t="n">
        <v>39</v>
      </c>
      <c r="F1861" s="0" t="n">
        <v>1</v>
      </c>
      <c r="G1861" s="1"/>
      <c r="H1861" s="1"/>
      <c r="I1861" s="0" t="n">
        <f aca="false">18.4+1.9</f>
        <v>20.3</v>
      </c>
      <c r="J1861" s="0" t="n">
        <f aca="false">(I1861/32)*5</f>
        <v>3.171875</v>
      </c>
      <c r="L1861" s="0" t="n">
        <v>17</v>
      </c>
      <c r="M1861" s="0" t="n">
        <v>0</v>
      </c>
      <c r="N1861" s="0" t="n">
        <f aca="false">L1861</f>
        <v>17</v>
      </c>
      <c r="O1861" s="3" t="n">
        <f aca="false">LOOKUP(L1861,$AB$3:$AC$123)</f>
        <v>1.0678</v>
      </c>
      <c r="P1861" s="3" t="n">
        <f aca="false">(O1861*(N1861/100)*(J1861/1000))*1000</f>
        <v>0.57577778125</v>
      </c>
      <c r="Q1861" s="3"/>
      <c r="R1861" s="0" t="n">
        <v>1</v>
      </c>
      <c r="S1861" s="0" t="n">
        <v>5</v>
      </c>
      <c r="T1861" s="0" t="n">
        <f aca="false">(S1861/32)*5</f>
        <v>0.78125</v>
      </c>
      <c r="V1861" s="0" t="n">
        <v>9</v>
      </c>
      <c r="W1861" s="0" t="n">
        <v>4</v>
      </c>
      <c r="X1861" s="3" t="n">
        <f aca="false">LOOKUP(V1861,$AB$3:$AC$123)</f>
        <v>1.0341</v>
      </c>
      <c r="Y1861" s="2" t="n">
        <f aca="false">(V1861*((W1861+T1861)/1000)*X1861)/((((W1861+T1861)/1000)*X1861)-((W1861/1000)*0.9982))</f>
        <v>46.7672664930356</v>
      </c>
      <c r="Z1861" s="3" t="n">
        <f aca="false">(X1861*(V1861/100)*((W1861+T1861)/1000))*1000</f>
        <v>0.44498615625</v>
      </c>
    </row>
    <row r="1862" customFormat="false" ht="15" hidden="false" customHeight="false" outlineLevel="0" collapsed="false">
      <c r="A1862" s="0" t="s">
        <v>104</v>
      </c>
      <c r="B1862" s="0" t="s">
        <v>105</v>
      </c>
      <c r="C1862" s="0" t="s">
        <v>106</v>
      </c>
      <c r="D1862" s="0" t="s">
        <v>166</v>
      </c>
      <c r="E1862" s="0" t="n">
        <v>39</v>
      </c>
      <c r="F1862" s="0" t="n">
        <v>0</v>
      </c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0" t="n">
        <v>5</v>
      </c>
      <c r="S1862" s="1"/>
      <c r="T1862" s="1"/>
      <c r="U1862" s="1"/>
      <c r="V1862" s="1"/>
      <c r="W1862" s="1"/>
      <c r="X1862" s="1"/>
      <c r="Y1862" s="5"/>
      <c r="Z1862" s="1"/>
    </row>
    <row r="1863" customFormat="false" ht="15" hidden="false" customHeight="false" outlineLevel="0" collapsed="false">
      <c r="A1863" s="0" t="s">
        <v>107</v>
      </c>
      <c r="B1863" s="0" t="s">
        <v>37</v>
      </c>
      <c r="C1863" s="0" t="s">
        <v>106</v>
      </c>
      <c r="D1863" s="0" t="s">
        <v>166</v>
      </c>
      <c r="E1863" s="0" t="n">
        <v>39</v>
      </c>
      <c r="F1863" s="0" t="n">
        <v>0</v>
      </c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0" t="n">
        <v>4</v>
      </c>
      <c r="S1863" s="1"/>
      <c r="T1863" s="1"/>
      <c r="U1863" s="1"/>
      <c r="V1863" s="1"/>
      <c r="W1863" s="1"/>
      <c r="X1863" s="1"/>
      <c r="Y1863" s="5"/>
      <c r="Z1863" s="1"/>
    </row>
    <row r="1864" customFormat="false" ht="15" hidden="false" customHeight="false" outlineLevel="0" collapsed="false">
      <c r="A1864" s="0" t="s">
        <v>108</v>
      </c>
      <c r="B1864" s="0" t="s">
        <v>109</v>
      </c>
      <c r="C1864" s="0" t="s">
        <v>106</v>
      </c>
      <c r="D1864" s="0" t="s">
        <v>166</v>
      </c>
      <c r="E1864" s="0" t="n">
        <v>39</v>
      </c>
      <c r="F1864" s="0" t="n">
        <v>2</v>
      </c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0" t="n">
        <v>7</v>
      </c>
      <c r="S1864" s="1"/>
      <c r="T1864" s="1"/>
      <c r="U1864" s="1"/>
      <c r="V1864" s="1"/>
      <c r="W1864" s="1"/>
      <c r="X1864" s="1"/>
      <c r="Y1864" s="5"/>
      <c r="Z1864" s="1"/>
    </row>
    <row r="1865" customFormat="false" ht="15" hidden="false" customHeight="false" outlineLevel="0" collapsed="false">
      <c r="A1865" s="0" t="s">
        <v>110</v>
      </c>
      <c r="B1865" s="0" t="s">
        <v>111</v>
      </c>
      <c r="C1865" s="0" t="s">
        <v>106</v>
      </c>
      <c r="D1865" s="0" t="s">
        <v>166</v>
      </c>
      <c r="E1865" s="0" t="n">
        <v>39</v>
      </c>
      <c r="F1865" s="0" t="n">
        <v>0</v>
      </c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0" t="n">
        <v>5</v>
      </c>
      <c r="S1865" s="1"/>
      <c r="T1865" s="1"/>
      <c r="U1865" s="1"/>
      <c r="V1865" s="1"/>
      <c r="W1865" s="1"/>
      <c r="X1865" s="1"/>
      <c r="Y1865" s="5"/>
      <c r="Z1865" s="1"/>
    </row>
    <row r="1866" customFormat="false" ht="15" hidden="false" customHeight="false" outlineLevel="0" collapsed="false">
      <c r="A1866" s="0" t="s">
        <v>112</v>
      </c>
      <c r="B1866" s="0" t="s">
        <v>113</v>
      </c>
      <c r="C1866" s="0" t="s">
        <v>106</v>
      </c>
      <c r="D1866" s="0" t="s">
        <v>166</v>
      </c>
      <c r="E1866" s="0" t="n">
        <v>39</v>
      </c>
      <c r="F1866" s="0" t="n">
        <v>1</v>
      </c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0" t="n">
        <v>9</v>
      </c>
      <c r="S1866" s="1"/>
      <c r="T1866" s="1"/>
      <c r="U1866" s="1"/>
      <c r="V1866" s="1"/>
      <c r="W1866" s="1"/>
      <c r="X1866" s="1"/>
      <c r="Y1866" s="5"/>
      <c r="Z1866" s="1"/>
    </row>
    <row r="1867" customFormat="false" ht="15" hidden="false" customHeight="false" outlineLevel="0" collapsed="false">
      <c r="A1867" s="0" t="s">
        <v>114</v>
      </c>
      <c r="B1867" s="0" t="s">
        <v>115</v>
      </c>
      <c r="C1867" s="0" t="s">
        <v>106</v>
      </c>
      <c r="D1867" s="0" t="s">
        <v>166</v>
      </c>
      <c r="E1867" s="0" t="n">
        <v>39</v>
      </c>
      <c r="F1867" s="0" t="n">
        <v>2</v>
      </c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0" t="n">
        <v>6</v>
      </c>
      <c r="S1867" s="1"/>
      <c r="T1867" s="1"/>
      <c r="U1867" s="1"/>
      <c r="V1867" s="1"/>
      <c r="W1867" s="1"/>
      <c r="X1867" s="1"/>
      <c r="Y1867" s="5"/>
      <c r="Z1867" s="1"/>
    </row>
    <row r="1868" customFormat="false" ht="15" hidden="false" customHeight="false" outlineLevel="0" collapsed="false">
      <c r="A1868" s="0" t="s">
        <v>116</v>
      </c>
      <c r="B1868" s="0" t="s">
        <v>117</v>
      </c>
      <c r="C1868" s="0" t="s">
        <v>106</v>
      </c>
      <c r="D1868" s="0" t="s">
        <v>166</v>
      </c>
      <c r="E1868" s="0" t="n">
        <v>39</v>
      </c>
      <c r="F1868" s="0" t="n">
        <v>1</v>
      </c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0" t="n">
        <v>2</v>
      </c>
      <c r="S1868" s="1"/>
      <c r="T1868" s="1"/>
      <c r="U1868" s="1"/>
      <c r="V1868" s="1"/>
      <c r="W1868" s="1"/>
      <c r="X1868" s="1"/>
      <c r="Y1868" s="5"/>
      <c r="Z1868" s="1"/>
    </row>
    <row r="1869" customFormat="false" ht="15" hidden="false" customHeight="false" outlineLevel="0" collapsed="false">
      <c r="A1869" s="0" t="s">
        <v>118</v>
      </c>
      <c r="B1869" s="0" t="s">
        <v>119</v>
      </c>
      <c r="C1869" s="0" t="s">
        <v>106</v>
      </c>
      <c r="D1869" s="0" t="s">
        <v>166</v>
      </c>
      <c r="E1869" s="0" t="n">
        <v>39</v>
      </c>
      <c r="F1869" s="0" t="n">
        <v>1</v>
      </c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0" t="n">
        <v>10</v>
      </c>
      <c r="S1869" s="1"/>
      <c r="T1869" s="1"/>
      <c r="U1869" s="1"/>
      <c r="V1869" s="1"/>
      <c r="W1869" s="1"/>
      <c r="X1869" s="1"/>
      <c r="Y1869" s="5"/>
      <c r="Z1869" s="1"/>
    </row>
    <row r="1870" customFormat="false" ht="15" hidden="false" customHeight="false" outlineLevel="0" collapsed="false">
      <c r="A1870" s="0" t="s">
        <v>120</v>
      </c>
      <c r="B1870" s="0" t="s">
        <v>121</v>
      </c>
      <c r="C1870" s="0" t="s">
        <v>106</v>
      </c>
      <c r="D1870" s="0" t="s">
        <v>166</v>
      </c>
      <c r="E1870" s="0" t="n">
        <v>39</v>
      </c>
      <c r="F1870" s="0" t="n">
        <v>1</v>
      </c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0" t="n">
        <v>7</v>
      </c>
      <c r="S1870" s="1"/>
      <c r="T1870" s="1"/>
      <c r="U1870" s="1"/>
      <c r="V1870" s="1"/>
      <c r="W1870" s="1"/>
      <c r="X1870" s="1"/>
      <c r="Y1870" s="5"/>
      <c r="Z1870" s="1"/>
    </row>
    <row r="1871" customFormat="false" ht="15" hidden="false" customHeight="false" outlineLevel="0" collapsed="false">
      <c r="A1871" s="0" t="s">
        <v>122</v>
      </c>
      <c r="B1871" s="0" t="s">
        <v>123</v>
      </c>
      <c r="C1871" s="0" t="s">
        <v>106</v>
      </c>
      <c r="D1871" s="0" t="s">
        <v>166</v>
      </c>
      <c r="E1871" s="0" t="n">
        <v>39</v>
      </c>
      <c r="F1871" s="0" t="n">
        <v>2</v>
      </c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0" t="n">
        <v>8</v>
      </c>
      <c r="S1871" s="1"/>
      <c r="T1871" s="1"/>
      <c r="U1871" s="1"/>
      <c r="V1871" s="1"/>
      <c r="W1871" s="1"/>
      <c r="X1871" s="1"/>
      <c r="Y1871" s="5"/>
      <c r="Z1871" s="1"/>
    </row>
    <row r="1872" customFormat="false" ht="15" hidden="false" customHeight="false" outlineLevel="0" collapsed="false">
      <c r="A1872" s="0" t="s">
        <v>124</v>
      </c>
      <c r="B1872" s="0" t="s">
        <v>125</v>
      </c>
      <c r="C1872" s="0" t="s">
        <v>106</v>
      </c>
      <c r="D1872" s="0" t="s">
        <v>166</v>
      </c>
      <c r="E1872" s="0" t="n">
        <v>39</v>
      </c>
      <c r="F1872" s="0" t="n">
        <v>0</v>
      </c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0" t="n">
        <v>6</v>
      </c>
      <c r="S1872" s="1"/>
      <c r="T1872" s="1"/>
      <c r="U1872" s="1"/>
      <c r="V1872" s="1"/>
      <c r="W1872" s="1"/>
      <c r="X1872" s="1"/>
      <c r="Y1872" s="5"/>
      <c r="Z1872" s="1"/>
    </row>
    <row r="1873" customFormat="false" ht="15" hidden="false" customHeight="false" outlineLevel="0" collapsed="false">
      <c r="A1873" s="0" t="s">
        <v>126</v>
      </c>
      <c r="B1873" s="0" t="s">
        <v>127</v>
      </c>
      <c r="C1873" s="0" t="s">
        <v>106</v>
      </c>
      <c r="D1873" s="0" t="s">
        <v>166</v>
      </c>
      <c r="E1873" s="0" t="n">
        <v>39</v>
      </c>
      <c r="F1873" s="0" t="n">
        <v>3</v>
      </c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0" t="n">
        <v>8</v>
      </c>
      <c r="S1873" s="1"/>
      <c r="T1873" s="1"/>
      <c r="U1873" s="1"/>
      <c r="V1873" s="1"/>
      <c r="W1873" s="1"/>
      <c r="X1873" s="1"/>
      <c r="Y1873" s="5"/>
      <c r="Z1873" s="1"/>
    </row>
    <row r="1874" customFormat="false" ht="15" hidden="false" customHeight="false" outlineLevel="0" collapsed="false">
      <c r="A1874" s="0" t="s">
        <v>26</v>
      </c>
      <c r="B1874" s="0" t="s">
        <v>27</v>
      </c>
      <c r="C1874" s="0" t="s">
        <v>28</v>
      </c>
      <c r="D1874" s="0" t="s">
        <v>167</v>
      </c>
      <c r="E1874" s="0" t="n">
        <v>40</v>
      </c>
      <c r="F1874" s="0" t="n">
        <v>0</v>
      </c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0" t="n">
        <v>2</v>
      </c>
      <c r="S1874" s="0" t="n">
        <v>12.4</v>
      </c>
      <c r="T1874" s="0" t="n">
        <f aca="false">(S1874/32)*5</f>
        <v>1.9375</v>
      </c>
      <c r="V1874" s="0" t="n">
        <v>16</v>
      </c>
      <c r="W1874" s="0" t="n">
        <v>4</v>
      </c>
      <c r="X1874" s="3" t="n">
        <f aca="false">LOOKUP(V1874,$AB$3:$AC$123)</f>
        <v>1.0635</v>
      </c>
      <c r="Y1874" s="2" t="n">
        <f aca="false">(V1874*((W1874+T1874)/1000)*X1874)/((((W1874+T1874)/1000)*X1874)-((W1874/1000)*0.9982))</f>
        <v>43.5160184883586</v>
      </c>
      <c r="Z1874" s="3" t="n">
        <f aca="false">(X1874*(V1874/100)*((W1874+T1874)/1000))*1000</f>
        <v>1.010325</v>
      </c>
    </row>
    <row r="1875" customFormat="false" ht="15" hidden="false" customHeight="false" outlineLevel="0" collapsed="false">
      <c r="A1875" s="0" t="s">
        <v>32</v>
      </c>
      <c r="B1875" s="0" t="s">
        <v>33</v>
      </c>
      <c r="C1875" s="0" t="s">
        <v>28</v>
      </c>
      <c r="D1875" s="0" t="s">
        <v>167</v>
      </c>
      <c r="E1875" s="0" t="n">
        <v>40</v>
      </c>
      <c r="F1875" s="0" t="n">
        <v>0</v>
      </c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0" t="n">
        <v>2</v>
      </c>
      <c r="S1875" s="0" t="n">
        <v>7.5</v>
      </c>
      <c r="T1875" s="0" t="n">
        <f aca="false">(S1875/32)*5</f>
        <v>1.171875</v>
      </c>
      <c r="V1875" s="0" t="n">
        <v>12</v>
      </c>
      <c r="W1875" s="0" t="n">
        <v>4</v>
      </c>
      <c r="X1875" s="3" t="n">
        <f aca="false">LOOKUP(V1875,$AB$3:$AC$123)</f>
        <v>1.0465</v>
      </c>
      <c r="Y1875" s="2" t="n">
        <f aca="false">(V1875*((W1875+T1875)/1000)*X1875)/((((W1875+T1875)/1000)*X1875)-((W1875/1000)*0.9982))</f>
        <v>45.75225943647</v>
      </c>
      <c r="Z1875" s="3" t="n">
        <f aca="false">(X1875*(V1875/100)*((W1875+T1875)/1000))*1000</f>
        <v>0.6494840625</v>
      </c>
    </row>
    <row r="1876" customFormat="false" ht="15" hidden="false" customHeight="false" outlineLevel="0" collapsed="false">
      <c r="A1876" s="0" t="s">
        <v>34</v>
      </c>
      <c r="B1876" s="0" t="s">
        <v>35</v>
      </c>
      <c r="C1876" s="0" t="s">
        <v>28</v>
      </c>
      <c r="D1876" s="0" t="s">
        <v>167</v>
      </c>
      <c r="E1876" s="0" t="n">
        <v>40</v>
      </c>
      <c r="F1876" s="0" t="n">
        <v>1</v>
      </c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0" t="n">
        <v>3</v>
      </c>
      <c r="S1876" s="0" t="n">
        <v>11.7</v>
      </c>
      <c r="T1876" s="0" t="n">
        <f aca="false">(S1876/32)*5</f>
        <v>1.828125</v>
      </c>
      <c r="V1876" s="0" t="n">
        <v>12</v>
      </c>
      <c r="W1876" s="0" t="n">
        <v>4</v>
      </c>
      <c r="X1876" s="3" t="n">
        <f aca="false">LOOKUP(V1876,$AB$3:$AC$123)</f>
        <v>1.0465</v>
      </c>
      <c r="Y1876" s="2" t="n">
        <f aca="false">(V1876*((W1876+T1876)/1000)*X1876)/((((W1876+T1876)/1000)*X1876)-((W1876/1000)*0.9982))</f>
        <v>34.7474023647438</v>
      </c>
      <c r="Z1876" s="3" t="n">
        <f aca="false">(X1876*(V1876/100)*((W1876+T1876)/1000))*1000</f>
        <v>0.7318959375</v>
      </c>
    </row>
    <row r="1877" customFormat="false" ht="15" hidden="false" customHeight="false" outlineLevel="0" collapsed="false">
      <c r="A1877" s="0" t="s">
        <v>36</v>
      </c>
      <c r="B1877" s="0" t="s">
        <v>37</v>
      </c>
      <c r="C1877" s="0" t="s">
        <v>28</v>
      </c>
      <c r="D1877" s="0" t="s">
        <v>167</v>
      </c>
      <c r="E1877" s="0" t="n">
        <v>40</v>
      </c>
      <c r="F1877" s="0" t="n">
        <v>0</v>
      </c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0" t="n">
        <v>2</v>
      </c>
      <c r="S1877" s="0" t="n">
        <v>12.9</v>
      </c>
      <c r="T1877" s="0" t="n">
        <f aca="false">(S1877/32)*5</f>
        <v>2.015625</v>
      </c>
      <c r="V1877" s="0" t="n">
        <v>17</v>
      </c>
      <c r="W1877" s="0" t="n">
        <v>4</v>
      </c>
      <c r="X1877" s="3" t="n">
        <f aca="false">LOOKUP(V1877,$AB$3:$AC$123)</f>
        <v>1.0678</v>
      </c>
      <c r="Y1877" s="2" t="n">
        <f aca="false">(V1877*((W1877+T1877)/1000)*X1877)/((((W1877+T1877)/1000)*X1877)-((W1877/1000)*0.9982))</f>
        <v>44.9253039588902</v>
      </c>
      <c r="Z1877" s="3" t="n">
        <f aca="false">(X1877*(V1877/100)*((W1877+T1877)/1000))*1000</f>
        <v>1.09199234375</v>
      </c>
    </row>
    <row r="1878" customFormat="false" ht="15" hidden="false" customHeight="false" outlineLevel="0" collapsed="false">
      <c r="A1878" s="0" t="s">
        <v>38</v>
      </c>
      <c r="B1878" s="0" t="s">
        <v>39</v>
      </c>
      <c r="C1878" s="0" t="s">
        <v>28</v>
      </c>
      <c r="D1878" s="0" t="s">
        <v>167</v>
      </c>
      <c r="E1878" s="0" t="n">
        <v>40</v>
      </c>
      <c r="F1878" s="0" t="n">
        <v>2</v>
      </c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0" t="n">
        <v>4</v>
      </c>
      <c r="S1878" s="0" t="n">
        <v>11.4</v>
      </c>
      <c r="T1878" s="0" t="n">
        <f aca="false">(S1878/32)*5</f>
        <v>1.78125</v>
      </c>
      <c r="V1878" s="0" t="n">
        <v>15</v>
      </c>
      <c r="W1878" s="0" t="n">
        <v>4</v>
      </c>
      <c r="X1878" s="3" t="n">
        <f aca="false">LOOKUP(V1878,$AB$3:$AC$123)</f>
        <v>1.0592</v>
      </c>
      <c r="Y1878" s="2" t="n">
        <f aca="false">(V1878*((W1878+T1878)/1000)*X1878)/((((W1878+T1878)/1000)*X1878)-((W1878/1000)*0.9982))</f>
        <v>43.1090721359178</v>
      </c>
      <c r="Z1878" s="3" t="n">
        <f aca="false">(X1878*(V1878/100)*((W1878+T1878)/1000))*1000</f>
        <v>0.918525</v>
      </c>
    </row>
    <row r="1879" customFormat="false" ht="15" hidden="false" customHeight="false" outlineLevel="0" collapsed="false">
      <c r="A1879" s="0" t="s">
        <v>40</v>
      </c>
      <c r="B1879" s="0" t="s">
        <v>41</v>
      </c>
      <c r="C1879" s="0" t="s">
        <v>28</v>
      </c>
      <c r="D1879" s="0" t="s">
        <v>167</v>
      </c>
      <c r="E1879" s="0" t="n">
        <v>40</v>
      </c>
      <c r="F1879" s="0" t="n">
        <v>0</v>
      </c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0" t="n">
        <v>3</v>
      </c>
      <c r="S1879" s="0" t="n">
        <v>8.4</v>
      </c>
      <c r="T1879" s="0" t="n">
        <f aca="false">(S1879/32)*5</f>
        <v>1.3125</v>
      </c>
      <c r="V1879" s="0" t="n">
        <v>8</v>
      </c>
      <c r="W1879" s="0" t="n">
        <v>4</v>
      </c>
      <c r="X1879" s="3" t="n">
        <f aca="false">LOOKUP(V1879,$AB$3:$AC$123)</f>
        <v>1.0299</v>
      </c>
      <c r="Y1879" s="2" t="n">
        <f aca="false">(V1879*((W1879+T1879)/1000)*X1879)/((((W1879+T1879)/1000)*X1879)-((W1879/1000)*0.9982))</f>
        <v>29.6039599775117</v>
      </c>
      <c r="Z1879" s="3" t="n">
        <f aca="false">(X1879*(V1879/100)*((W1879+T1879)/1000))*1000</f>
        <v>0.4377075</v>
      </c>
    </row>
    <row r="1880" customFormat="false" ht="15" hidden="false" customHeight="false" outlineLevel="0" collapsed="false">
      <c r="A1880" s="0" t="s">
        <v>42</v>
      </c>
      <c r="B1880" s="0" t="s">
        <v>43</v>
      </c>
      <c r="C1880" s="0" t="s">
        <v>28</v>
      </c>
      <c r="D1880" s="0" t="s">
        <v>167</v>
      </c>
      <c r="E1880" s="0" t="n">
        <v>40</v>
      </c>
      <c r="F1880" s="0" t="n">
        <v>1</v>
      </c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0" t="n">
        <v>6</v>
      </c>
      <c r="S1880" s="0" t="n">
        <v>6.4</v>
      </c>
      <c r="T1880" s="0" t="n">
        <f aca="false">(S1880/32)*5</f>
        <v>1</v>
      </c>
      <c r="V1880" s="0" t="n">
        <v>11</v>
      </c>
      <c r="W1880" s="0" t="n">
        <v>4</v>
      </c>
      <c r="X1880" s="3" t="n">
        <f aca="false">LOOKUP(V1880,$AB$3:$AC$123)</f>
        <v>1.0423</v>
      </c>
      <c r="Y1880" s="2" t="n">
        <f aca="false">(V1880*((W1880+T1880)/1000)*X1880)/((((W1880+T1880)/1000)*X1880)-((W1880/1000)*0.9982))</f>
        <v>47.0390580126364</v>
      </c>
      <c r="Z1880" s="3" t="n">
        <f aca="false">(X1880*(V1880/100)*((W1880+T1880)/1000))*1000</f>
        <v>0.573265</v>
      </c>
    </row>
    <row r="1881" customFormat="false" ht="15" hidden="false" customHeight="false" outlineLevel="0" collapsed="false">
      <c r="A1881" s="0" t="s">
        <v>44</v>
      </c>
      <c r="B1881" s="0" t="s">
        <v>45</v>
      </c>
      <c r="C1881" s="0" t="s">
        <v>28</v>
      </c>
      <c r="D1881" s="0" t="s">
        <v>167</v>
      </c>
      <c r="E1881" s="0" t="n">
        <v>40</v>
      </c>
      <c r="F1881" s="0" t="n">
        <v>2</v>
      </c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0" t="n">
        <v>5</v>
      </c>
      <c r="S1881" s="0" t="n">
        <v>4.5</v>
      </c>
      <c r="T1881" s="0" t="n">
        <f aca="false">(S1881/32)*5</f>
        <v>0.703125</v>
      </c>
      <c r="V1881" s="0" t="n">
        <v>5</v>
      </c>
      <c r="W1881" s="0" t="n">
        <v>4</v>
      </c>
      <c r="X1881" s="3" t="n">
        <f aca="false">LOOKUP(V1881,$AB$3:$AC$123)</f>
        <v>1.0179</v>
      </c>
      <c r="Y1881" s="2" t="n">
        <f aca="false">(V1881*((W1881+T1881)/1000)*X1881)/((((W1881+T1881)/1000)*X1881)-((W1881/1000)*0.9982))</f>
        <v>30.1274073870129</v>
      </c>
      <c r="Z1881" s="3" t="n">
        <f aca="false">(X1881*(V1881/100)*((W1881+T1881)/1000))*1000</f>
        <v>0.239365546875</v>
      </c>
    </row>
    <row r="1882" customFormat="false" ht="15" hidden="false" customHeight="false" outlineLevel="0" collapsed="false">
      <c r="A1882" s="0" t="s">
        <v>46</v>
      </c>
      <c r="B1882" s="0" t="s">
        <v>47</v>
      </c>
      <c r="C1882" s="0" t="s">
        <v>28</v>
      </c>
      <c r="D1882" s="0" t="s">
        <v>167</v>
      </c>
      <c r="E1882" s="0" t="n">
        <v>40</v>
      </c>
      <c r="F1882" s="0" t="n">
        <v>1</v>
      </c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0" t="n">
        <v>2</v>
      </c>
      <c r="S1882" s="0" t="n">
        <v>2.6</v>
      </c>
      <c r="T1882" s="0" t="n">
        <f aca="false">(S1882/32)*5</f>
        <v>0.40625</v>
      </c>
      <c r="V1882" s="0" t="n">
        <v>1</v>
      </c>
      <c r="W1882" s="0" t="n">
        <v>4</v>
      </c>
      <c r="X1882" s="3" t="n">
        <f aca="false">LOOKUP(V1882,$AB$3:$AC$123)</f>
        <v>1.0021</v>
      </c>
      <c r="Y1882" s="2" t="n">
        <f aca="false">(V1882*((W1882+T1882)/1000)*X1882)/((((W1882+T1882)/1000)*X1882)-((W1882/1000)*0.9982))</f>
        <v>10.4458729161276</v>
      </c>
      <c r="Z1882" s="3" t="n">
        <f aca="false">(X1882*(V1882/100)*((W1882+T1882)/1000))*1000</f>
        <v>0.04415503125</v>
      </c>
    </row>
    <row r="1883" customFormat="false" ht="15" hidden="false" customHeight="false" outlineLevel="0" collapsed="false">
      <c r="A1883" s="0" t="s">
        <v>48</v>
      </c>
      <c r="B1883" s="0" t="s">
        <v>49</v>
      </c>
      <c r="C1883" s="0" t="s">
        <v>28</v>
      </c>
      <c r="D1883" s="0" t="s">
        <v>167</v>
      </c>
      <c r="E1883" s="0" t="n">
        <v>40</v>
      </c>
      <c r="F1883" s="0" t="n">
        <v>1</v>
      </c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0" t="n">
        <v>3</v>
      </c>
      <c r="S1883" s="0" t="n">
        <v>5.7</v>
      </c>
      <c r="T1883" s="0" t="n">
        <f aca="false">(S1883/32)*5</f>
        <v>0.890625</v>
      </c>
      <c r="V1883" s="0" t="n">
        <v>6.5</v>
      </c>
      <c r="W1883" s="0" t="n">
        <v>4</v>
      </c>
      <c r="X1883" s="3" t="n">
        <f aca="false">LOOKUP(V1883,$AB$3:$AC$123)</f>
        <v>1.02385</v>
      </c>
      <c r="Y1883" s="2" t="n">
        <f aca="false">(V1883*((W1883+T1883)/1000)*X1883)/((((W1883+T1883)/1000)*X1883)-((W1883/1000)*0.9982))</f>
        <v>32.083104418348</v>
      </c>
      <c r="Z1883" s="3" t="n">
        <f aca="false">(X1883*(V1883/100)*((W1883+T1883)/1000))*1000</f>
        <v>0.32547231640625</v>
      </c>
    </row>
    <row r="1884" customFormat="false" ht="15" hidden="false" customHeight="false" outlineLevel="0" collapsed="false">
      <c r="A1884" s="0" t="s">
        <v>50</v>
      </c>
      <c r="B1884" s="0" t="s">
        <v>51</v>
      </c>
      <c r="C1884" s="0" t="s">
        <v>28</v>
      </c>
      <c r="D1884" s="0" t="s">
        <v>167</v>
      </c>
      <c r="E1884" s="0" t="n">
        <v>40</v>
      </c>
      <c r="F1884" s="0" t="n">
        <v>2</v>
      </c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0" t="n">
        <v>2</v>
      </c>
      <c r="S1884" s="0" t="n">
        <v>2.9</v>
      </c>
      <c r="T1884" s="0" t="n">
        <f aca="false">(S1884/32)*5</f>
        <v>0.453125</v>
      </c>
      <c r="V1884" s="0" t="n">
        <v>5</v>
      </c>
      <c r="W1884" s="0" t="n">
        <v>4</v>
      </c>
      <c r="X1884" s="3" t="n">
        <f aca="false">LOOKUP(V1884,$AB$3:$AC$123)</f>
        <v>1.0179</v>
      </c>
      <c r="Y1884" s="2" t="n">
        <f aca="false">(V1884*((W1884+T1884)/1000)*X1884)/((((W1884+T1884)/1000)*X1884)-((W1884/1000)*0.9982))</f>
        <v>41.9679101217223</v>
      </c>
      <c r="Z1884" s="3" t="n">
        <f aca="false">(X1884*(V1884/100)*((W1884+T1884)/1000))*1000</f>
        <v>0.226641796875</v>
      </c>
    </row>
    <row r="1885" customFormat="false" ht="15" hidden="false" customHeight="false" outlineLevel="0" collapsed="false">
      <c r="A1885" s="0" t="s">
        <v>52</v>
      </c>
      <c r="B1885" s="0" t="s">
        <v>53</v>
      </c>
      <c r="C1885" s="0" t="s">
        <v>28</v>
      </c>
      <c r="D1885" s="0" t="s">
        <v>167</v>
      </c>
      <c r="E1885" s="0" t="n">
        <v>40</v>
      </c>
      <c r="F1885" s="0" t="n">
        <v>1</v>
      </c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0" t="n">
        <v>2</v>
      </c>
      <c r="S1885" s="0" t="n">
        <v>5.1</v>
      </c>
      <c r="T1885" s="0" t="n">
        <f aca="false">(S1885/32)*5</f>
        <v>0.796875</v>
      </c>
      <c r="V1885" s="0" t="n">
        <v>7.5</v>
      </c>
      <c r="W1885" s="0" t="n">
        <v>4</v>
      </c>
      <c r="X1885" s="3" t="n">
        <f aca="false">LOOKUP(V1885,$AB$3:$AC$123)</f>
        <v>1.0279</v>
      </c>
      <c r="Y1885" s="2" t="n">
        <f aca="false">(V1885*((W1885+T1885)/1000)*X1885)/((((W1885+T1885)/1000)*X1885)-((W1885/1000)*0.9982))</f>
        <v>39.4285110976725</v>
      </c>
      <c r="Z1885" s="3" t="n">
        <f aca="false">(X1885*(V1885/100)*((W1885+T1885)/1000))*1000</f>
        <v>0.3698030859375</v>
      </c>
    </row>
    <row r="1886" customFormat="false" ht="15" hidden="false" customHeight="false" outlineLevel="0" collapsed="false">
      <c r="A1886" s="0" t="s">
        <v>54</v>
      </c>
      <c r="B1886" s="0" t="s">
        <v>55</v>
      </c>
      <c r="C1886" s="0" t="s">
        <v>56</v>
      </c>
      <c r="D1886" s="0" t="s">
        <v>167</v>
      </c>
      <c r="E1886" s="0" t="n">
        <v>40</v>
      </c>
      <c r="F1886" s="0" t="n">
        <v>0</v>
      </c>
      <c r="G1886" s="1"/>
      <c r="H1886" s="1"/>
      <c r="I1886" s="0" t="n">
        <v>0</v>
      </c>
      <c r="J1886" s="0" t="n">
        <f aca="false">(I1886/32)*5</f>
        <v>0</v>
      </c>
      <c r="L1886" s="0" t="n">
        <v>0</v>
      </c>
      <c r="M1886" s="0" t="n">
        <v>0</v>
      </c>
      <c r="N1886" s="2" t="n">
        <v>0</v>
      </c>
      <c r="O1886" s="3" t="n">
        <v>0</v>
      </c>
      <c r="P1886" s="3" t="n">
        <f aca="false">(O1886*(N1886/100)*(J1886/1000))*1000</f>
        <v>0</v>
      </c>
      <c r="Q1886" s="3"/>
      <c r="R1886" s="1"/>
      <c r="S1886" s="1"/>
      <c r="T1886" s="1"/>
      <c r="U1886" s="1"/>
      <c r="V1886" s="1"/>
      <c r="W1886" s="1"/>
      <c r="X1886" s="1"/>
      <c r="Y1886" s="5"/>
      <c r="Z1886" s="1"/>
    </row>
    <row r="1887" customFormat="false" ht="15" hidden="false" customHeight="false" outlineLevel="0" collapsed="false">
      <c r="A1887" s="0" t="s">
        <v>57</v>
      </c>
      <c r="B1887" s="0" t="s">
        <v>58</v>
      </c>
      <c r="C1887" s="0" t="s">
        <v>56</v>
      </c>
      <c r="D1887" s="0" t="s">
        <v>167</v>
      </c>
      <c r="E1887" s="0" t="n">
        <v>40</v>
      </c>
      <c r="F1887" s="0" t="n">
        <v>0</v>
      </c>
      <c r="G1887" s="1"/>
      <c r="H1887" s="1"/>
      <c r="I1887" s="0" t="n">
        <v>0</v>
      </c>
      <c r="J1887" s="0" t="n">
        <f aca="false">(I1887/32)*5</f>
        <v>0</v>
      </c>
      <c r="L1887" s="0" t="n">
        <v>0</v>
      </c>
      <c r="M1887" s="0" t="n">
        <v>0</v>
      </c>
      <c r="N1887" s="2" t="n">
        <v>0</v>
      </c>
      <c r="O1887" s="3" t="n">
        <v>0</v>
      </c>
      <c r="P1887" s="3" t="n">
        <f aca="false">(O1887*(N1887/100)*(J1887/1000))*1000</f>
        <v>0</v>
      </c>
      <c r="Q1887" s="3"/>
      <c r="R1887" s="1"/>
      <c r="S1887" s="1"/>
      <c r="T1887" s="1"/>
      <c r="U1887" s="1"/>
      <c r="V1887" s="1"/>
      <c r="W1887" s="1"/>
      <c r="X1887" s="1"/>
      <c r="Y1887" s="5"/>
      <c r="Z1887" s="1"/>
    </row>
    <row r="1888" customFormat="false" ht="15" hidden="false" customHeight="false" outlineLevel="0" collapsed="false">
      <c r="A1888" s="0" t="s">
        <v>59</v>
      </c>
      <c r="B1888" s="0" t="s">
        <v>60</v>
      </c>
      <c r="C1888" s="0" t="s">
        <v>56</v>
      </c>
      <c r="D1888" s="0" t="s">
        <v>167</v>
      </c>
      <c r="E1888" s="0" t="n">
        <v>40</v>
      </c>
      <c r="F1888" s="0" t="n">
        <v>2</v>
      </c>
      <c r="G1888" s="1"/>
      <c r="H1888" s="1"/>
      <c r="I1888" s="0" t="n">
        <v>46.3</v>
      </c>
      <c r="J1888" s="0" t="n">
        <f aca="false">(I1888/32)*5</f>
        <v>7.234375</v>
      </c>
      <c r="L1888" s="0" t="n">
        <v>11</v>
      </c>
      <c r="M1888" s="0" t="n">
        <v>4</v>
      </c>
      <c r="N1888" s="2" t="n">
        <f aca="false">(L1888*((M1888+J1888)/1000)*O1888)/((((M1888+J1888)/1000)*O1888)-((M1888/1000)*0.9982))</f>
        <v>16.6915900699469</v>
      </c>
      <c r="O1888" s="3" t="n">
        <f aca="false">LOOKUP(L1888,$AB$3:$AC$123)</f>
        <v>1.0423</v>
      </c>
      <c r="P1888" s="3" t="n">
        <f aca="false">(O1888*(N1888/100)*(J1888/1000))*1000</f>
        <v>1.25861083199161</v>
      </c>
      <c r="Q1888" s="3"/>
      <c r="R1888" s="1"/>
      <c r="S1888" s="1"/>
      <c r="T1888" s="1"/>
      <c r="U1888" s="1"/>
      <c r="V1888" s="1"/>
      <c r="W1888" s="1"/>
      <c r="X1888" s="1"/>
      <c r="Y1888" s="5"/>
      <c r="Z1888" s="1"/>
    </row>
    <row r="1889" customFormat="false" ht="15" hidden="false" customHeight="false" outlineLevel="0" collapsed="false">
      <c r="A1889" s="0" t="s">
        <v>61</v>
      </c>
      <c r="B1889" s="0" t="s">
        <v>62</v>
      </c>
      <c r="C1889" s="0" t="s">
        <v>56</v>
      </c>
      <c r="D1889" s="0" t="s">
        <v>167</v>
      </c>
      <c r="E1889" s="0" t="n">
        <v>40</v>
      </c>
      <c r="F1889" s="0" t="n">
        <v>0</v>
      </c>
      <c r="G1889" s="1"/>
      <c r="H1889" s="1"/>
      <c r="I1889" s="0" t="n">
        <v>0</v>
      </c>
      <c r="J1889" s="0" t="n">
        <f aca="false">(I1889/32)*5</f>
        <v>0</v>
      </c>
      <c r="L1889" s="0" t="n">
        <v>0</v>
      </c>
      <c r="M1889" s="0" t="n">
        <v>0</v>
      </c>
      <c r="N1889" s="2" t="n">
        <v>0</v>
      </c>
      <c r="O1889" s="3" t="n">
        <v>0</v>
      </c>
      <c r="P1889" s="3" t="n">
        <f aca="false">(O1889*(N1889/100)*(J1889/1000))*1000</f>
        <v>0</v>
      </c>
      <c r="Q1889" s="3"/>
      <c r="R1889" s="1"/>
      <c r="S1889" s="1"/>
      <c r="T1889" s="1"/>
      <c r="U1889" s="1"/>
      <c r="V1889" s="1"/>
      <c r="W1889" s="1"/>
      <c r="X1889" s="1"/>
      <c r="Y1889" s="5"/>
      <c r="Z1889" s="1"/>
    </row>
    <row r="1890" customFormat="false" ht="15" hidden="false" customHeight="false" outlineLevel="0" collapsed="false">
      <c r="A1890" s="0" t="s">
        <v>63</v>
      </c>
      <c r="B1890" s="0" t="s">
        <v>64</v>
      </c>
      <c r="C1890" s="0" t="s">
        <v>56</v>
      </c>
      <c r="D1890" s="0" t="s">
        <v>167</v>
      </c>
      <c r="E1890" s="0" t="n">
        <v>40</v>
      </c>
      <c r="F1890" s="0" t="n">
        <v>1</v>
      </c>
      <c r="G1890" s="1"/>
      <c r="H1890" s="1"/>
      <c r="I1890" s="0" t="n">
        <v>28.8</v>
      </c>
      <c r="J1890" s="0" t="n">
        <f aca="false">(I1890/32)*5</f>
        <v>4.5</v>
      </c>
      <c r="L1890" s="0" t="n">
        <v>9.5</v>
      </c>
      <c r="M1890" s="0" t="n">
        <v>4</v>
      </c>
      <c r="N1890" s="2" t="n">
        <f aca="false">(L1890*((M1890+J1890)/1000)*O1890)/((((M1890+J1890)/1000)*O1890)-((M1890/1000)*0.9982))</f>
        <v>17.3793531434032</v>
      </c>
      <c r="O1890" s="3" t="n">
        <f aca="false">LOOKUP(L1890,$AB$3:$AC$123)</f>
        <v>1.0361</v>
      </c>
      <c r="P1890" s="3" t="n">
        <f aca="false">(O1890*(N1890/100)*(J1890/1000))*1000</f>
        <v>0.810303650634601</v>
      </c>
      <c r="Q1890" s="3"/>
      <c r="R1890" s="1"/>
      <c r="S1890" s="1"/>
      <c r="T1890" s="1"/>
      <c r="U1890" s="1"/>
      <c r="V1890" s="1"/>
      <c r="W1890" s="1"/>
      <c r="X1890" s="1"/>
      <c r="Y1890" s="5"/>
      <c r="Z1890" s="1"/>
    </row>
    <row r="1891" customFormat="false" ht="15" hidden="false" customHeight="false" outlineLevel="0" collapsed="false">
      <c r="A1891" s="0" t="s">
        <v>65</v>
      </c>
      <c r="B1891" s="0" t="s">
        <v>66</v>
      </c>
      <c r="C1891" s="0" t="s">
        <v>56</v>
      </c>
      <c r="D1891" s="0" t="s">
        <v>167</v>
      </c>
      <c r="E1891" s="0" t="n">
        <v>40</v>
      </c>
      <c r="F1891" s="0" t="n">
        <v>2</v>
      </c>
      <c r="G1891" s="1"/>
      <c r="H1891" s="1"/>
      <c r="I1891" s="0" t="n">
        <f aca="false">32+15.8</f>
        <v>47.8</v>
      </c>
      <c r="J1891" s="0" t="n">
        <f aca="false">(I1891/32)*5</f>
        <v>7.46875</v>
      </c>
      <c r="L1891" s="0" t="n">
        <v>14</v>
      </c>
      <c r="M1891" s="0" t="n">
        <v>4</v>
      </c>
      <c r="N1891" s="2" t="n">
        <f aca="false">(L1891*((M1891+J1891)/1000)*O1891)/((((M1891+J1891)/1000)*O1891)-((M1891/1000)*0.9982))</f>
        <v>20.896381237164</v>
      </c>
      <c r="O1891" s="3" t="n">
        <f aca="false">LOOKUP(L1891,$AB$3:$AC$123)</f>
        <v>1.0549</v>
      </c>
      <c r="P1891" s="3" t="n">
        <f aca="false">(O1891*(N1891/100)*(J1891/1000))*1000</f>
        <v>1.64638081985411</v>
      </c>
      <c r="Q1891" s="3"/>
      <c r="R1891" s="1"/>
      <c r="S1891" s="1"/>
      <c r="T1891" s="1"/>
      <c r="U1891" s="1"/>
      <c r="V1891" s="1"/>
      <c r="W1891" s="1"/>
      <c r="X1891" s="1"/>
      <c r="Y1891" s="5"/>
      <c r="Z1891" s="1"/>
    </row>
    <row r="1892" customFormat="false" ht="15" hidden="false" customHeight="false" outlineLevel="0" collapsed="false">
      <c r="A1892" s="0" t="s">
        <v>67</v>
      </c>
      <c r="B1892" s="0" t="s">
        <v>68</v>
      </c>
      <c r="C1892" s="0" t="s">
        <v>56</v>
      </c>
      <c r="D1892" s="0" t="s">
        <v>167</v>
      </c>
      <c r="E1892" s="0" t="n">
        <v>40</v>
      </c>
      <c r="F1892" s="0" t="n">
        <v>1</v>
      </c>
      <c r="G1892" s="1"/>
      <c r="H1892" s="1"/>
      <c r="I1892" s="0" t="n">
        <v>44.6</v>
      </c>
      <c r="J1892" s="0" t="n">
        <f aca="false">(I1892/32)*5</f>
        <v>6.96875</v>
      </c>
      <c r="L1892" s="0" t="n">
        <v>7</v>
      </c>
      <c r="M1892" s="0" t="n">
        <v>4</v>
      </c>
      <c r="N1892" s="2" t="n">
        <f aca="false">(L1892*((M1892+J1892)/1000)*O1892)/((((M1892+J1892)/1000)*O1892)-((M1892/1000)*0.9982))</f>
        <v>10.8497856201734</v>
      </c>
      <c r="O1892" s="3" t="n">
        <f aca="false">LOOKUP(L1892,$AB$3:$AC$123)</f>
        <v>1.0259</v>
      </c>
      <c r="P1892" s="3" t="n">
        <f aca="false">(O1892*(N1892/100)*(J1892/1000))*1000</f>
        <v>0.775677281282848</v>
      </c>
      <c r="Q1892" s="3"/>
      <c r="R1892" s="1"/>
      <c r="S1892" s="1"/>
      <c r="T1892" s="1"/>
      <c r="U1892" s="1"/>
      <c r="V1892" s="1"/>
      <c r="W1892" s="1"/>
      <c r="X1892" s="1"/>
      <c r="Y1892" s="5"/>
      <c r="Z1892" s="1"/>
    </row>
    <row r="1893" customFormat="false" ht="15" hidden="false" customHeight="false" outlineLevel="0" collapsed="false">
      <c r="A1893" s="0" t="s">
        <v>69</v>
      </c>
      <c r="B1893" s="0" t="s">
        <v>70</v>
      </c>
      <c r="C1893" s="0" t="s">
        <v>56</v>
      </c>
      <c r="D1893" s="0" t="s">
        <v>167</v>
      </c>
      <c r="E1893" s="0" t="n">
        <v>40</v>
      </c>
      <c r="F1893" s="0" t="n">
        <v>0</v>
      </c>
      <c r="G1893" s="1"/>
      <c r="H1893" s="1"/>
      <c r="I1893" s="0" t="n">
        <v>0</v>
      </c>
      <c r="J1893" s="0" t="n">
        <f aca="false">(I1893/32)*5</f>
        <v>0</v>
      </c>
      <c r="L1893" s="0" t="n">
        <v>0</v>
      </c>
      <c r="M1893" s="0" t="n">
        <v>0</v>
      </c>
      <c r="N1893" s="2" t="n">
        <v>0</v>
      </c>
      <c r="O1893" s="3" t="n">
        <v>0</v>
      </c>
      <c r="P1893" s="3" t="n">
        <f aca="false">(O1893*(N1893/100)*(J1893/1000))*1000</f>
        <v>0</v>
      </c>
      <c r="Q1893" s="3"/>
      <c r="R1893" s="1"/>
      <c r="S1893" s="1"/>
      <c r="T1893" s="1"/>
      <c r="U1893" s="1"/>
      <c r="V1893" s="1"/>
      <c r="W1893" s="1"/>
      <c r="X1893" s="1"/>
      <c r="Y1893" s="5"/>
      <c r="Z1893" s="1"/>
    </row>
    <row r="1894" customFormat="false" ht="15" hidden="false" customHeight="false" outlineLevel="0" collapsed="false">
      <c r="A1894" s="0" t="s">
        <v>71</v>
      </c>
      <c r="B1894" s="0" t="s">
        <v>72</v>
      </c>
      <c r="C1894" s="0" t="s">
        <v>56</v>
      </c>
      <c r="D1894" s="0" t="s">
        <v>167</v>
      </c>
      <c r="E1894" s="0" t="n">
        <v>40</v>
      </c>
      <c r="F1894" s="0" t="n">
        <v>0</v>
      </c>
      <c r="G1894" s="1"/>
      <c r="H1894" s="1"/>
      <c r="I1894" s="0" t="n">
        <v>0</v>
      </c>
      <c r="J1894" s="0" t="n">
        <f aca="false">(I1894/32)*5</f>
        <v>0</v>
      </c>
      <c r="L1894" s="0" t="n">
        <v>0</v>
      </c>
      <c r="M1894" s="0" t="n">
        <v>0</v>
      </c>
      <c r="N1894" s="2" t="n">
        <v>0</v>
      </c>
      <c r="O1894" s="3" t="n">
        <v>0</v>
      </c>
      <c r="P1894" s="3" t="n">
        <f aca="false">(O1894*(N1894/100)*(J1894/1000))*1000</f>
        <v>0</v>
      </c>
      <c r="Q1894" s="3"/>
      <c r="R1894" s="1"/>
      <c r="S1894" s="1"/>
      <c r="T1894" s="1"/>
      <c r="U1894" s="1"/>
      <c r="V1894" s="1"/>
      <c r="W1894" s="1"/>
      <c r="X1894" s="1"/>
      <c r="Y1894" s="5"/>
      <c r="Z1894" s="1"/>
    </row>
    <row r="1895" customFormat="false" ht="15" hidden="false" customHeight="false" outlineLevel="0" collapsed="false">
      <c r="A1895" s="0" t="s">
        <v>73</v>
      </c>
      <c r="B1895" s="0" t="s">
        <v>74</v>
      </c>
      <c r="C1895" s="0" t="s">
        <v>56</v>
      </c>
      <c r="D1895" s="0" t="s">
        <v>167</v>
      </c>
      <c r="E1895" s="0" t="n">
        <v>40</v>
      </c>
      <c r="F1895" s="0" t="n">
        <v>1</v>
      </c>
      <c r="G1895" s="1"/>
      <c r="H1895" s="1"/>
      <c r="I1895" s="0" t="n">
        <v>38</v>
      </c>
      <c r="J1895" s="0" t="n">
        <f aca="false">(I1895/32)*5</f>
        <v>5.9375</v>
      </c>
      <c r="L1895" s="0" t="n">
        <v>13.5</v>
      </c>
      <c r="M1895" s="0" t="n">
        <v>4</v>
      </c>
      <c r="N1895" s="2" t="n">
        <f aca="false">(L1895*((M1895+J1895)/1000)*O1895)/((((M1895+J1895)/1000)*O1895)-((M1895/1000)*0.9982))</f>
        <v>21.8319627786193</v>
      </c>
      <c r="O1895" s="3" t="n">
        <f aca="false">LOOKUP(L1895,$AB$3:$AC$123)</f>
        <v>1.0528</v>
      </c>
      <c r="P1895" s="3" t="n">
        <f aca="false">(O1895*(N1895/100)*(J1895/1000))*1000</f>
        <v>1.3647159932915</v>
      </c>
      <c r="Q1895" s="3"/>
      <c r="R1895" s="1"/>
      <c r="S1895" s="1"/>
      <c r="T1895" s="1"/>
      <c r="U1895" s="1"/>
      <c r="V1895" s="1"/>
      <c r="W1895" s="1"/>
      <c r="X1895" s="1"/>
      <c r="Y1895" s="5"/>
      <c r="Z1895" s="1"/>
    </row>
    <row r="1896" customFormat="false" ht="15" hidden="false" customHeight="false" outlineLevel="0" collapsed="false">
      <c r="A1896" s="0" t="s">
        <v>75</v>
      </c>
      <c r="B1896" s="0" t="s">
        <v>76</v>
      </c>
      <c r="C1896" s="0" t="s">
        <v>56</v>
      </c>
      <c r="D1896" s="0" t="s">
        <v>167</v>
      </c>
      <c r="E1896" s="0" t="n">
        <v>40</v>
      </c>
      <c r="F1896" s="0" t="n">
        <v>1</v>
      </c>
      <c r="G1896" s="1"/>
      <c r="H1896" s="1"/>
      <c r="I1896" s="0" t="n">
        <v>62.1</v>
      </c>
      <c r="J1896" s="0" t="n">
        <f aca="false">(I1896/32)*5</f>
        <v>9.703125</v>
      </c>
      <c r="L1896" s="0" t="n">
        <v>16</v>
      </c>
      <c r="M1896" s="0" t="n">
        <v>4</v>
      </c>
      <c r="N1896" s="2" t="n">
        <f aca="false">(L1896*((M1896+J1896)/1000)*O1896)/((((M1896+J1896)/1000)*O1896)-((M1896/1000)*0.9982))</f>
        <v>22.0379906794695</v>
      </c>
      <c r="O1896" s="3" t="n">
        <f aca="false">LOOKUP(L1896,$AB$3:$AC$123)</f>
        <v>1.0635</v>
      </c>
      <c r="P1896" s="3" t="n">
        <f aca="false">(O1896*(N1896/100)*(J1896/1000))*1000</f>
        <v>2.27416051834523</v>
      </c>
      <c r="Q1896" s="3"/>
      <c r="R1896" s="1"/>
      <c r="S1896" s="1"/>
      <c r="T1896" s="1"/>
      <c r="U1896" s="1"/>
      <c r="V1896" s="1"/>
      <c r="W1896" s="1"/>
      <c r="X1896" s="1"/>
      <c r="Y1896" s="5"/>
      <c r="Z1896" s="1"/>
    </row>
    <row r="1897" customFormat="false" ht="15" hidden="false" customHeight="false" outlineLevel="0" collapsed="false">
      <c r="A1897" s="0" t="s">
        <v>77</v>
      </c>
      <c r="B1897" s="0" t="s">
        <v>78</v>
      </c>
      <c r="C1897" s="0" t="s">
        <v>56</v>
      </c>
      <c r="D1897" s="0" t="s">
        <v>167</v>
      </c>
      <c r="E1897" s="0" t="n">
        <v>40</v>
      </c>
      <c r="F1897" s="0" t="n">
        <v>0</v>
      </c>
      <c r="G1897" s="1"/>
      <c r="H1897" s="1"/>
      <c r="I1897" s="0" t="n">
        <v>0</v>
      </c>
      <c r="J1897" s="0" t="n">
        <f aca="false">(I1897/32)*5</f>
        <v>0</v>
      </c>
      <c r="L1897" s="0" t="n">
        <v>0</v>
      </c>
      <c r="M1897" s="0" t="n">
        <v>0</v>
      </c>
      <c r="N1897" s="2" t="n">
        <v>0</v>
      </c>
      <c r="O1897" s="3" t="n">
        <v>0</v>
      </c>
      <c r="P1897" s="3" t="n">
        <f aca="false">(O1897*(N1897/100)*(J1897/1000))*1000</f>
        <v>0</v>
      </c>
      <c r="Q1897" s="3"/>
      <c r="R1897" s="1"/>
      <c r="S1897" s="1"/>
      <c r="T1897" s="1"/>
      <c r="U1897" s="1"/>
      <c r="V1897" s="1"/>
      <c r="W1897" s="1"/>
      <c r="X1897" s="1"/>
      <c r="Y1897" s="5"/>
      <c r="Z1897" s="1"/>
    </row>
    <row r="1898" customFormat="false" ht="15" hidden="false" customHeight="false" outlineLevel="0" collapsed="false">
      <c r="A1898" s="0" t="s">
        <v>79</v>
      </c>
      <c r="B1898" s="0" t="s">
        <v>80</v>
      </c>
      <c r="C1898" s="0" t="s">
        <v>81</v>
      </c>
      <c r="D1898" s="0" t="s">
        <v>167</v>
      </c>
      <c r="E1898" s="0" t="n">
        <v>40</v>
      </c>
      <c r="F1898" s="0" t="n">
        <v>1</v>
      </c>
      <c r="G1898" s="1"/>
      <c r="H1898" s="1"/>
      <c r="I1898" s="0" t="n">
        <v>24.6</v>
      </c>
      <c r="J1898" s="0" t="n">
        <f aca="false">(I1898/32)*5</f>
        <v>3.84375</v>
      </c>
      <c r="L1898" s="0" t="n">
        <v>6</v>
      </c>
      <c r="M1898" s="0" t="n">
        <v>4</v>
      </c>
      <c r="N1898" s="2" t="n">
        <f aca="false">(L1898*((M1898+J1898)/1000)*O1898)/((((M1898+J1898)/1000)*O1898)-((M1898/1000)*0.9982))</f>
        <v>11.9565228877206</v>
      </c>
      <c r="O1898" s="3" t="n">
        <f aca="false">LOOKUP(L1898,$AB$3:$AC$123)</f>
        <v>1.0218</v>
      </c>
      <c r="P1898" s="3" t="n">
        <f aca="false">(O1898*(N1898/100)*(J1898/1000))*1000</f>
        <v>0.469597667393992</v>
      </c>
      <c r="Q1898" s="3"/>
      <c r="R1898" s="0" t="n">
        <v>4</v>
      </c>
      <c r="S1898" s="0" t="n">
        <v>7.9</v>
      </c>
      <c r="T1898" s="0" t="n">
        <f aca="false">(S1898/32)*5</f>
        <v>1.234375</v>
      </c>
      <c r="V1898" s="0" t="n">
        <v>10</v>
      </c>
      <c r="W1898" s="0" t="n">
        <v>4</v>
      </c>
      <c r="X1898" s="3" t="n">
        <f aca="false">LOOKUP(V1898,$AB$3:$AC$123)</f>
        <v>1.0381</v>
      </c>
      <c r="Y1898" s="2" t="n">
        <f aca="false">(V1898*((W1898+T1898)/1000)*X1898)/((((W1898+T1898)/1000)*X1898)-((W1898/1000)*0.9982))</f>
        <v>37.7084456049002</v>
      </c>
      <c r="Z1898" s="3" t="n">
        <f aca="false">(X1898*(V1898/100)*((W1898+T1898)/1000))*1000</f>
        <v>0.54338046875</v>
      </c>
    </row>
    <row r="1899" customFormat="false" ht="15" hidden="false" customHeight="false" outlineLevel="0" collapsed="false">
      <c r="A1899" s="0" t="s">
        <v>82</v>
      </c>
      <c r="B1899" s="0" t="s">
        <v>83</v>
      </c>
      <c r="C1899" s="0" t="s">
        <v>81</v>
      </c>
      <c r="D1899" s="0" t="s">
        <v>167</v>
      </c>
      <c r="E1899" s="0" t="n">
        <v>40</v>
      </c>
      <c r="F1899" s="0" t="n">
        <v>2</v>
      </c>
      <c r="G1899" s="1"/>
      <c r="H1899" s="1"/>
      <c r="I1899" s="0" t="n">
        <v>49.1</v>
      </c>
      <c r="J1899" s="0" t="n">
        <f aca="false">(I1899/32)*5</f>
        <v>7.671875</v>
      </c>
      <c r="L1899" s="0" t="n">
        <v>11</v>
      </c>
      <c r="M1899" s="0" t="n">
        <v>4</v>
      </c>
      <c r="N1899" s="2" t="n">
        <f aca="false">(L1899*((M1899+J1899)/1000)*O1899)/((((M1899+J1899)/1000)*O1899)-((M1899/1000)*0.9982))</f>
        <v>16.37402422557</v>
      </c>
      <c r="O1899" s="3" t="n">
        <f aca="false">LOOKUP(L1899,$AB$3:$AC$123)</f>
        <v>1.0423</v>
      </c>
      <c r="P1899" s="3" t="n">
        <f aca="false">(O1899*(N1899/100)*(J1899/1000))*1000</f>
        <v>1.3093317056411</v>
      </c>
      <c r="Q1899" s="3"/>
      <c r="R1899" s="0" t="n">
        <v>3</v>
      </c>
      <c r="S1899" s="0" t="n">
        <v>7.3</v>
      </c>
      <c r="T1899" s="0" t="n">
        <f aca="false">(S1899/32)*5</f>
        <v>1.140625</v>
      </c>
      <c r="V1899" s="0" t="n">
        <v>12</v>
      </c>
      <c r="W1899" s="0" t="n">
        <v>4</v>
      </c>
      <c r="X1899" s="3" t="n">
        <f aca="false">LOOKUP(V1899,$AB$3:$AC$123)</f>
        <v>1.0465</v>
      </c>
      <c r="Y1899" s="2" t="n">
        <f aca="false">(V1899*((W1899+T1899)/1000)*X1899)/((((W1899+T1899)/1000)*X1899)-((W1899/1000)*0.9982))</f>
        <v>46.5481588971522</v>
      </c>
      <c r="Z1899" s="3" t="n">
        <f aca="false">(X1899*(V1899/100)*((W1899+T1899)/1000))*1000</f>
        <v>0.6455596875</v>
      </c>
    </row>
    <row r="1900" customFormat="false" ht="15" hidden="false" customHeight="false" outlineLevel="0" collapsed="false">
      <c r="A1900" s="0" t="s">
        <v>84</v>
      </c>
      <c r="B1900" s="0" t="s">
        <v>85</v>
      </c>
      <c r="C1900" s="0" t="s">
        <v>81</v>
      </c>
      <c r="D1900" s="0" t="s">
        <v>167</v>
      </c>
      <c r="E1900" s="0" t="n">
        <v>40</v>
      </c>
      <c r="F1900" s="0" t="n">
        <v>0</v>
      </c>
      <c r="G1900" s="1"/>
      <c r="H1900" s="1"/>
      <c r="I1900" s="0" t="n">
        <v>0</v>
      </c>
      <c r="J1900" s="0" t="n">
        <f aca="false">(I1900/32)*5</f>
        <v>0</v>
      </c>
      <c r="L1900" s="0" t="n">
        <v>0</v>
      </c>
      <c r="M1900" s="0" t="n">
        <v>0</v>
      </c>
      <c r="N1900" s="2" t="n">
        <v>0</v>
      </c>
      <c r="O1900" s="3" t="n">
        <v>0</v>
      </c>
      <c r="P1900" s="3" t="n">
        <f aca="false">(O1900*(N1900/100)*(J1900/1000))*1000</f>
        <v>0</v>
      </c>
      <c r="Q1900" s="3"/>
      <c r="R1900" s="3" t="n">
        <v>5</v>
      </c>
      <c r="S1900" s="3" t="n">
        <v>12.6</v>
      </c>
      <c r="T1900" s="0" t="n">
        <f aca="false">(S1900/32)*5</f>
        <v>1.96875</v>
      </c>
      <c r="V1900" s="0" t="n">
        <v>11</v>
      </c>
      <c r="W1900" s="0" t="n">
        <v>4</v>
      </c>
      <c r="X1900" s="3" t="n">
        <f aca="false">LOOKUP(V1900,$AB$3:$AC$123)</f>
        <v>1.0423</v>
      </c>
      <c r="Y1900" s="2" t="n">
        <f aca="false">(V1900*((W1900+T1900)/1000)*X1900)/((((W1900+T1900)/1000)*X1900)-((W1900/1000)*0.9982))</f>
        <v>30.7093186480942</v>
      </c>
      <c r="Z1900" s="3" t="n">
        <f aca="false">(X1900*(V1900/100)*((W1900+T1900)/1000))*1000</f>
        <v>0.68433509375</v>
      </c>
    </row>
    <row r="1901" customFormat="false" ht="15" hidden="false" customHeight="false" outlineLevel="0" collapsed="false">
      <c r="A1901" s="0" t="s">
        <v>86</v>
      </c>
      <c r="B1901" s="0" t="s">
        <v>87</v>
      </c>
      <c r="C1901" s="0" t="s">
        <v>81</v>
      </c>
      <c r="D1901" s="0" t="s">
        <v>167</v>
      </c>
      <c r="E1901" s="0" t="n">
        <v>40</v>
      </c>
      <c r="F1901" s="0" t="n">
        <v>0</v>
      </c>
      <c r="G1901" s="1"/>
      <c r="H1901" s="1"/>
      <c r="I1901" s="0" t="n">
        <v>0</v>
      </c>
      <c r="J1901" s="0" t="n">
        <f aca="false">(I1901/32)*5</f>
        <v>0</v>
      </c>
      <c r="L1901" s="0" t="n">
        <v>0</v>
      </c>
      <c r="M1901" s="0" t="n">
        <v>0</v>
      </c>
      <c r="N1901" s="2" t="n">
        <v>0</v>
      </c>
      <c r="O1901" s="3" t="n">
        <v>0</v>
      </c>
      <c r="P1901" s="3" t="n">
        <f aca="false">(O1901*(N1901/100)*(J1901/1000))*1000</f>
        <v>0</v>
      </c>
      <c r="Q1901" s="3"/>
      <c r="R1901" s="3" t="n">
        <v>3</v>
      </c>
      <c r="S1901" s="3" t="n">
        <v>8.5</v>
      </c>
      <c r="T1901" s="0" t="n">
        <f aca="false">(S1901/32)*5</f>
        <v>1.328125</v>
      </c>
      <c r="V1901" s="0" t="n">
        <v>9</v>
      </c>
      <c r="W1901" s="0" t="n">
        <v>4</v>
      </c>
      <c r="X1901" s="3" t="n">
        <f aca="false">LOOKUP(V1901,$AB$3:$AC$123)</f>
        <v>1.0341</v>
      </c>
      <c r="Y1901" s="2" t="n">
        <f aca="false">(V1901*((W1901+T1901)/1000)*X1901)/((((W1901+T1901)/1000)*X1901)-((W1901/1000)*0.9982))</f>
        <v>32.6881126472748</v>
      </c>
      <c r="Z1901" s="3" t="n">
        <f aca="false">(X1901*(V1901/100)*((W1901+T1901)/1000))*1000</f>
        <v>0.495883265625</v>
      </c>
    </row>
    <row r="1902" customFormat="false" ht="15" hidden="false" customHeight="false" outlineLevel="0" collapsed="false">
      <c r="A1902" s="0" t="s">
        <v>88</v>
      </c>
      <c r="B1902" s="0" t="s">
        <v>89</v>
      </c>
      <c r="C1902" s="0" t="s">
        <v>81</v>
      </c>
      <c r="D1902" s="0" t="s">
        <v>167</v>
      </c>
      <c r="E1902" s="0" t="n">
        <v>40</v>
      </c>
      <c r="F1902" s="0" t="n">
        <v>1</v>
      </c>
      <c r="G1902" s="1"/>
      <c r="H1902" s="1"/>
      <c r="I1902" s="0" t="n">
        <v>27.4</v>
      </c>
      <c r="J1902" s="0" t="n">
        <f aca="false">(I1902/32)*5</f>
        <v>4.28125</v>
      </c>
      <c r="L1902" s="0" t="n">
        <v>6</v>
      </c>
      <c r="M1902" s="0" t="n">
        <v>4</v>
      </c>
      <c r="N1902" s="2" t="n">
        <f aca="false">(L1902*((M1902+J1902)/1000)*O1902)/((((M1902+J1902)/1000)*O1902)-((M1902/1000)*0.9982))</f>
        <v>11.360684831694</v>
      </c>
      <c r="O1902" s="3" t="n">
        <f aca="false">LOOKUP(L1902,$AB$3:$AC$123)</f>
        <v>1.0218</v>
      </c>
      <c r="P1902" s="3" t="n">
        <f aca="false">(O1902*(N1902/100)*(J1902/1000))*1000</f>
        <v>0.496982388518881</v>
      </c>
      <c r="Q1902" s="3"/>
      <c r="R1902" s="3" t="n">
        <v>4</v>
      </c>
      <c r="S1902" s="3" t="n">
        <v>8.7</v>
      </c>
      <c r="T1902" s="0" t="n">
        <f aca="false">(S1902/32)*5</f>
        <v>1.359375</v>
      </c>
      <c r="V1902" s="0" t="n">
        <v>10</v>
      </c>
      <c r="W1902" s="0" t="n">
        <v>4</v>
      </c>
      <c r="X1902" s="3" t="n">
        <f aca="false">LOOKUP(V1902,$AB$3:$AC$123)</f>
        <v>1.0381</v>
      </c>
      <c r="Y1902" s="2" t="n">
        <f aca="false">(V1902*((W1902+T1902)/1000)*X1902)/((((W1902+T1902)/1000)*X1902)-((W1902/1000)*0.9982))</f>
        <v>35.419425817997</v>
      </c>
      <c r="Z1902" s="3" t="n">
        <f aca="false">(X1902*(V1902/100)*((W1902+T1902)/1000))*1000</f>
        <v>0.55635671875</v>
      </c>
    </row>
    <row r="1903" customFormat="false" ht="15" hidden="false" customHeight="false" outlineLevel="0" collapsed="false">
      <c r="A1903" s="0" t="s">
        <v>90</v>
      </c>
      <c r="B1903" s="0" t="s">
        <v>91</v>
      </c>
      <c r="C1903" s="0" t="s">
        <v>81</v>
      </c>
      <c r="D1903" s="0" t="s">
        <v>167</v>
      </c>
      <c r="E1903" s="0" t="n">
        <v>40</v>
      </c>
      <c r="F1903" s="0" t="n">
        <v>0</v>
      </c>
      <c r="G1903" s="1"/>
      <c r="H1903" s="1"/>
      <c r="I1903" s="0" t="n">
        <v>0</v>
      </c>
      <c r="J1903" s="0" t="n">
        <f aca="false">(I1903/32)*5</f>
        <v>0</v>
      </c>
      <c r="L1903" s="0" t="n">
        <v>0</v>
      </c>
      <c r="M1903" s="0" t="n">
        <v>0</v>
      </c>
      <c r="N1903" s="2" t="n">
        <v>0</v>
      </c>
      <c r="O1903" s="3" t="n">
        <v>0</v>
      </c>
      <c r="P1903" s="3" t="n">
        <f aca="false">(O1903*(N1903/100)*(J1903/1000))*1000</f>
        <v>0</v>
      </c>
      <c r="Q1903" s="3"/>
      <c r="R1903" s="3" t="n">
        <v>3</v>
      </c>
      <c r="S1903" s="3" t="n">
        <v>7.9</v>
      </c>
      <c r="T1903" s="0" t="n">
        <f aca="false">(S1903/32)*5</f>
        <v>1.234375</v>
      </c>
      <c r="V1903" s="0" t="n">
        <v>9</v>
      </c>
      <c r="W1903" s="0" t="n">
        <v>4</v>
      </c>
      <c r="X1903" s="3" t="n">
        <f aca="false">LOOKUP(V1903,$AB$3:$AC$123)</f>
        <v>1.0341</v>
      </c>
      <c r="Y1903" s="2" t="n">
        <f aca="false">(V1903*((W1903+T1903)/1000)*X1903)/((((W1903+T1903)/1000)*X1903)-((W1903/1000)*0.9982))</f>
        <v>34.3052815502787</v>
      </c>
      <c r="Z1903" s="3" t="n">
        <f aca="false">(X1903*(V1903/100)*((W1903+T1903)/1000))*1000</f>
        <v>0.487158046875</v>
      </c>
    </row>
    <row r="1904" customFormat="false" ht="15" hidden="false" customHeight="false" outlineLevel="0" collapsed="false">
      <c r="A1904" s="0" t="s">
        <v>92</v>
      </c>
      <c r="B1904" s="0" t="s">
        <v>93</v>
      </c>
      <c r="C1904" s="0" t="s">
        <v>81</v>
      </c>
      <c r="D1904" s="0" t="s">
        <v>167</v>
      </c>
      <c r="E1904" s="0" t="n">
        <v>40</v>
      </c>
      <c r="F1904" s="0" t="n">
        <v>0</v>
      </c>
      <c r="G1904" s="1"/>
      <c r="H1904" s="1"/>
      <c r="I1904" s="0" t="n">
        <v>0</v>
      </c>
      <c r="J1904" s="0" t="n">
        <f aca="false">(I1904/32)*5</f>
        <v>0</v>
      </c>
      <c r="L1904" s="0" t="n">
        <v>0</v>
      </c>
      <c r="M1904" s="0" t="n">
        <v>0</v>
      </c>
      <c r="N1904" s="2" t="n">
        <v>0</v>
      </c>
      <c r="O1904" s="3" t="n">
        <v>0</v>
      </c>
      <c r="P1904" s="3" t="n">
        <f aca="false">(O1904*(N1904/100)*(J1904/1000))*1000</f>
        <v>0</v>
      </c>
      <c r="Q1904" s="3"/>
      <c r="R1904" s="3" t="n">
        <v>4</v>
      </c>
      <c r="S1904" s="3" t="n">
        <v>4.7</v>
      </c>
      <c r="T1904" s="0" t="n">
        <f aca="false">(S1904/32)*5</f>
        <v>0.734375</v>
      </c>
      <c r="V1904" s="0" t="n">
        <v>4.5</v>
      </c>
      <c r="W1904" s="0" t="n">
        <v>4</v>
      </c>
      <c r="X1904" s="3" t="n">
        <f aca="false">LOOKUP(V1904,$AB$3:$AC$123)</f>
        <v>1.0159</v>
      </c>
      <c r="Y1904" s="2" t="n">
        <f aca="false">(V1904*((W1904+T1904)/1000)*X1904)/((((W1904+T1904)/1000)*X1904)-((W1904/1000)*0.9982))</f>
        <v>26.4961628585365</v>
      </c>
      <c r="Z1904" s="3" t="n">
        <f aca="false">(X1904*(V1904/100)*((W1904+T1904)/1000))*1000</f>
        <v>0.2164343203125</v>
      </c>
    </row>
    <row r="1905" customFormat="false" ht="15" hidden="false" customHeight="false" outlineLevel="0" collapsed="false">
      <c r="A1905" s="0" t="s">
        <v>94</v>
      </c>
      <c r="B1905" s="0" t="s">
        <v>95</v>
      </c>
      <c r="C1905" s="0" t="s">
        <v>81</v>
      </c>
      <c r="D1905" s="0" t="s">
        <v>167</v>
      </c>
      <c r="E1905" s="0" t="n">
        <v>40</v>
      </c>
      <c r="F1905" s="0" t="n">
        <v>0</v>
      </c>
      <c r="G1905" s="1"/>
      <c r="H1905" s="1"/>
      <c r="I1905" s="0" t="n">
        <v>0</v>
      </c>
      <c r="J1905" s="0" t="n">
        <f aca="false">(I1905/32)*5</f>
        <v>0</v>
      </c>
      <c r="L1905" s="0" t="n">
        <v>0</v>
      </c>
      <c r="M1905" s="0" t="n">
        <v>0</v>
      </c>
      <c r="N1905" s="2" t="n">
        <v>0</v>
      </c>
      <c r="O1905" s="3" t="n">
        <v>0</v>
      </c>
      <c r="P1905" s="3" t="n">
        <f aca="false">(O1905*(N1905/100)*(J1905/1000))*1000</f>
        <v>0</v>
      </c>
      <c r="Q1905" s="3"/>
      <c r="R1905" s="3" t="n">
        <v>3</v>
      </c>
      <c r="S1905" s="3" t="n">
        <v>3.9</v>
      </c>
      <c r="T1905" s="0" t="n">
        <f aca="false">(S1905/32)*5</f>
        <v>0.609375</v>
      </c>
      <c r="V1905" s="0" t="n">
        <v>6</v>
      </c>
      <c r="W1905" s="0" t="n">
        <v>4</v>
      </c>
      <c r="X1905" s="3" t="n">
        <f aca="false">LOOKUP(V1905,$AB$3:$AC$123)</f>
        <v>1.0218</v>
      </c>
      <c r="Y1905" s="2" t="n">
        <f aca="false">(V1905*((W1905+T1905)/1000)*X1905)/((((W1905+T1905)/1000)*X1905)-((W1905/1000)*0.9982))</f>
        <v>39.4097856261903</v>
      </c>
      <c r="Z1905" s="3" t="n">
        <f aca="false">(X1905*(V1905/100)*((W1905+T1905)/1000))*1000</f>
        <v>0.2825915625</v>
      </c>
    </row>
    <row r="1906" customFormat="false" ht="15" hidden="false" customHeight="false" outlineLevel="0" collapsed="false">
      <c r="A1906" s="0" t="s">
        <v>96</v>
      </c>
      <c r="B1906" s="0" t="s">
        <v>97</v>
      </c>
      <c r="C1906" s="0" t="s">
        <v>81</v>
      </c>
      <c r="D1906" s="0" t="s">
        <v>167</v>
      </c>
      <c r="E1906" s="0" t="n">
        <v>40</v>
      </c>
      <c r="F1906" s="0" t="n">
        <v>0</v>
      </c>
      <c r="G1906" s="1"/>
      <c r="H1906" s="1"/>
      <c r="I1906" s="0" t="n">
        <v>0</v>
      </c>
      <c r="J1906" s="0" t="n">
        <f aca="false">(I1906/32)*5</f>
        <v>0</v>
      </c>
      <c r="L1906" s="0" t="n">
        <v>0</v>
      </c>
      <c r="M1906" s="0" t="n">
        <v>0</v>
      </c>
      <c r="N1906" s="2" t="n">
        <v>0</v>
      </c>
      <c r="O1906" s="3" t="n">
        <v>0</v>
      </c>
      <c r="P1906" s="3" t="n">
        <f aca="false">(O1906*(N1906/100)*(J1906/1000))*1000</f>
        <v>0</v>
      </c>
      <c r="Q1906" s="3"/>
      <c r="R1906" s="3" t="n">
        <v>4</v>
      </c>
      <c r="S1906" s="3" t="n">
        <v>3.9</v>
      </c>
      <c r="T1906" s="0" t="n">
        <f aca="false">(S1906/32)*5</f>
        <v>0.609375</v>
      </c>
      <c r="V1906" s="0" t="n">
        <v>3</v>
      </c>
      <c r="W1906" s="0" t="n">
        <v>4</v>
      </c>
      <c r="X1906" s="3" t="n">
        <f aca="false">LOOKUP(V1906,$AB$3:$AC$123)</f>
        <v>1.0099</v>
      </c>
      <c r="Y1906" s="2" t="n">
        <f aca="false">(V1906*((W1906+T1906)/1000)*X1906)/((((W1906+T1906)/1000)*X1906)-((W1906/1000)*0.9982))</f>
        <v>21.0885815206235</v>
      </c>
      <c r="Z1906" s="3" t="n">
        <f aca="false">(X1906*(V1906/100)*((W1906+T1906)/1000))*1000</f>
        <v>0.139650234375</v>
      </c>
    </row>
    <row r="1907" customFormat="false" ht="15" hidden="false" customHeight="false" outlineLevel="0" collapsed="false">
      <c r="A1907" s="0" t="s">
        <v>98</v>
      </c>
      <c r="B1907" s="0" t="s">
        <v>99</v>
      </c>
      <c r="C1907" s="0" t="s">
        <v>81</v>
      </c>
      <c r="D1907" s="0" t="s">
        <v>167</v>
      </c>
      <c r="E1907" s="0" t="n">
        <v>40</v>
      </c>
      <c r="F1907" s="0" t="n">
        <v>3</v>
      </c>
      <c r="G1907" s="1"/>
      <c r="H1907" s="1"/>
      <c r="I1907" s="0" t="n">
        <v>78</v>
      </c>
      <c r="J1907" s="0" t="n">
        <f aca="false">(I1907/32)*5</f>
        <v>12.1875</v>
      </c>
      <c r="L1907" s="0" t="n">
        <v>12</v>
      </c>
      <c r="M1907" s="0" t="n">
        <v>4</v>
      </c>
      <c r="N1907" s="2" t="n">
        <f aca="false">(L1907*((M1907+J1907)/1000)*O1907)/((((M1907+J1907)/1000)*O1907)-((M1907/1000)*0.9982))</f>
        <v>15.70062951737</v>
      </c>
      <c r="O1907" s="3" t="n">
        <f aca="false">LOOKUP(L1907,$AB$3:$AC$123)</f>
        <v>1.0465</v>
      </c>
      <c r="P1907" s="3" t="n">
        <f aca="false">(O1907*(N1907/100)*(J1907/1000))*1000</f>
        <v>2.00249263377244</v>
      </c>
      <c r="Q1907" s="3"/>
      <c r="R1907" s="3" t="n">
        <v>2</v>
      </c>
      <c r="S1907" s="3" t="n">
        <v>2.8</v>
      </c>
      <c r="T1907" s="0" t="n">
        <f aca="false">(S1907/32)*5</f>
        <v>0.4375</v>
      </c>
      <c r="V1907" s="0" t="n">
        <v>3</v>
      </c>
      <c r="W1907" s="0" t="n">
        <v>4</v>
      </c>
      <c r="X1907" s="3" t="n">
        <f aca="false">LOOKUP(V1907,$AB$3:$AC$123)</f>
        <v>1.0099</v>
      </c>
      <c r="Y1907" s="2" t="n">
        <f aca="false">(V1907*((W1907+T1907)/1000)*X1907)/((((W1907+T1907)/1000)*X1907)-((W1907/1000)*0.9982))</f>
        <v>27.5141914275847</v>
      </c>
      <c r="Z1907" s="3" t="n">
        <f aca="false">(X1907*(V1907/100)*((W1907+T1907)/1000))*1000</f>
        <v>0.1344429375</v>
      </c>
    </row>
    <row r="1908" customFormat="false" ht="15" hidden="false" customHeight="false" outlineLevel="0" collapsed="false">
      <c r="A1908" s="0" t="s">
        <v>100</v>
      </c>
      <c r="B1908" s="0" t="s">
        <v>101</v>
      </c>
      <c r="C1908" s="0" t="s">
        <v>81</v>
      </c>
      <c r="D1908" s="0" t="s">
        <v>167</v>
      </c>
      <c r="E1908" s="0" t="n">
        <v>40</v>
      </c>
      <c r="F1908" s="0" t="n">
        <v>0</v>
      </c>
      <c r="G1908" s="1"/>
      <c r="H1908" s="1"/>
      <c r="I1908" s="0" t="n">
        <v>0</v>
      </c>
      <c r="J1908" s="0" t="n">
        <f aca="false">(I1908/32)*5</f>
        <v>0</v>
      </c>
      <c r="L1908" s="0" t="n">
        <v>0</v>
      </c>
      <c r="M1908" s="0" t="n">
        <v>0</v>
      </c>
      <c r="N1908" s="2" t="n">
        <v>0</v>
      </c>
      <c r="O1908" s="3" t="n">
        <v>0</v>
      </c>
      <c r="P1908" s="3" t="n">
        <f aca="false">(O1908*(N1908/100)*(J1908/1000))*1000</f>
        <v>0</v>
      </c>
      <c r="Q1908" s="3"/>
      <c r="R1908" s="3" t="n">
        <v>2</v>
      </c>
      <c r="S1908" s="3" t="n">
        <v>2.1</v>
      </c>
      <c r="T1908" s="0" t="n">
        <f aca="false">(S1908/32)*5</f>
        <v>0.328125</v>
      </c>
      <c r="V1908" s="0" t="n">
        <v>4</v>
      </c>
      <c r="W1908" s="0" t="n">
        <v>4</v>
      </c>
      <c r="X1908" s="3" t="n">
        <f aca="false">LOOKUP(V1908,$AB$3:$AC$123)</f>
        <v>1.0139</v>
      </c>
      <c r="Y1908" s="2" t="n">
        <f aca="false">(V1908*((W1908+T1908)/1000)*X1908)/((((W1908+T1908)/1000)*X1908)-((W1908/1000)*0.9982))</f>
        <v>44.3837367795157</v>
      </c>
      <c r="Z1908" s="3" t="n">
        <f aca="false">(X1908*(V1908/100)*((W1908+T1908)/1000))*1000</f>
        <v>0.1755314375</v>
      </c>
    </row>
    <row r="1909" customFormat="false" ht="15" hidden="false" customHeight="false" outlineLevel="0" collapsed="false">
      <c r="A1909" s="0" t="s">
        <v>102</v>
      </c>
      <c r="B1909" s="0" t="s">
        <v>103</v>
      </c>
      <c r="C1909" s="0" t="s">
        <v>81</v>
      </c>
      <c r="D1909" s="0" t="s">
        <v>167</v>
      </c>
      <c r="E1909" s="0" t="n">
        <v>40</v>
      </c>
      <c r="F1909" s="0" t="n">
        <v>1</v>
      </c>
      <c r="G1909" s="1"/>
      <c r="H1909" s="1"/>
      <c r="I1909" s="0" t="n">
        <v>46</v>
      </c>
      <c r="J1909" s="0" t="n">
        <f aca="false">(I1909/32)*5</f>
        <v>7.1875</v>
      </c>
      <c r="L1909" s="0" t="n">
        <v>8</v>
      </c>
      <c r="M1909" s="0" t="n">
        <v>4</v>
      </c>
      <c r="N1909" s="2" t="n">
        <f aca="false">(L1909*((M1909+J1909)/1000)*O1909)/((((M1909+J1909)/1000)*O1909)-((M1909/1000)*0.9982))</f>
        <v>12.2424657977725</v>
      </c>
      <c r="O1909" s="3" t="n">
        <f aca="false">LOOKUP(L1909,$AB$3:$AC$123)</f>
        <v>1.0299</v>
      </c>
      <c r="P1909" s="3" t="n">
        <f aca="false">(O1909*(N1909/100)*(J1909/1000))*1000</f>
        <v>0.906237053368425</v>
      </c>
      <c r="Q1909" s="3"/>
      <c r="R1909" s="3" t="n">
        <v>2</v>
      </c>
      <c r="S1909" s="3" t="n">
        <v>1.4</v>
      </c>
      <c r="T1909" s="0" t="n">
        <f aca="false">(S1909/32)*5</f>
        <v>0.21875</v>
      </c>
      <c r="V1909" s="0" t="n">
        <v>2</v>
      </c>
      <c r="W1909" s="0" t="n">
        <v>4</v>
      </c>
      <c r="X1909" s="3" t="n">
        <f aca="false">LOOKUP(V1909,$AB$3:$AC$123)</f>
        <v>1.006</v>
      </c>
      <c r="Y1909" s="2" t="n">
        <f aca="false">(V1909*((W1909+T1909)/1000)*X1909)/((((W1909+T1909)/1000)*X1909)-((W1909/1000)*0.9982))</f>
        <v>33.7819013979404</v>
      </c>
      <c r="Z1909" s="3" t="n">
        <f aca="false">(X1909*(V1909/100)*((W1909+T1909)/1000))*1000</f>
        <v>0.08488125</v>
      </c>
    </row>
    <row r="1910" customFormat="false" ht="15" hidden="false" customHeight="false" outlineLevel="0" collapsed="false">
      <c r="A1910" s="0" t="s">
        <v>104</v>
      </c>
      <c r="B1910" s="0" t="s">
        <v>105</v>
      </c>
      <c r="C1910" s="0" t="s">
        <v>106</v>
      </c>
      <c r="D1910" s="0" t="s">
        <v>167</v>
      </c>
      <c r="E1910" s="0" t="n">
        <v>40</v>
      </c>
      <c r="F1910" s="0" t="n">
        <v>1</v>
      </c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3" t="n">
        <v>7</v>
      </c>
      <c r="S1910" s="1"/>
      <c r="T1910" s="1"/>
      <c r="U1910" s="1"/>
      <c r="V1910" s="1"/>
      <c r="W1910" s="1"/>
      <c r="X1910" s="1"/>
      <c r="Y1910" s="5"/>
      <c r="Z1910" s="1"/>
    </row>
    <row r="1911" customFormat="false" ht="15" hidden="false" customHeight="false" outlineLevel="0" collapsed="false">
      <c r="A1911" s="0" t="s">
        <v>107</v>
      </c>
      <c r="B1911" s="0" t="s">
        <v>37</v>
      </c>
      <c r="C1911" s="0" t="s">
        <v>106</v>
      </c>
      <c r="D1911" s="0" t="s">
        <v>167</v>
      </c>
      <c r="E1911" s="0" t="n">
        <v>40</v>
      </c>
      <c r="F1911" s="0" t="n">
        <v>2</v>
      </c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3" t="n">
        <v>5</v>
      </c>
      <c r="S1911" s="1"/>
      <c r="T1911" s="1"/>
      <c r="U1911" s="1"/>
      <c r="V1911" s="1"/>
      <c r="W1911" s="1"/>
      <c r="X1911" s="1"/>
      <c r="Y1911" s="5"/>
      <c r="Z1911" s="1"/>
    </row>
    <row r="1912" customFormat="false" ht="15" hidden="false" customHeight="false" outlineLevel="0" collapsed="false">
      <c r="A1912" s="0" t="s">
        <v>108</v>
      </c>
      <c r="B1912" s="0" t="s">
        <v>109</v>
      </c>
      <c r="C1912" s="0" t="s">
        <v>106</v>
      </c>
      <c r="D1912" s="0" t="s">
        <v>167</v>
      </c>
      <c r="E1912" s="0" t="n">
        <v>40</v>
      </c>
      <c r="F1912" s="0" t="n">
        <v>0</v>
      </c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3" t="n">
        <v>3</v>
      </c>
      <c r="S1912" s="1"/>
      <c r="T1912" s="1"/>
      <c r="U1912" s="1"/>
      <c r="V1912" s="1"/>
      <c r="W1912" s="1"/>
      <c r="X1912" s="1"/>
      <c r="Y1912" s="5"/>
      <c r="Z1912" s="1"/>
    </row>
    <row r="1913" customFormat="false" ht="15" hidden="false" customHeight="false" outlineLevel="0" collapsed="false">
      <c r="A1913" s="0" t="s">
        <v>110</v>
      </c>
      <c r="B1913" s="0" t="s">
        <v>111</v>
      </c>
      <c r="C1913" s="0" t="s">
        <v>106</v>
      </c>
      <c r="D1913" s="0" t="s">
        <v>167</v>
      </c>
      <c r="E1913" s="0" t="n">
        <v>40</v>
      </c>
      <c r="F1913" s="0" t="n">
        <v>1</v>
      </c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3" t="n">
        <v>3</v>
      </c>
      <c r="S1913" s="1"/>
      <c r="T1913" s="1"/>
      <c r="U1913" s="1"/>
      <c r="V1913" s="1"/>
      <c r="W1913" s="1"/>
      <c r="X1913" s="1"/>
      <c r="Y1913" s="5"/>
      <c r="Z1913" s="1"/>
    </row>
    <row r="1914" customFormat="false" ht="15" hidden="false" customHeight="false" outlineLevel="0" collapsed="false">
      <c r="A1914" s="0" t="s">
        <v>112</v>
      </c>
      <c r="B1914" s="0" t="s">
        <v>113</v>
      </c>
      <c r="C1914" s="0" t="s">
        <v>106</v>
      </c>
      <c r="D1914" s="0" t="s">
        <v>167</v>
      </c>
      <c r="E1914" s="0" t="n">
        <v>40</v>
      </c>
      <c r="F1914" s="0" t="n">
        <v>1</v>
      </c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3" t="n">
        <v>9</v>
      </c>
      <c r="S1914" s="1"/>
      <c r="T1914" s="1"/>
      <c r="U1914" s="1"/>
      <c r="V1914" s="1"/>
      <c r="W1914" s="1"/>
      <c r="X1914" s="1"/>
      <c r="Y1914" s="5"/>
      <c r="Z1914" s="1"/>
    </row>
    <row r="1915" customFormat="false" ht="15" hidden="false" customHeight="false" outlineLevel="0" collapsed="false">
      <c r="A1915" s="0" t="s">
        <v>114</v>
      </c>
      <c r="B1915" s="0" t="s">
        <v>115</v>
      </c>
      <c r="C1915" s="0" t="s">
        <v>106</v>
      </c>
      <c r="D1915" s="0" t="s">
        <v>167</v>
      </c>
      <c r="E1915" s="0" t="n">
        <v>40</v>
      </c>
      <c r="F1915" s="0" t="n">
        <v>0</v>
      </c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3" t="n">
        <v>7</v>
      </c>
      <c r="S1915" s="1"/>
      <c r="T1915" s="1"/>
      <c r="U1915" s="1"/>
      <c r="V1915" s="1"/>
      <c r="W1915" s="1"/>
      <c r="X1915" s="1"/>
      <c r="Y1915" s="5"/>
      <c r="Z1915" s="1"/>
    </row>
    <row r="1916" customFormat="false" ht="15" hidden="false" customHeight="false" outlineLevel="0" collapsed="false">
      <c r="A1916" s="0" t="s">
        <v>116</v>
      </c>
      <c r="B1916" s="0" t="s">
        <v>117</v>
      </c>
      <c r="C1916" s="0" t="s">
        <v>106</v>
      </c>
      <c r="D1916" s="0" t="s">
        <v>167</v>
      </c>
      <c r="E1916" s="0" t="n">
        <v>40</v>
      </c>
      <c r="F1916" s="0" t="n">
        <v>0</v>
      </c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3" t="n">
        <v>1</v>
      </c>
      <c r="S1916" s="1"/>
      <c r="T1916" s="1"/>
      <c r="U1916" s="1"/>
      <c r="V1916" s="1"/>
      <c r="W1916" s="1"/>
      <c r="X1916" s="1"/>
      <c r="Y1916" s="5"/>
      <c r="Z1916" s="1"/>
    </row>
    <row r="1917" customFormat="false" ht="15" hidden="false" customHeight="false" outlineLevel="0" collapsed="false">
      <c r="A1917" s="0" t="s">
        <v>118</v>
      </c>
      <c r="B1917" s="0" t="s">
        <v>119</v>
      </c>
      <c r="C1917" s="0" t="s">
        <v>106</v>
      </c>
      <c r="D1917" s="0" t="s">
        <v>167</v>
      </c>
      <c r="E1917" s="0" t="n">
        <v>40</v>
      </c>
      <c r="F1917" s="0" t="n">
        <v>2</v>
      </c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3" t="n">
        <v>7</v>
      </c>
      <c r="S1917" s="1"/>
      <c r="T1917" s="1"/>
      <c r="U1917" s="1"/>
      <c r="V1917" s="1"/>
      <c r="W1917" s="1"/>
      <c r="X1917" s="1"/>
      <c r="Y1917" s="5"/>
      <c r="Z1917" s="1"/>
    </row>
    <row r="1918" customFormat="false" ht="15" hidden="false" customHeight="false" outlineLevel="0" collapsed="false">
      <c r="A1918" s="0" t="s">
        <v>120</v>
      </c>
      <c r="B1918" s="0" t="s">
        <v>121</v>
      </c>
      <c r="C1918" s="0" t="s">
        <v>106</v>
      </c>
      <c r="D1918" s="0" t="s">
        <v>167</v>
      </c>
      <c r="E1918" s="0" t="n">
        <v>40</v>
      </c>
      <c r="F1918" s="0" t="n">
        <v>1</v>
      </c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3" t="n">
        <v>1</v>
      </c>
      <c r="S1918" s="1"/>
      <c r="T1918" s="1"/>
      <c r="U1918" s="1"/>
      <c r="V1918" s="1"/>
      <c r="W1918" s="1"/>
      <c r="X1918" s="1"/>
      <c r="Y1918" s="5"/>
      <c r="Z1918" s="1"/>
    </row>
    <row r="1919" customFormat="false" ht="15" hidden="false" customHeight="false" outlineLevel="0" collapsed="false">
      <c r="A1919" s="0" t="s">
        <v>122</v>
      </c>
      <c r="B1919" s="0" t="s">
        <v>123</v>
      </c>
      <c r="C1919" s="0" t="s">
        <v>106</v>
      </c>
      <c r="D1919" s="0" t="s">
        <v>167</v>
      </c>
      <c r="E1919" s="0" t="n">
        <v>40</v>
      </c>
      <c r="F1919" s="0" t="n">
        <v>0</v>
      </c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3" t="n">
        <v>5</v>
      </c>
      <c r="S1919" s="1"/>
      <c r="T1919" s="1"/>
      <c r="U1919" s="1"/>
      <c r="V1919" s="1"/>
      <c r="W1919" s="1"/>
      <c r="X1919" s="1"/>
      <c r="Y1919" s="5"/>
      <c r="Z1919" s="1"/>
    </row>
    <row r="1920" customFormat="false" ht="15" hidden="false" customHeight="false" outlineLevel="0" collapsed="false">
      <c r="A1920" s="0" t="s">
        <v>124</v>
      </c>
      <c r="B1920" s="0" t="s">
        <v>125</v>
      </c>
      <c r="C1920" s="0" t="s">
        <v>106</v>
      </c>
      <c r="D1920" s="0" t="s">
        <v>167</v>
      </c>
      <c r="E1920" s="0" t="n">
        <v>40</v>
      </c>
      <c r="F1920" s="0" t="n">
        <v>1</v>
      </c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3" t="n">
        <v>3</v>
      </c>
      <c r="S1920" s="1"/>
      <c r="T1920" s="1"/>
      <c r="U1920" s="1"/>
      <c r="V1920" s="1"/>
      <c r="W1920" s="1"/>
      <c r="X1920" s="1"/>
      <c r="Y1920" s="5"/>
      <c r="Z1920" s="1"/>
    </row>
    <row r="1921" customFormat="false" ht="15" hidden="false" customHeight="false" outlineLevel="0" collapsed="false">
      <c r="A1921" s="0" t="s">
        <v>126</v>
      </c>
      <c r="B1921" s="0" t="s">
        <v>127</v>
      </c>
      <c r="C1921" s="0" t="s">
        <v>106</v>
      </c>
      <c r="D1921" s="0" t="s">
        <v>167</v>
      </c>
      <c r="E1921" s="0" t="n">
        <v>40</v>
      </c>
      <c r="F1921" s="0" t="n">
        <v>1</v>
      </c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3" t="n">
        <v>7</v>
      </c>
      <c r="S1921" s="1"/>
      <c r="T1921" s="1"/>
      <c r="U1921" s="1"/>
      <c r="V1921" s="1"/>
      <c r="W1921" s="1"/>
      <c r="X1921" s="1"/>
      <c r="Y1921" s="5"/>
      <c r="Z1921" s="1"/>
    </row>
    <row r="1922" customFormat="false" ht="15" hidden="false" customHeight="false" outlineLevel="0" collapsed="false">
      <c r="A1922" s="0" t="s">
        <v>26</v>
      </c>
      <c r="B1922" s="0" t="s">
        <v>27</v>
      </c>
      <c r="C1922" s="0" t="s">
        <v>28</v>
      </c>
      <c r="D1922" s="0" t="s">
        <v>168</v>
      </c>
      <c r="E1922" s="0" t="n">
        <v>41</v>
      </c>
      <c r="F1922" s="0" t="n">
        <v>2</v>
      </c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3" t="n">
        <v>1</v>
      </c>
      <c r="S1922" s="0" t="n">
        <v>7.5</v>
      </c>
      <c r="T1922" s="0" t="n">
        <f aca="false">(S1922/32)*5</f>
        <v>1.171875</v>
      </c>
      <c r="V1922" s="0" t="n">
        <v>16</v>
      </c>
      <c r="W1922" s="0" t="n">
        <v>4</v>
      </c>
      <c r="X1922" s="3" t="n">
        <f aca="false">LOOKUP(V1922,$AB$3:$AC$123)</f>
        <v>1.0635</v>
      </c>
      <c r="Y1922" s="2" t="n">
        <f aca="false">(V1922*((W1922+T1922)/1000)*X1922)/((((W1922+T1922)/1000)*X1922)-((W1922/1000)*0.9982))</f>
        <v>58.3782842537208</v>
      </c>
      <c r="Z1922" s="3" t="n">
        <f aca="false">(X1922*(V1922/100)*((W1922+T1922)/1000))*1000</f>
        <v>0.88004625</v>
      </c>
    </row>
    <row r="1923" customFormat="false" ht="15" hidden="false" customHeight="false" outlineLevel="0" collapsed="false">
      <c r="A1923" s="0" t="s">
        <v>32</v>
      </c>
      <c r="B1923" s="0" t="s">
        <v>33</v>
      </c>
      <c r="C1923" s="0" t="s">
        <v>28</v>
      </c>
      <c r="D1923" s="0" t="s">
        <v>168</v>
      </c>
      <c r="E1923" s="0" t="n">
        <v>41</v>
      </c>
      <c r="F1923" s="0" t="n">
        <v>1</v>
      </c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3" t="n">
        <v>4</v>
      </c>
      <c r="S1923" s="0" t="n">
        <v>11.3</v>
      </c>
      <c r="T1923" s="0" t="n">
        <f aca="false">(S1923/32)*5</f>
        <v>1.765625</v>
      </c>
      <c r="V1923" s="0" t="n">
        <v>26</v>
      </c>
      <c r="W1923" s="0" t="n">
        <v>4</v>
      </c>
      <c r="X1923" s="3" t="n">
        <f aca="false">LOOKUP(V1923,$AB$3:$AC$123)</f>
        <v>1.1081</v>
      </c>
      <c r="Y1923" s="2" t="n">
        <f aca="false">(V1923*((W1923+T1923)/1000)*X1923)/((((W1923+T1923)/1000)*X1923)-((W1923/1000)*0.9982))</f>
        <v>69.3259354273272</v>
      </c>
      <c r="Z1923" s="3" t="n">
        <f aca="false">(X1923*(V1923/100)*((W1923+T1923)/1000))*1000</f>
        <v>1.66111115625</v>
      </c>
    </row>
    <row r="1924" customFormat="false" ht="15" hidden="false" customHeight="false" outlineLevel="0" collapsed="false">
      <c r="A1924" s="0" t="s">
        <v>34</v>
      </c>
      <c r="B1924" s="0" t="s">
        <v>35</v>
      </c>
      <c r="C1924" s="0" t="s">
        <v>28</v>
      </c>
      <c r="D1924" s="0" t="s">
        <v>168</v>
      </c>
      <c r="E1924" s="0" t="n">
        <v>41</v>
      </c>
      <c r="F1924" s="0" t="n">
        <v>0</v>
      </c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3" t="n">
        <v>5</v>
      </c>
      <c r="S1924" s="0" t="n">
        <v>11.2</v>
      </c>
      <c r="T1924" s="0" t="n">
        <f aca="false">(S1924/32)*5</f>
        <v>1.75</v>
      </c>
      <c r="V1924" s="0" t="n">
        <v>20.5</v>
      </c>
      <c r="W1924" s="0" t="n">
        <v>4</v>
      </c>
      <c r="X1924" s="3" t="n">
        <f aca="false">LOOKUP(V1924,$AB$3:$AC$123)</f>
        <v>1.083225</v>
      </c>
      <c r="Y1924" s="2" t="n">
        <f aca="false">(V1924*((W1924+T1924)/1000)*X1924)/((((W1924+T1924)/1000)*X1924)-((W1924/1000)*0.9982))</f>
        <v>57.1108146338327</v>
      </c>
      <c r="Z1924" s="3" t="n">
        <f aca="false">(X1924*(V1924/100)*((W1924+T1924)/1000))*1000</f>
        <v>1.27685146875</v>
      </c>
    </row>
    <row r="1925" customFormat="false" ht="15" hidden="false" customHeight="false" outlineLevel="0" collapsed="false">
      <c r="A1925" s="0" t="s">
        <v>36</v>
      </c>
      <c r="B1925" s="0" t="s">
        <v>37</v>
      </c>
      <c r="C1925" s="0" t="s">
        <v>28</v>
      </c>
      <c r="D1925" s="0" t="s">
        <v>168</v>
      </c>
      <c r="E1925" s="0" t="n">
        <v>41</v>
      </c>
      <c r="F1925" s="0" t="n">
        <v>3</v>
      </c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3" t="n">
        <v>2</v>
      </c>
      <c r="S1925" s="0" t="n">
        <v>13.4</v>
      </c>
      <c r="T1925" s="0" t="n">
        <f aca="false">(S1925/32)*5</f>
        <v>2.09375</v>
      </c>
      <c r="V1925" s="0" t="n">
        <v>22.5</v>
      </c>
      <c r="W1925" s="0" t="n">
        <v>4</v>
      </c>
      <c r="X1925" s="3" t="n">
        <f aca="false">LOOKUP(V1925,$AB$3:$AC$123)</f>
        <v>1.092175</v>
      </c>
      <c r="Y1925" s="2" t="n">
        <f aca="false">(V1925*((W1925+T1925)/1000)*X1925)/((((W1925+T1925)/1000)*X1925)-((W1925/1000)*0.9982))</f>
        <v>56.2401798789442</v>
      </c>
      <c r="Z1925" s="3" t="n">
        <f aca="false">(X1925*(V1925/100)*((W1925+T1925)/1000))*1000</f>
        <v>1.49747431640625</v>
      </c>
    </row>
    <row r="1926" customFormat="false" ht="15" hidden="false" customHeight="false" outlineLevel="0" collapsed="false">
      <c r="A1926" s="0" t="s">
        <v>38</v>
      </c>
      <c r="B1926" s="0" t="s">
        <v>39</v>
      </c>
      <c r="C1926" s="0" t="s">
        <v>28</v>
      </c>
      <c r="D1926" s="0" t="s">
        <v>168</v>
      </c>
      <c r="E1926" s="0" t="n">
        <v>41</v>
      </c>
      <c r="F1926" s="0" t="n">
        <v>4</v>
      </c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3" t="n">
        <v>3</v>
      </c>
      <c r="S1926" s="0" t="n">
        <v>7.9</v>
      </c>
      <c r="T1926" s="0" t="n">
        <f aca="false">(S1926/32)*5</f>
        <v>1.234375</v>
      </c>
      <c r="V1926" s="0" t="n">
        <v>11</v>
      </c>
      <c r="W1926" s="0" t="n">
        <v>4</v>
      </c>
      <c r="X1926" s="3" t="n">
        <f aca="false">LOOKUP(V1926,$AB$3:$AC$123)</f>
        <v>1.0423</v>
      </c>
      <c r="Y1926" s="2" t="n">
        <f aca="false">(V1926*((W1926+T1926)/1000)*X1926)/((((W1926+T1926)/1000)*X1926)-((W1926/1000)*0.9982))</f>
        <v>41.0212770729446</v>
      </c>
      <c r="Z1926" s="3" t="n">
        <f aca="false">(X1926*(V1926/100)*((W1926+T1926)/1000))*1000</f>
        <v>0.600136796875</v>
      </c>
    </row>
    <row r="1927" customFormat="false" ht="15" hidden="false" customHeight="false" outlineLevel="0" collapsed="false">
      <c r="A1927" s="0" t="s">
        <v>40</v>
      </c>
      <c r="B1927" s="0" t="s">
        <v>41</v>
      </c>
      <c r="C1927" s="0" t="s">
        <v>28</v>
      </c>
      <c r="D1927" s="0" t="s">
        <v>168</v>
      </c>
      <c r="E1927" s="0" t="n">
        <v>41</v>
      </c>
      <c r="F1927" s="0" t="n">
        <v>2</v>
      </c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3" t="n">
        <v>2</v>
      </c>
      <c r="S1927" s="0" t="n">
        <v>5.5</v>
      </c>
      <c r="T1927" s="0" t="n">
        <f aca="false">(S1927/32)*5</f>
        <v>0.859375</v>
      </c>
      <c r="V1927" s="0" t="n">
        <v>13</v>
      </c>
      <c r="W1927" s="0" t="n">
        <v>4</v>
      </c>
      <c r="X1927" s="3" t="n">
        <f aca="false">LOOKUP(V1927,$AB$3:$AC$123)</f>
        <v>1.0507</v>
      </c>
      <c r="Y1927" s="2" t="n">
        <f aca="false">(V1927*((W1927+T1927)/1000)*X1927)/((((W1927+T1927)/1000)*X1927)-((W1927/1000)*0.9982))</f>
        <v>59.6387695936318</v>
      </c>
      <c r="Z1927" s="3" t="n">
        <f aca="false">(X1927*(V1927/100)*((W1927+T1927)/1000))*1000</f>
        <v>0.663746890625</v>
      </c>
    </row>
    <row r="1928" customFormat="false" ht="15" hidden="false" customHeight="false" outlineLevel="0" collapsed="false">
      <c r="A1928" s="0" t="s">
        <v>42</v>
      </c>
      <c r="B1928" s="0" t="s">
        <v>43</v>
      </c>
      <c r="C1928" s="0" t="s">
        <v>28</v>
      </c>
      <c r="D1928" s="0" t="s">
        <v>168</v>
      </c>
      <c r="E1928" s="0" t="n">
        <v>41</v>
      </c>
      <c r="F1928" s="0" t="n">
        <v>3</v>
      </c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3" t="n">
        <v>3</v>
      </c>
      <c r="S1928" s="0" t="n">
        <v>5.7</v>
      </c>
      <c r="T1928" s="0" t="n">
        <f aca="false">(S1928/32)*5</f>
        <v>0.890625</v>
      </c>
      <c r="V1928" s="0" t="n">
        <v>15</v>
      </c>
      <c r="W1928" s="0" t="n">
        <v>4</v>
      </c>
      <c r="X1928" s="3" t="n">
        <f aca="false">LOOKUP(V1928,$AB$3:$AC$123)</f>
        <v>1.0592</v>
      </c>
      <c r="Y1928" s="2" t="n">
        <f aca="false">(V1928*((W1928+T1928)/1000)*X1928)/((((W1928+T1928)/1000)*X1928)-((W1928/1000)*0.9982))</f>
        <v>65.4417400092643</v>
      </c>
      <c r="Z1928" s="3" t="n">
        <f aca="false">(X1928*(V1928/100)*((W1928+T1928)/1000))*1000</f>
        <v>0.7770225</v>
      </c>
    </row>
    <row r="1929" customFormat="false" ht="15" hidden="false" customHeight="false" outlineLevel="0" collapsed="false">
      <c r="A1929" s="0" t="s">
        <v>44</v>
      </c>
      <c r="B1929" s="0" t="s">
        <v>45</v>
      </c>
      <c r="C1929" s="0" t="s">
        <v>28</v>
      </c>
      <c r="D1929" s="0" t="s">
        <v>168</v>
      </c>
      <c r="E1929" s="0" t="n">
        <v>41</v>
      </c>
      <c r="F1929" s="0" t="n">
        <v>0</v>
      </c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3" t="n">
        <v>4</v>
      </c>
      <c r="S1929" s="0" t="n">
        <v>9.4</v>
      </c>
      <c r="T1929" s="0" t="n">
        <f aca="false">(S1929/32)*5</f>
        <v>1.46875</v>
      </c>
      <c r="V1929" s="0" t="n">
        <v>20</v>
      </c>
      <c r="W1929" s="0" t="n">
        <v>4</v>
      </c>
      <c r="X1929" s="3" t="n">
        <f aca="false">LOOKUP(V1929,$AB$3:$AC$123)</f>
        <v>1.081</v>
      </c>
      <c r="Y1929" s="2" t="n">
        <f aca="false">(V1929*((W1929+T1929)/1000)*X1929)/((((W1929+T1929)/1000)*X1929)-((W1929/1000)*0.9982))</f>
        <v>61.6151022548506</v>
      </c>
      <c r="Z1929" s="3" t="n">
        <f aca="false">(X1929*(V1929/100)*((W1929+T1929)/1000))*1000</f>
        <v>1.18234375</v>
      </c>
    </row>
    <row r="1930" customFormat="false" ht="15" hidden="false" customHeight="false" outlineLevel="0" collapsed="false">
      <c r="A1930" s="0" t="s">
        <v>46</v>
      </c>
      <c r="B1930" s="0" t="s">
        <v>47</v>
      </c>
      <c r="C1930" s="0" t="s">
        <v>28</v>
      </c>
      <c r="D1930" s="0" t="s">
        <v>168</v>
      </c>
      <c r="E1930" s="0" t="n">
        <v>41</v>
      </c>
      <c r="F1930" s="0" t="n">
        <v>3</v>
      </c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3" t="n">
        <v>3</v>
      </c>
      <c r="S1930" s="0" t="n">
        <v>4.3</v>
      </c>
      <c r="T1930" s="0" t="n">
        <f aca="false">(S1930/32)*5</f>
        <v>0.671875</v>
      </c>
      <c r="V1930" s="0" t="n">
        <v>8</v>
      </c>
      <c r="W1930" s="0" t="n">
        <v>4</v>
      </c>
      <c r="X1930" s="3" t="n">
        <f aca="false">LOOKUP(V1930,$AB$3:$AC$123)</f>
        <v>1.0299</v>
      </c>
      <c r="Y1930" s="2" t="n">
        <f aca="false">(V1930*((W1930+T1930)/1000)*X1930)/((((W1930+T1930)/1000)*X1930)-((W1930/1000)*0.9982))</f>
        <v>47.0129482508889</v>
      </c>
      <c r="Z1930" s="3" t="n">
        <f aca="false">(X1930*(V1930/100)*((W1930+T1930)/1000))*1000</f>
        <v>0.384925125</v>
      </c>
    </row>
    <row r="1931" customFormat="false" ht="15" hidden="false" customHeight="false" outlineLevel="0" collapsed="false">
      <c r="A1931" s="0" t="s">
        <v>48</v>
      </c>
      <c r="B1931" s="0" t="s">
        <v>49</v>
      </c>
      <c r="C1931" s="0" t="s">
        <v>28</v>
      </c>
      <c r="D1931" s="0" t="s">
        <v>168</v>
      </c>
      <c r="E1931" s="0" t="n">
        <v>41</v>
      </c>
      <c r="F1931" s="0" t="n">
        <v>1</v>
      </c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3" t="n">
        <v>1</v>
      </c>
      <c r="S1931" s="0" t="n">
        <v>4.8</v>
      </c>
      <c r="T1931" s="0" t="n">
        <f aca="false">(S1931/32)*5</f>
        <v>0.75</v>
      </c>
      <c r="V1931" s="0" t="n">
        <v>10.5</v>
      </c>
      <c r="W1931" s="0" t="n">
        <v>4</v>
      </c>
      <c r="X1931" s="3" t="n">
        <f aca="false">LOOKUP(V1931,$AB$3:$AC$123)</f>
        <v>1.0402</v>
      </c>
      <c r="Y1931" s="2" t="n">
        <f aca="false">(V1931*((W1931+T1931)/1000)*X1931)/((((W1931+T1931)/1000)*X1931)-((W1931/1000)*0.9982))</f>
        <v>54.7170542635659</v>
      </c>
      <c r="Z1931" s="3" t="n">
        <f aca="false">(X1931*(V1931/100)*((W1931+T1931)/1000))*1000</f>
        <v>0.51879975</v>
      </c>
    </row>
    <row r="1932" customFormat="false" ht="15" hidden="false" customHeight="false" outlineLevel="0" collapsed="false">
      <c r="A1932" s="0" t="s">
        <v>50</v>
      </c>
      <c r="B1932" s="0" t="s">
        <v>51</v>
      </c>
      <c r="C1932" s="0" t="s">
        <v>28</v>
      </c>
      <c r="D1932" s="0" t="s">
        <v>168</v>
      </c>
      <c r="E1932" s="0" t="n">
        <v>41</v>
      </c>
      <c r="F1932" s="0" t="n">
        <v>0</v>
      </c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3" t="n">
        <v>0</v>
      </c>
      <c r="S1932" s="0" t="n">
        <v>0</v>
      </c>
      <c r="T1932" s="0" t="n">
        <f aca="false">(S1932/32)*5</f>
        <v>0</v>
      </c>
      <c r="V1932" s="0" t="n">
        <v>0</v>
      </c>
      <c r="W1932" s="0" t="n">
        <v>0</v>
      </c>
      <c r="X1932" s="3" t="n">
        <v>0</v>
      </c>
      <c r="Y1932" s="2" t="n">
        <v>0</v>
      </c>
      <c r="Z1932" s="3" t="n">
        <f aca="false">(X1932*(V1932/100)*((W1932+T1932)/1000))*1000</f>
        <v>0</v>
      </c>
    </row>
    <row r="1933" customFormat="false" ht="15" hidden="false" customHeight="false" outlineLevel="0" collapsed="false">
      <c r="A1933" s="0" t="s">
        <v>52</v>
      </c>
      <c r="B1933" s="0" t="s">
        <v>53</v>
      </c>
      <c r="C1933" s="0" t="s">
        <v>28</v>
      </c>
      <c r="D1933" s="0" t="s">
        <v>168</v>
      </c>
      <c r="E1933" s="0" t="n">
        <v>41</v>
      </c>
      <c r="F1933" s="0" t="n">
        <v>1</v>
      </c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3" t="n">
        <v>1</v>
      </c>
      <c r="S1933" s="0" t="n">
        <v>4.8</v>
      </c>
      <c r="T1933" s="0" t="n">
        <f aca="false">(S1933/32)*5</f>
        <v>0.75</v>
      </c>
      <c r="V1933" s="0" t="n">
        <v>9</v>
      </c>
      <c r="W1933" s="0" t="n">
        <v>4</v>
      </c>
      <c r="X1933" s="3" t="n">
        <f aca="false">LOOKUP(V1933,$AB$3:$AC$123)</f>
        <v>1.0341</v>
      </c>
      <c r="Y1933" s="2" t="n">
        <f aca="false">(V1933*((W1933+T1933)/1000)*X1933)/((((W1933+T1933)/1000)*X1933)-((W1933/1000)*0.9982))</f>
        <v>48.0950580683766</v>
      </c>
      <c r="Z1933" s="3" t="n">
        <f aca="false">(X1933*(V1933/100)*((W1933+T1933)/1000))*1000</f>
        <v>0.44207775</v>
      </c>
    </row>
    <row r="1934" customFormat="false" ht="15" hidden="false" customHeight="false" outlineLevel="0" collapsed="false">
      <c r="A1934" s="0" t="s">
        <v>54</v>
      </c>
      <c r="B1934" s="0" t="s">
        <v>55</v>
      </c>
      <c r="C1934" s="0" t="s">
        <v>56</v>
      </c>
      <c r="D1934" s="0" t="s">
        <v>168</v>
      </c>
      <c r="E1934" s="0" t="n">
        <v>41</v>
      </c>
      <c r="F1934" s="0" t="n">
        <v>1</v>
      </c>
      <c r="G1934" s="1"/>
      <c r="H1934" s="1"/>
      <c r="I1934" s="0" t="n">
        <f aca="false">15+30.5</f>
        <v>45.5</v>
      </c>
      <c r="J1934" s="0" t="n">
        <f aca="false">(I1934/32)*5</f>
        <v>7.109375</v>
      </c>
      <c r="L1934" s="0" t="n">
        <v>21</v>
      </c>
      <c r="M1934" s="0" t="n">
        <v>0</v>
      </c>
      <c r="N1934" s="0" t="n">
        <f aca="false">L1934</f>
        <v>21</v>
      </c>
      <c r="O1934" s="3" t="n">
        <f aca="false">LOOKUP(L1934,$AB$3:$AC$123)</f>
        <v>1.08545</v>
      </c>
      <c r="P1934" s="3" t="n">
        <f aca="false">(O1934*(N1934/100)*(J1934/1000))*1000</f>
        <v>1.6205429296875</v>
      </c>
      <c r="Q1934" s="3"/>
      <c r="R1934" s="1"/>
      <c r="S1934" s="1"/>
      <c r="T1934" s="1"/>
      <c r="U1934" s="1"/>
      <c r="V1934" s="1"/>
      <c r="W1934" s="1"/>
      <c r="X1934" s="1"/>
      <c r="Y1934" s="5"/>
      <c r="Z1934" s="1"/>
    </row>
    <row r="1935" customFormat="false" ht="15" hidden="false" customHeight="false" outlineLevel="0" collapsed="false">
      <c r="A1935" s="0" t="s">
        <v>57</v>
      </c>
      <c r="B1935" s="0" t="s">
        <v>58</v>
      </c>
      <c r="C1935" s="0" t="s">
        <v>56</v>
      </c>
      <c r="D1935" s="0" t="s">
        <v>168</v>
      </c>
      <c r="E1935" s="0" t="n">
        <v>41</v>
      </c>
      <c r="F1935" s="0" t="n">
        <v>1</v>
      </c>
      <c r="G1935" s="1"/>
      <c r="H1935" s="1"/>
      <c r="I1935" s="0" t="n">
        <v>27.9</v>
      </c>
      <c r="J1935" s="0" t="n">
        <f aca="false">(I1935/32)*5</f>
        <v>4.359375</v>
      </c>
      <c r="L1935" s="0" t="n">
        <v>19.5</v>
      </c>
      <c r="M1935" s="0" t="n">
        <v>0</v>
      </c>
      <c r="N1935" s="0" t="n">
        <f aca="false">L1935</f>
        <v>19.5</v>
      </c>
      <c r="O1935" s="3" t="n">
        <f aca="false">LOOKUP(L1935,$AB$3:$AC$123)</f>
        <v>1.07875</v>
      </c>
      <c r="P1935" s="3" t="n">
        <f aca="false">(O1935*(N1935/100)*(J1935/1000))*1000</f>
        <v>0.91702177734375</v>
      </c>
      <c r="Q1935" s="3"/>
      <c r="R1935" s="1"/>
      <c r="S1935" s="1"/>
      <c r="T1935" s="1"/>
      <c r="U1935" s="1"/>
      <c r="V1935" s="1"/>
      <c r="W1935" s="1"/>
      <c r="X1935" s="1"/>
      <c r="Y1935" s="5"/>
      <c r="Z1935" s="1"/>
    </row>
    <row r="1936" customFormat="false" ht="15" hidden="false" customHeight="false" outlineLevel="0" collapsed="false">
      <c r="A1936" s="0" t="s">
        <v>59</v>
      </c>
      <c r="B1936" s="0" t="s">
        <v>60</v>
      </c>
      <c r="C1936" s="0" t="s">
        <v>56</v>
      </c>
      <c r="D1936" s="0" t="s">
        <v>168</v>
      </c>
      <c r="E1936" s="0" t="n">
        <v>41</v>
      </c>
      <c r="F1936" s="0" t="n">
        <v>1</v>
      </c>
      <c r="G1936" s="1"/>
      <c r="H1936" s="1"/>
      <c r="I1936" s="0" t="n">
        <v>29.9</v>
      </c>
      <c r="J1936" s="0" t="n">
        <f aca="false">(I1936/32)*5</f>
        <v>4.671875</v>
      </c>
      <c r="L1936" s="0" t="n">
        <v>23.5</v>
      </c>
      <c r="M1936" s="0" t="n">
        <v>0</v>
      </c>
      <c r="N1936" s="0" t="n">
        <f aca="false">L1936</f>
        <v>23.5</v>
      </c>
      <c r="O1936" s="3" t="n">
        <f aca="false">LOOKUP(L1936,$AB$3:$AC$123)</f>
        <v>1.096725</v>
      </c>
      <c r="P1936" s="3" t="n">
        <f aca="false">(O1936*(N1936/100)*(J1936/1000))*1000</f>
        <v>1.20408409570313</v>
      </c>
      <c r="Q1936" s="3"/>
      <c r="R1936" s="1"/>
      <c r="S1936" s="1"/>
      <c r="T1936" s="1"/>
      <c r="U1936" s="1"/>
      <c r="V1936" s="1"/>
      <c r="W1936" s="1"/>
      <c r="X1936" s="1"/>
      <c r="Y1936" s="5"/>
      <c r="Z1936" s="1"/>
    </row>
    <row r="1937" customFormat="false" ht="15" hidden="false" customHeight="false" outlineLevel="0" collapsed="false">
      <c r="A1937" s="0" t="s">
        <v>61</v>
      </c>
      <c r="B1937" s="0" t="s">
        <v>62</v>
      </c>
      <c r="C1937" s="0" t="s">
        <v>56</v>
      </c>
      <c r="D1937" s="0" t="s">
        <v>168</v>
      </c>
      <c r="E1937" s="0" t="n">
        <v>41</v>
      </c>
      <c r="F1937" s="0" t="n">
        <v>3</v>
      </c>
      <c r="G1937" s="1"/>
      <c r="H1937" s="1"/>
      <c r="I1937" s="0" t="n">
        <f aca="false">23.9+31.1+30.4</f>
        <v>85.4</v>
      </c>
      <c r="J1937" s="0" t="n">
        <f aca="false">(I1937/32)*5</f>
        <v>13.34375</v>
      </c>
      <c r="L1937" s="0" t="n">
        <v>23.5</v>
      </c>
      <c r="M1937" s="0" t="n">
        <v>0</v>
      </c>
      <c r="N1937" s="0" t="n">
        <f aca="false">L1937</f>
        <v>23.5</v>
      </c>
      <c r="O1937" s="3" t="n">
        <f aca="false">LOOKUP(L1937,$AB$3:$AC$123)</f>
        <v>1.096725</v>
      </c>
      <c r="P1937" s="3" t="n">
        <f aca="false">(O1937*(N1937/100)*(J1937/1000))*1000</f>
        <v>3.43908969140625</v>
      </c>
      <c r="Q1937" s="3"/>
      <c r="R1937" s="1"/>
      <c r="S1937" s="1"/>
      <c r="T1937" s="1"/>
      <c r="U1937" s="1"/>
      <c r="V1937" s="1"/>
      <c r="W1937" s="1"/>
      <c r="X1937" s="1"/>
      <c r="Y1937" s="5"/>
      <c r="Z1937" s="1"/>
    </row>
    <row r="1938" customFormat="false" ht="15" hidden="false" customHeight="false" outlineLevel="0" collapsed="false">
      <c r="A1938" s="0" t="s">
        <v>63</v>
      </c>
      <c r="B1938" s="0" t="s">
        <v>64</v>
      </c>
      <c r="C1938" s="0" t="s">
        <v>56</v>
      </c>
      <c r="D1938" s="0" t="s">
        <v>168</v>
      </c>
      <c r="E1938" s="0" t="n">
        <v>41</v>
      </c>
      <c r="F1938" s="0" t="n">
        <v>0</v>
      </c>
      <c r="G1938" s="1"/>
      <c r="H1938" s="1"/>
      <c r="I1938" s="0" t="n">
        <v>0</v>
      </c>
      <c r="J1938" s="0" t="n">
        <f aca="false">(I1938/32)*5</f>
        <v>0</v>
      </c>
      <c r="L1938" s="0" t="n">
        <v>0</v>
      </c>
      <c r="M1938" s="0" t="n">
        <v>0</v>
      </c>
      <c r="N1938" s="0" t="n">
        <f aca="false">L1938</f>
        <v>0</v>
      </c>
      <c r="O1938" s="3" t="n">
        <v>0</v>
      </c>
      <c r="P1938" s="3" t="n">
        <f aca="false">(O1938*(N1938/100)*(J1938/1000))*1000</f>
        <v>0</v>
      </c>
      <c r="Q1938" s="3"/>
      <c r="R1938" s="1"/>
      <c r="S1938" s="1"/>
      <c r="T1938" s="1"/>
      <c r="U1938" s="1"/>
      <c r="V1938" s="1"/>
      <c r="W1938" s="1"/>
      <c r="X1938" s="1"/>
      <c r="Y1938" s="5"/>
      <c r="Z1938" s="1"/>
    </row>
    <row r="1939" customFormat="false" ht="15" hidden="false" customHeight="false" outlineLevel="0" collapsed="false">
      <c r="A1939" s="0" t="s">
        <v>65</v>
      </c>
      <c r="B1939" s="0" t="s">
        <v>66</v>
      </c>
      <c r="C1939" s="0" t="s">
        <v>56</v>
      </c>
      <c r="D1939" s="0" t="s">
        <v>168</v>
      </c>
      <c r="E1939" s="0" t="n">
        <v>41</v>
      </c>
      <c r="F1939" s="0" t="n">
        <v>2</v>
      </c>
      <c r="G1939" s="1"/>
      <c r="H1939" s="1"/>
      <c r="I1939" s="0" t="n">
        <f aca="false">20.3+31.2</f>
        <v>51.5</v>
      </c>
      <c r="J1939" s="0" t="n">
        <f aca="false">(I1939/32)*5</f>
        <v>8.046875</v>
      </c>
      <c r="L1939" s="0" t="n">
        <v>23</v>
      </c>
      <c r="M1939" s="0" t="n">
        <v>0</v>
      </c>
      <c r="N1939" s="0" t="n">
        <f aca="false">L1939</f>
        <v>23</v>
      </c>
      <c r="O1939" s="3" t="n">
        <f aca="false">LOOKUP(L1939,$AB$3:$AC$123)</f>
        <v>1.09445</v>
      </c>
      <c r="P1939" s="3" t="n">
        <f aca="false">(O1939*(N1939/100)*(J1939/1000))*1000</f>
        <v>2.0255875390625</v>
      </c>
      <c r="Q1939" s="3"/>
      <c r="R1939" s="1"/>
      <c r="S1939" s="1"/>
      <c r="T1939" s="1"/>
      <c r="U1939" s="1"/>
      <c r="V1939" s="1"/>
      <c r="W1939" s="1"/>
      <c r="X1939" s="1"/>
      <c r="Y1939" s="5"/>
      <c r="Z1939" s="1"/>
    </row>
    <row r="1940" customFormat="false" ht="15" hidden="false" customHeight="false" outlineLevel="0" collapsed="false">
      <c r="A1940" s="0" t="s">
        <v>67</v>
      </c>
      <c r="B1940" s="0" t="s">
        <v>68</v>
      </c>
      <c r="C1940" s="0" t="s">
        <v>56</v>
      </c>
      <c r="D1940" s="0" t="s">
        <v>168</v>
      </c>
      <c r="E1940" s="0" t="n">
        <v>41</v>
      </c>
      <c r="F1940" s="0" t="n">
        <v>1</v>
      </c>
      <c r="G1940" s="1"/>
      <c r="H1940" s="1"/>
      <c r="I1940" s="0" t="n">
        <v>31.8</v>
      </c>
      <c r="J1940" s="0" t="n">
        <f aca="false">(I1940/32)*5</f>
        <v>4.96875</v>
      </c>
      <c r="L1940" s="0" t="n">
        <v>22.5</v>
      </c>
      <c r="M1940" s="0" t="n">
        <v>0</v>
      </c>
      <c r="N1940" s="0" t="n">
        <f aca="false">L1940</f>
        <v>22.5</v>
      </c>
      <c r="O1940" s="3" t="n">
        <f aca="false">LOOKUP(L1940,$AB$3:$AC$123)</f>
        <v>1.092175</v>
      </c>
      <c r="P1940" s="3" t="n">
        <f aca="false">(O1940*(N1940/100)*(J1940/1000))*1000</f>
        <v>1.22101751953125</v>
      </c>
      <c r="Q1940" s="3"/>
      <c r="R1940" s="1"/>
      <c r="S1940" s="1"/>
      <c r="T1940" s="1"/>
      <c r="U1940" s="1"/>
      <c r="V1940" s="1"/>
      <c r="W1940" s="1"/>
      <c r="X1940" s="1"/>
      <c r="Y1940" s="5"/>
      <c r="Z1940" s="1"/>
    </row>
    <row r="1941" customFormat="false" ht="15" hidden="false" customHeight="false" outlineLevel="0" collapsed="false">
      <c r="A1941" s="0" t="s">
        <v>69</v>
      </c>
      <c r="B1941" s="0" t="s">
        <v>70</v>
      </c>
      <c r="C1941" s="0" t="s">
        <v>56</v>
      </c>
      <c r="D1941" s="0" t="s">
        <v>168</v>
      </c>
      <c r="E1941" s="0" t="n">
        <v>41</v>
      </c>
      <c r="F1941" s="0" t="n">
        <v>0</v>
      </c>
      <c r="G1941" s="1"/>
      <c r="H1941" s="1"/>
      <c r="I1941" s="0" t="n">
        <v>0</v>
      </c>
      <c r="J1941" s="0" t="n">
        <f aca="false">(I1941/32)*5</f>
        <v>0</v>
      </c>
      <c r="L1941" s="0" t="n">
        <v>0</v>
      </c>
      <c r="M1941" s="0" t="n">
        <v>0</v>
      </c>
      <c r="N1941" s="0" t="n">
        <f aca="false">L1941</f>
        <v>0</v>
      </c>
      <c r="O1941" s="3" t="n">
        <v>0</v>
      </c>
      <c r="P1941" s="3" t="n">
        <f aca="false">(O1941*(N1941/100)*(J1941/1000))*1000</f>
        <v>0</v>
      </c>
      <c r="Q1941" s="3"/>
      <c r="R1941" s="1"/>
      <c r="S1941" s="1"/>
      <c r="T1941" s="1"/>
      <c r="U1941" s="1"/>
      <c r="V1941" s="1"/>
      <c r="W1941" s="1"/>
      <c r="X1941" s="1"/>
      <c r="Y1941" s="5"/>
      <c r="Z1941" s="1"/>
    </row>
    <row r="1942" customFormat="false" ht="15" hidden="false" customHeight="false" outlineLevel="0" collapsed="false">
      <c r="A1942" s="0" t="s">
        <v>71</v>
      </c>
      <c r="B1942" s="0" t="s">
        <v>72</v>
      </c>
      <c r="C1942" s="0" t="s">
        <v>56</v>
      </c>
      <c r="D1942" s="0" t="s">
        <v>168</v>
      </c>
      <c r="E1942" s="0" t="n">
        <v>41</v>
      </c>
      <c r="F1942" s="0" t="n">
        <v>2</v>
      </c>
      <c r="G1942" s="1"/>
      <c r="H1942" s="1"/>
      <c r="I1942" s="0" t="n">
        <v>31.7</v>
      </c>
      <c r="J1942" s="0" t="n">
        <f aca="false">(I1942/32)*5</f>
        <v>4.953125</v>
      </c>
      <c r="L1942" s="0" t="n">
        <v>24</v>
      </c>
      <c r="M1942" s="0" t="n">
        <v>0</v>
      </c>
      <c r="N1942" s="0" t="n">
        <f aca="false">L1942</f>
        <v>24</v>
      </c>
      <c r="O1942" s="3" t="n">
        <f aca="false">LOOKUP(L1942,$AB$3:$AC$123)</f>
        <v>1.099</v>
      </c>
      <c r="P1942" s="3" t="n">
        <f aca="false">(O1942*(N1942/100)*(J1942/1000))*1000</f>
        <v>1.30643625</v>
      </c>
      <c r="Q1942" s="3"/>
      <c r="R1942" s="1"/>
      <c r="S1942" s="1"/>
      <c r="T1942" s="1"/>
      <c r="U1942" s="1"/>
      <c r="V1942" s="1"/>
      <c r="W1942" s="1"/>
      <c r="X1942" s="1"/>
      <c r="Y1942" s="5"/>
      <c r="Z1942" s="1"/>
    </row>
    <row r="1943" customFormat="false" ht="15" hidden="false" customHeight="false" outlineLevel="0" collapsed="false">
      <c r="A1943" s="0" t="s">
        <v>73</v>
      </c>
      <c r="B1943" s="0" t="s">
        <v>74</v>
      </c>
      <c r="C1943" s="0" t="s">
        <v>56</v>
      </c>
      <c r="D1943" s="0" t="s">
        <v>168</v>
      </c>
      <c r="E1943" s="0" t="n">
        <v>41</v>
      </c>
      <c r="F1943" s="0" t="n">
        <v>0</v>
      </c>
      <c r="G1943" s="1"/>
      <c r="H1943" s="1"/>
      <c r="I1943" s="0" t="n">
        <v>0</v>
      </c>
      <c r="J1943" s="0" t="n">
        <f aca="false">(I1943/32)*5</f>
        <v>0</v>
      </c>
      <c r="L1943" s="0" t="n">
        <v>0</v>
      </c>
      <c r="M1943" s="0" t="n">
        <v>0</v>
      </c>
      <c r="N1943" s="0" t="n">
        <f aca="false">L1943</f>
        <v>0</v>
      </c>
      <c r="O1943" s="3" t="n">
        <v>0</v>
      </c>
      <c r="P1943" s="3" t="n">
        <f aca="false">(O1943*(N1943/100)*(J1943/1000))*1000</f>
        <v>0</v>
      </c>
      <c r="Q1943" s="3"/>
      <c r="R1943" s="1"/>
      <c r="S1943" s="1"/>
      <c r="T1943" s="1"/>
      <c r="U1943" s="1"/>
      <c r="V1943" s="1"/>
      <c r="W1943" s="1"/>
      <c r="X1943" s="1"/>
      <c r="Y1943" s="5"/>
      <c r="Z1943" s="1"/>
    </row>
    <row r="1944" customFormat="false" ht="15" hidden="false" customHeight="false" outlineLevel="0" collapsed="false">
      <c r="A1944" s="0" t="s">
        <v>75</v>
      </c>
      <c r="B1944" s="0" t="s">
        <v>76</v>
      </c>
      <c r="C1944" s="0" t="s">
        <v>56</v>
      </c>
      <c r="D1944" s="0" t="s">
        <v>168</v>
      </c>
      <c r="E1944" s="0" t="n">
        <v>41</v>
      </c>
      <c r="F1944" s="0" t="n">
        <v>2</v>
      </c>
      <c r="G1944" s="1"/>
      <c r="H1944" s="1"/>
      <c r="I1944" s="0" t="n">
        <f aca="false">13.7+29.5</f>
        <v>43.2</v>
      </c>
      <c r="J1944" s="0" t="n">
        <f aca="false">(I1944/32)*5</f>
        <v>6.75</v>
      </c>
      <c r="L1944" s="0" t="n">
        <v>27.5</v>
      </c>
      <c r="M1944" s="0" t="n">
        <v>0</v>
      </c>
      <c r="N1944" s="0" t="n">
        <f aca="false">L1944</f>
        <v>27.5</v>
      </c>
      <c r="O1944" s="3" t="n">
        <f aca="false">LOOKUP(L1944,$AB$3:$AC$123)</f>
        <v>1.11515</v>
      </c>
      <c r="P1944" s="3" t="n">
        <f aca="false">(O1944*(N1944/100)*(J1944/1000))*1000</f>
        <v>2.0699971875</v>
      </c>
      <c r="Q1944" s="3"/>
      <c r="R1944" s="1"/>
      <c r="S1944" s="1"/>
      <c r="T1944" s="1"/>
      <c r="U1944" s="1"/>
      <c r="V1944" s="1"/>
      <c r="W1944" s="1"/>
      <c r="X1944" s="1"/>
      <c r="Y1944" s="5"/>
      <c r="Z1944" s="1"/>
    </row>
    <row r="1945" customFormat="false" ht="15" hidden="false" customHeight="false" outlineLevel="0" collapsed="false">
      <c r="A1945" s="0" t="s">
        <v>77</v>
      </c>
      <c r="B1945" s="0" t="s">
        <v>78</v>
      </c>
      <c r="C1945" s="0" t="s">
        <v>56</v>
      </c>
      <c r="D1945" s="0" t="s">
        <v>168</v>
      </c>
      <c r="E1945" s="0" t="n">
        <v>41</v>
      </c>
      <c r="F1945" s="0" t="n">
        <v>1</v>
      </c>
      <c r="G1945" s="1"/>
      <c r="H1945" s="1"/>
      <c r="I1945" s="0" t="n">
        <v>27.8</v>
      </c>
      <c r="J1945" s="0" t="n">
        <f aca="false">(I1945/32)*5</f>
        <v>4.34375</v>
      </c>
      <c r="L1945" s="0" t="n">
        <v>25</v>
      </c>
      <c r="M1945" s="0" t="n">
        <v>0</v>
      </c>
      <c r="N1945" s="0" t="n">
        <f aca="false">L1945</f>
        <v>25</v>
      </c>
      <c r="O1945" s="3" t="n">
        <f aca="false">LOOKUP(L1945,$AB$3:$AC$123)</f>
        <v>1.10355</v>
      </c>
      <c r="P1945" s="3" t="n">
        <f aca="false">(O1945*(N1945/100)*(J1945/1000))*1000</f>
        <v>1.198386328125</v>
      </c>
      <c r="Q1945" s="3"/>
      <c r="R1945" s="1"/>
      <c r="S1945" s="1"/>
      <c r="T1945" s="1"/>
      <c r="U1945" s="1"/>
      <c r="V1945" s="1"/>
      <c r="W1945" s="1"/>
      <c r="X1945" s="1"/>
      <c r="Y1945" s="5"/>
      <c r="Z1945" s="1"/>
    </row>
    <row r="1946" customFormat="false" ht="15" hidden="false" customHeight="false" outlineLevel="0" collapsed="false">
      <c r="A1946" s="0" t="s">
        <v>79</v>
      </c>
      <c r="B1946" s="0" t="s">
        <v>80</v>
      </c>
      <c r="C1946" s="0" t="s">
        <v>81</v>
      </c>
      <c r="D1946" s="0" t="s">
        <v>168</v>
      </c>
      <c r="E1946" s="0" t="n">
        <v>41</v>
      </c>
      <c r="F1946" s="0" t="n">
        <v>2</v>
      </c>
      <c r="G1946" s="1"/>
      <c r="H1946" s="1"/>
      <c r="I1946" s="0" t="n">
        <f aca="false">4.6+29.4+30.2+13.1</f>
        <v>77.3</v>
      </c>
      <c r="J1946" s="0" t="n">
        <f aca="false">(I1946/32)*5</f>
        <v>12.078125</v>
      </c>
      <c r="L1946" s="0" t="n">
        <v>11</v>
      </c>
      <c r="M1946" s="0" t="n">
        <v>4</v>
      </c>
      <c r="N1946" s="2" t="n">
        <f aca="false">(L1946*((M1946+J1946)/1000)*O1946)/((((M1946+J1946)/1000)*O1946)-((M1946/1000)*0.9982))</f>
        <v>14.4406049052158</v>
      </c>
      <c r="O1946" s="3" t="n">
        <f aca="false">LOOKUP(L1946,$AB$3:$AC$123)</f>
        <v>1.0423</v>
      </c>
      <c r="P1946" s="3" t="n">
        <f aca="false">(O1946*(N1946/100)*(J1946/1000))*1000</f>
        <v>1.8179320385722</v>
      </c>
      <c r="Q1946" s="3"/>
      <c r="R1946" s="0" t="n">
        <v>3</v>
      </c>
      <c r="S1946" s="0" t="n">
        <v>7</v>
      </c>
      <c r="T1946" s="0" t="n">
        <f aca="false">(S1946/32)*5</f>
        <v>1.09375</v>
      </c>
      <c r="V1946" s="0" t="n">
        <v>8</v>
      </c>
      <c r="W1946" s="0" t="n">
        <v>4</v>
      </c>
      <c r="X1946" s="3" t="n">
        <f aca="false">LOOKUP(V1946,$AB$3:$AC$123)</f>
        <v>1.0299</v>
      </c>
      <c r="Y1946" s="2" t="n">
        <f aca="false">(V1946*((W1946+T1946)/1000)*X1946)/((((W1946+T1946)/1000)*X1946)-((W1946/1000)*0.9982))</f>
        <v>33.4875885507966</v>
      </c>
      <c r="Z1946" s="3" t="n">
        <f aca="false">(X1946*(V1946/100)*((W1946+T1946)/1000))*1000</f>
        <v>0.41968425</v>
      </c>
    </row>
    <row r="1947" customFormat="false" ht="15" hidden="false" customHeight="false" outlineLevel="0" collapsed="false">
      <c r="A1947" s="0" t="s">
        <v>82</v>
      </c>
      <c r="B1947" s="0" t="s">
        <v>83</v>
      </c>
      <c r="C1947" s="0" t="s">
        <v>81</v>
      </c>
      <c r="D1947" s="0" t="s">
        <v>168</v>
      </c>
      <c r="E1947" s="0" t="n">
        <v>41</v>
      </c>
      <c r="F1947" s="0" t="n">
        <v>0</v>
      </c>
      <c r="G1947" s="1"/>
      <c r="H1947" s="1"/>
      <c r="I1947" s="0" t="n">
        <v>0</v>
      </c>
      <c r="J1947" s="0" t="n">
        <f aca="false">(I1947/32)*5</f>
        <v>0</v>
      </c>
      <c r="L1947" s="0" t="n">
        <v>0</v>
      </c>
      <c r="M1947" s="0" t="n">
        <v>0</v>
      </c>
      <c r="N1947" s="2" t="n">
        <v>0</v>
      </c>
      <c r="O1947" s="3" t="n">
        <v>0</v>
      </c>
      <c r="P1947" s="3" t="n">
        <f aca="false">(O1947*(N1947/100)*(J1947/1000))*1000</f>
        <v>0</v>
      </c>
      <c r="Q1947" s="3"/>
      <c r="R1947" s="3" t="n">
        <v>1</v>
      </c>
      <c r="S1947" s="3" t="n">
        <v>3.9</v>
      </c>
      <c r="T1947" s="0" t="n">
        <f aca="false">(S1947/32)*5</f>
        <v>0.609375</v>
      </c>
      <c r="V1947" s="0" t="n">
        <v>9</v>
      </c>
      <c r="W1947" s="0" t="n">
        <v>4</v>
      </c>
      <c r="X1947" s="3" t="n">
        <f aca="false">LOOKUP(V1947,$AB$3:$AC$123)</f>
        <v>1.0341</v>
      </c>
      <c r="Y1947" s="2" t="n">
        <f aca="false">(V1947*((W1947+T1947)/1000)*X1947)/((((W1947+T1947)/1000)*X1947)-((W1947/1000)*0.9982))</f>
        <v>55.4426265592091</v>
      </c>
      <c r="Z1947" s="3" t="n">
        <f aca="false">(X1947*(V1947/100)*((W1947+T1947)/1000))*1000</f>
        <v>0.428989921875</v>
      </c>
    </row>
    <row r="1948" customFormat="false" ht="15" hidden="false" customHeight="false" outlineLevel="0" collapsed="false">
      <c r="A1948" s="0" t="s">
        <v>84</v>
      </c>
      <c r="B1948" s="0" t="s">
        <v>85</v>
      </c>
      <c r="C1948" s="0" t="s">
        <v>81</v>
      </c>
      <c r="D1948" s="0" t="s">
        <v>168</v>
      </c>
      <c r="E1948" s="0" t="n">
        <v>41</v>
      </c>
      <c r="F1948" s="0" t="n">
        <v>0</v>
      </c>
      <c r="G1948" s="1"/>
      <c r="H1948" s="1"/>
      <c r="I1948" s="0" t="n">
        <v>0</v>
      </c>
      <c r="J1948" s="0" t="n">
        <f aca="false">(I1948/32)*5</f>
        <v>0</v>
      </c>
      <c r="L1948" s="0" t="n">
        <v>0</v>
      </c>
      <c r="M1948" s="0" t="n">
        <v>0</v>
      </c>
      <c r="N1948" s="2" t="n">
        <v>0</v>
      </c>
      <c r="O1948" s="3" t="n">
        <v>0</v>
      </c>
      <c r="P1948" s="3" t="n">
        <f aca="false">(O1948*(N1948/100)*(J1948/1000))*1000</f>
        <v>0</v>
      </c>
      <c r="Q1948" s="3"/>
      <c r="R1948" s="3" t="n">
        <v>1</v>
      </c>
      <c r="S1948" s="3" t="n">
        <v>6.3</v>
      </c>
      <c r="T1948" s="0" t="n">
        <f aca="false">(S1948/32)*5</f>
        <v>0.984375</v>
      </c>
      <c r="V1948" s="0" t="n">
        <v>15.5</v>
      </c>
      <c r="W1948" s="0" t="n">
        <v>4</v>
      </c>
      <c r="X1948" s="3" t="n">
        <f aca="false">LOOKUP(V1948,$AB$3:$AC$123)</f>
        <v>1.06135</v>
      </c>
      <c r="Y1948" s="2" t="n">
        <f aca="false">(V1948*((W1948+T1948)/1000)*X1948)/((((W1948+T1948)/1000)*X1948)-((W1948/1000)*0.9982))</f>
        <v>63.2031004516963</v>
      </c>
      <c r="Z1948" s="3" t="n">
        <f aca="false">(X1948*(V1948/100)*((W1948+T1948)/1000))*1000</f>
        <v>0.81997579296875</v>
      </c>
    </row>
    <row r="1949" customFormat="false" ht="15" hidden="false" customHeight="false" outlineLevel="0" collapsed="false">
      <c r="A1949" s="0" t="s">
        <v>86</v>
      </c>
      <c r="B1949" s="0" t="s">
        <v>87</v>
      </c>
      <c r="C1949" s="0" t="s">
        <v>81</v>
      </c>
      <c r="D1949" s="0" t="s">
        <v>168</v>
      </c>
      <c r="E1949" s="0" t="n">
        <v>41</v>
      </c>
      <c r="F1949" s="0" t="n">
        <v>2</v>
      </c>
      <c r="G1949" s="1"/>
      <c r="H1949" s="1"/>
      <c r="I1949" s="0" t="n">
        <f aca="false">6+29.3+28.4</f>
        <v>63.7</v>
      </c>
      <c r="J1949" s="0" t="n">
        <f aca="false">(I1949/32)*5</f>
        <v>9.953125</v>
      </c>
      <c r="L1949" s="0" t="n">
        <v>17</v>
      </c>
      <c r="M1949" s="0" t="n">
        <v>4</v>
      </c>
      <c r="N1949" s="2" t="n">
        <f aca="false">(L1949*((M1949+J1949)/1000)*O1949)/((((M1949+J1949)/1000)*O1949)-((M1949/1000)*0.9982))</f>
        <v>23.2236788154604</v>
      </c>
      <c r="O1949" s="3" t="n">
        <f aca="false">LOOKUP(L1949,$AB$3:$AC$123)</f>
        <v>1.0678</v>
      </c>
      <c r="P1949" s="3" t="n">
        <f aca="false">(O1949*(N1949/100)*(J1949/1000))*1000</f>
        <v>2.46820024692776</v>
      </c>
      <c r="Q1949" s="3"/>
      <c r="R1949" s="3" t="n">
        <v>1</v>
      </c>
      <c r="S1949" s="3" t="n">
        <v>2.5</v>
      </c>
      <c r="T1949" s="0" t="n">
        <f aca="false">(S1949/32)*5</f>
        <v>0.390625</v>
      </c>
      <c r="V1949" s="0" t="n">
        <v>7</v>
      </c>
      <c r="W1949" s="0" t="n">
        <v>4</v>
      </c>
      <c r="X1949" s="3" t="n">
        <f aca="false">LOOKUP(V1949,$AB$3:$AC$123)</f>
        <v>1.0259</v>
      </c>
      <c r="Y1949" s="2" t="n">
        <f aca="false">(V1949*((W1949+T1949)/1000)*X1949)/((((W1949+T1949)/1000)*X1949)-((W1949/1000)*0.9982))</f>
        <v>61.6379178159182</v>
      </c>
      <c r="Z1949" s="3" t="n">
        <f aca="false">(X1949*(V1949/100)*((W1949+T1949)/1000))*1000</f>
        <v>0.315303953125</v>
      </c>
    </row>
    <row r="1950" customFormat="false" ht="15" hidden="false" customHeight="false" outlineLevel="0" collapsed="false">
      <c r="A1950" s="0" t="s">
        <v>88</v>
      </c>
      <c r="B1950" s="0" t="s">
        <v>89</v>
      </c>
      <c r="C1950" s="0" t="s">
        <v>81</v>
      </c>
      <c r="D1950" s="0" t="s">
        <v>168</v>
      </c>
      <c r="E1950" s="0" t="n">
        <v>41</v>
      </c>
      <c r="F1950" s="0" t="n">
        <v>1</v>
      </c>
      <c r="G1950" s="1"/>
      <c r="H1950" s="1"/>
      <c r="I1950" s="0" t="n">
        <v>33.2</v>
      </c>
      <c r="J1950" s="0" t="n">
        <f aca="false">(I1950/32)*5</f>
        <v>5.1875</v>
      </c>
      <c r="L1950" s="0" t="n">
        <v>11</v>
      </c>
      <c r="M1950" s="0" t="n">
        <v>4</v>
      </c>
      <c r="N1950" s="2" t="n">
        <f aca="false">(L1950*((M1950+J1950)/1000)*O1950)/((((M1950+J1950)/1000)*O1950)-((M1950/1000)*0.9982))</f>
        <v>18.8664148755279</v>
      </c>
      <c r="O1950" s="3" t="n">
        <f aca="false">LOOKUP(L1950,$AB$3:$AC$123)</f>
        <v>1.0423</v>
      </c>
      <c r="P1950" s="3" t="n">
        <f aca="false">(O1950*(N1950/100)*(J1950/1000))*1000</f>
        <v>1.02009408165957</v>
      </c>
      <c r="Q1950" s="3"/>
      <c r="R1950" s="3" t="n">
        <v>4</v>
      </c>
      <c r="S1950" s="3" t="n">
        <v>6.3</v>
      </c>
      <c r="T1950" s="0" t="n">
        <f aca="false">(S1950/32)*5</f>
        <v>0.984375</v>
      </c>
      <c r="V1950" s="0" t="n">
        <v>18</v>
      </c>
      <c r="W1950" s="0" t="n">
        <v>4</v>
      </c>
      <c r="X1950" s="3" t="n">
        <f aca="false">LOOKUP(V1950,$AB$3:$AC$123)</f>
        <v>1.0722</v>
      </c>
      <c r="Y1950" s="2" t="n">
        <f aca="false">(V1950*((W1950+T1950)/1000)*X1950)/((((W1950+T1950)/1000)*X1950)-((W1950/1000)*0.9982))</f>
        <v>71.1803368149414</v>
      </c>
      <c r="Z1950" s="3" t="n">
        <f aca="false">(X1950*(V1950/100)*((W1950+T1950)/1000))*1000</f>
        <v>0.9619644375</v>
      </c>
    </row>
    <row r="1951" customFormat="false" ht="15" hidden="false" customHeight="false" outlineLevel="0" collapsed="false">
      <c r="A1951" s="0" t="s">
        <v>90</v>
      </c>
      <c r="B1951" s="0" t="s">
        <v>91</v>
      </c>
      <c r="C1951" s="0" t="s">
        <v>81</v>
      </c>
      <c r="D1951" s="0" t="s">
        <v>168</v>
      </c>
      <c r="E1951" s="0" t="n">
        <v>41</v>
      </c>
      <c r="F1951" s="0" t="n">
        <v>2</v>
      </c>
      <c r="G1951" s="1"/>
      <c r="H1951" s="1"/>
      <c r="I1951" s="0" t="n">
        <f aca="false">28.7+3+22.7+2.9+29.1</f>
        <v>86.4</v>
      </c>
      <c r="J1951" s="0" t="n">
        <f aca="false">(I1951/32)*5</f>
        <v>13.5</v>
      </c>
      <c r="L1951" s="0" t="n">
        <v>20</v>
      </c>
      <c r="M1951" s="0" t="n">
        <v>4</v>
      </c>
      <c r="N1951" s="2" t="n">
        <f aca="false">(L1951*((M1951+J1951)/1000)*O1951)/((((M1951+J1951)/1000)*O1951)-((M1951/1000)*0.9982))</f>
        <v>25.3505933117584</v>
      </c>
      <c r="O1951" s="3" t="n">
        <f aca="false">LOOKUP(L1951,$AB$3:$AC$123)</f>
        <v>1.081</v>
      </c>
      <c r="P1951" s="3" t="n">
        <f aca="false">(O1951*(N1951/100)*(J1951/1000))*1000</f>
        <v>3.69953883495146</v>
      </c>
      <c r="Q1951" s="3"/>
      <c r="R1951" s="3" t="n">
        <v>5</v>
      </c>
      <c r="S1951" s="3" t="n">
        <v>9.5</v>
      </c>
      <c r="T1951" s="0" t="n">
        <f aca="false">(S1951/32)*5</f>
        <v>1.484375</v>
      </c>
      <c r="V1951" s="0" t="n">
        <v>18</v>
      </c>
      <c r="W1951" s="0" t="n">
        <v>4</v>
      </c>
      <c r="X1951" s="3" t="n">
        <f aca="false">LOOKUP(V1951,$AB$3:$AC$123)</f>
        <v>1.0722</v>
      </c>
      <c r="Y1951" s="2" t="n">
        <f aca="false">(V1951*((W1951+T1951)/1000)*X1951)/((((W1951+T1951)/1000)*X1951)-((W1951/1000)*0.9982))</f>
        <v>56.0760875143829</v>
      </c>
      <c r="Z1951" s="3" t="n">
        <f aca="false">(X1951*(V1951/100)*((W1951+T1951)/1000))*1000</f>
        <v>1.0584624375</v>
      </c>
    </row>
    <row r="1952" customFormat="false" ht="15" hidden="false" customHeight="false" outlineLevel="0" collapsed="false">
      <c r="A1952" s="0" t="s">
        <v>92</v>
      </c>
      <c r="B1952" s="0" t="s">
        <v>93</v>
      </c>
      <c r="C1952" s="0" t="s">
        <v>81</v>
      </c>
      <c r="D1952" s="0" t="s">
        <v>168</v>
      </c>
      <c r="E1952" s="0" t="n">
        <v>41</v>
      </c>
      <c r="F1952" s="0" t="n">
        <v>3</v>
      </c>
      <c r="G1952" s="1"/>
      <c r="H1952" s="1"/>
      <c r="I1952" s="0" t="n">
        <f aca="false">3.9+21.1+30.4</f>
        <v>55.4</v>
      </c>
      <c r="J1952" s="0" t="n">
        <f aca="false">(I1952/32)*5</f>
        <v>8.65625</v>
      </c>
      <c r="L1952" s="0" t="n">
        <v>15.5</v>
      </c>
      <c r="M1952" s="0" t="n">
        <v>4</v>
      </c>
      <c r="N1952" s="2" t="n">
        <f aca="false">(L1952*((M1952+J1952)/1000)*O1952)/((((M1952+J1952)/1000)*O1952)-((M1952/1000)*0.9982))</f>
        <v>22.0560364297664</v>
      </c>
      <c r="O1952" s="3" t="n">
        <f aca="false">LOOKUP(L1952,$AB$3:$AC$123)</f>
        <v>1.06135</v>
      </c>
      <c r="P1952" s="3" t="n">
        <f aca="false">(O1952*(N1952/100)*(J1952/1000))*1000</f>
        <v>2.02635664729091</v>
      </c>
      <c r="Q1952" s="3"/>
      <c r="R1952" s="3" t="n">
        <v>2</v>
      </c>
      <c r="S1952" s="3" t="n">
        <v>3</v>
      </c>
      <c r="T1952" s="0" t="n">
        <f aca="false">(S1952/32)*5</f>
        <v>0.46875</v>
      </c>
      <c r="V1952" s="0" t="n">
        <v>6</v>
      </c>
      <c r="W1952" s="0" t="n">
        <v>4</v>
      </c>
      <c r="X1952" s="3" t="n">
        <f aca="false">LOOKUP(V1952,$AB$3:$AC$123)</f>
        <v>1.0218</v>
      </c>
      <c r="Y1952" s="2" t="n">
        <f aca="false">(V1952*((W1952+T1952)/1000)*X1952)/((((W1952+T1952)/1000)*X1952)-((W1952/1000)*0.9982))</f>
        <v>47.7825352358322</v>
      </c>
      <c r="Z1952" s="3" t="n">
        <f aca="false">(X1952*(V1952/100)*((W1952+T1952)/1000))*1000</f>
        <v>0.273970125</v>
      </c>
    </row>
    <row r="1953" customFormat="false" ht="15" hidden="false" customHeight="false" outlineLevel="0" collapsed="false">
      <c r="A1953" s="0" t="s">
        <v>94</v>
      </c>
      <c r="B1953" s="0" t="s">
        <v>95</v>
      </c>
      <c r="C1953" s="0" t="s">
        <v>81</v>
      </c>
      <c r="D1953" s="0" t="s">
        <v>168</v>
      </c>
      <c r="E1953" s="0" t="n">
        <v>41</v>
      </c>
      <c r="F1953" s="0" t="n">
        <v>0</v>
      </c>
      <c r="G1953" s="1"/>
      <c r="H1953" s="1"/>
      <c r="I1953" s="0" t="n">
        <v>0</v>
      </c>
      <c r="J1953" s="0" t="n">
        <f aca="false">(I1953/32)*5</f>
        <v>0</v>
      </c>
      <c r="L1953" s="0" t="n">
        <v>0</v>
      </c>
      <c r="M1953" s="0" t="n">
        <v>0</v>
      </c>
      <c r="N1953" s="2" t="n">
        <v>0</v>
      </c>
      <c r="O1953" s="3" t="n">
        <v>0</v>
      </c>
      <c r="P1953" s="3" t="n">
        <f aca="false">(O1953*(N1953/100)*(J1953/1000))*1000</f>
        <v>0</v>
      </c>
      <c r="Q1953" s="3"/>
      <c r="R1953" s="3" t="n">
        <v>5</v>
      </c>
      <c r="S1953" s="3" t="n">
        <v>5.3</v>
      </c>
      <c r="T1953" s="0" t="n">
        <f aca="false">(S1953/32)*5</f>
        <v>0.828125</v>
      </c>
      <c r="V1953" s="0" t="n">
        <v>8</v>
      </c>
      <c r="W1953" s="0" t="n">
        <v>4</v>
      </c>
      <c r="X1953" s="3" t="n">
        <f aca="false">LOOKUP(V1953,$AB$3:$AC$123)</f>
        <v>1.0299</v>
      </c>
      <c r="Y1953" s="2" t="n">
        <f aca="false">(V1953*((W1953+T1953)/1000)*X1953)/((((W1953+T1953)/1000)*X1953)-((W1953/1000)*0.9982))</f>
        <v>40.6047346168016</v>
      </c>
      <c r="Z1953" s="3" t="n">
        <f aca="false">(X1953*(V1953/100)*((W1953+T1953)/1000))*1000</f>
        <v>0.397798875</v>
      </c>
    </row>
    <row r="1954" customFormat="false" ht="15" hidden="false" customHeight="false" outlineLevel="0" collapsed="false">
      <c r="A1954" s="0" t="s">
        <v>96</v>
      </c>
      <c r="B1954" s="0" t="s">
        <v>97</v>
      </c>
      <c r="C1954" s="0" t="s">
        <v>81</v>
      </c>
      <c r="D1954" s="0" t="s">
        <v>168</v>
      </c>
      <c r="E1954" s="0" t="n">
        <v>41</v>
      </c>
      <c r="F1954" s="0" t="n">
        <v>1</v>
      </c>
      <c r="G1954" s="1"/>
      <c r="H1954" s="1"/>
      <c r="I1954" s="0" t="n">
        <v>29.1</v>
      </c>
      <c r="J1954" s="0" t="n">
        <f aca="false">(I1954/32)*5</f>
        <v>4.546875</v>
      </c>
      <c r="L1954" s="0" t="n">
        <v>5</v>
      </c>
      <c r="M1954" s="0" t="n">
        <v>4</v>
      </c>
      <c r="N1954" s="2" t="n">
        <f aca="false">(L1954*((M1954+J1954)/1000)*O1954)/((((M1954+J1954)/1000)*O1954)-((M1954/1000)*0.9982))</f>
        <v>9.24128495701773</v>
      </c>
      <c r="O1954" s="3" t="n">
        <f aca="false">LOOKUP(L1954,$AB$3:$AC$123)</f>
        <v>1.0179</v>
      </c>
      <c r="P1954" s="3" t="n">
        <f aca="false">(O1954*(N1954/100)*(J1954/1000))*1000</f>
        <v>0.42771107057887</v>
      </c>
      <c r="Q1954" s="3"/>
      <c r="R1954" s="3" t="n">
        <v>3</v>
      </c>
      <c r="S1954" s="3" t="n">
        <v>3</v>
      </c>
      <c r="T1954" s="0" t="n">
        <f aca="false">(S1954/32)*5</f>
        <v>0.46875</v>
      </c>
      <c r="V1954" s="0" t="n">
        <v>6</v>
      </c>
      <c r="W1954" s="0" t="n">
        <v>4</v>
      </c>
      <c r="X1954" s="3" t="n">
        <f aca="false">LOOKUP(V1954,$AB$3:$AC$123)</f>
        <v>1.0218</v>
      </c>
      <c r="Y1954" s="2" t="n">
        <f aca="false">(V1954*((W1954+T1954)/1000)*X1954)/((((W1954+T1954)/1000)*X1954)-((W1954/1000)*0.9982))</f>
        <v>47.7825352358322</v>
      </c>
      <c r="Z1954" s="3" t="n">
        <f aca="false">(X1954*(V1954/100)*((W1954+T1954)/1000))*1000</f>
        <v>0.273970125</v>
      </c>
    </row>
    <row r="1955" customFormat="false" ht="15" hidden="false" customHeight="false" outlineLevel="0" collapsed="false">
      <c r="A1955" s="0" t="s">
        <v>98</v>
      </c>
      <c r="B1955" s="0" t="s">
        <v>99</v>
      </c>
      <c r="C1955" s="0" t="s">
        <v>81</v>
      </c>
      <c r="D1955" s="0" t="s">
        <v>168</v>
      </c>
      <c r="E1955" s="0" t="n">
        <v>41</v>
      </c>
      <c r="F1955" s="0" t="n">
        <v>1</v>
      </c>
      <c r="G1955" s="1"/>
      <c r="H1955" s="1"/>
      <c r="I1955" s="0" t="n">
        <f aca="false">14.3+30.2</f>
        <v>44.5</v>
      </c>
      <c r="J1955" s="0" t="n">
        <f aca="false">(I1955/32)*5</f>
        <v>6.953125</v>
      </c>
      <c r="L1955" s="0" t="n">
        <v>19</v>
      </c>
      <c r="M1955" s="0" t="n">
        <v>4</v>
      </c>
      <c r="N1955" s="2" t="n">
        <f aca="false">(L1955*((M1955+J1955)/1000)*O1955)/((((M1955+J1955)/1000)*O1955)-((M1955/1000)*0.9982))</f>
        <v>28.7282475430651</v>
      </c>
      <c r="O1955" s="3" t="n">
        <f aca="false">LOOKUP(L1955,$AB$3:$AC$123)</f>
        <v>1.0765</v>
      </c>
      <c r="P1955" s="3" t="n">
        <f aca="false">(O1955*(N1955/100)*(J1955/1000))*1000</f>
        <v>2.15032055057012</v>
      </c>
      <c r="Q1955" s="3"/>
      <c r="R1955" s="3" t="n">
        <v>3</v>
      </c>
      <c r="S1955" s="3" t="n">
        <v>5</v>
      </c>
      <c r="T1955" s="0" t="n">
        <f aca="false">(S1955/32)*5</f>
        <v>0.78125</v>
      </c>
      <c r="V1955" s="0" t="n">
        <v>6</v>
      </c>
      <c r="W1955" s="0" t="n">
        <v>4</v>
      </c>
      <c r="X1955" s="3" t="n">
        <f aca="false">LOOKUP(V1955,$AB$3:$AC$123)</f>
        <v>1.0218</v>
      </c>
      <c r="Y1955" s="2" t="n">
        <f aca="false">(V1955*((W1955+T1955)/1000)*X1955)/((((W1955+T1955)/1000)*X1955)-((W1955/1000)*0.9982))</f>
        <v>32.8369028698654</v>
      </c>
      <c r="Z1955" s="3" t="n">
        <f aca="false">(X1955*(V1955/100)*((W1955+T1955)/1000))*1000</f>
        <v>0.293128875</v>
      </c>
    </row>
    <row r="1956" customFormat="false" ht="15" hidden="false" customHeight="false" outlineLevel="0" collapsed="false">
      <c r="A1956" s="0" t="s">
        <v>100</v>
      </c>
      <c r="B1956" s="0" t="s">
        <v>101</v>
      </c>
      <c r="C1956" s="0" t="s">
        <v>81</v>
      </c>
      <c r="D1956" s="0" t="s">
        <v>168</v>
      </c>
      <c r="E1956" s="0" t="n">
        <v>41</v>
      </c>
      <c r="F1956" s="0" t="n">
        <v>0</v>
      </c>
      <c r="G1956" s="1"/>
      <c r="H1956" s="1"/>
      <c r="I1956" s="0" t="n">
        <v>0</v>
      </c>
      <c r="J1956" s="0" t="n">
        <f aca="false">(I1956/32)*5</f>
        <v>0</v>
      </c>
      <c r="L1956" s="0" t="n">
        <v>0</v>
      </c>
      <c r="M1956" s="0" t="n">
        <v>0</v>
      </c>
      <c r="N1956" s="2" t="n">
        <v>0</v>
      </c>
      <c r="O1956" s="3" t="n">
        <v>0</v>
      </c>
      <c r="P1956" s="3" t="n">
        <f aca="false">(O1956*(N1956/100)*(J1956/1000))*1000</f>
        <v>0</v>
      </c>
      <c r="Q1956" s="3"/>
      <c r="R1956" s="3" t="n">
        <v>2</v>
      </c>
      <c r="S1956" s="3" t="n">
        <v>4.1</v>
      </c>
      <c r="T1956" s="0" t="n">
        <f aca="false">(S1956/32)*5</f>
        <v>0.640625</v>
      </c>
      <c r="V1956" s="0" t="n">
        <v>5</v>
      </c>
      <c r="W1956" s="0" t="n">
        <v>4</v>
      </c>
      <c r="X1956" s="3" t="n">
        <f aca="false">LOOKUP(V1956,$AB$3:$AC$123)</f>
        <v>1.0179</v>
      </c>
      <c r="Y1956" s="2" t="n">
        <f aca="false">(V1956*((W1956+T1956)/1000)*X1956)/((((W1956+T1956)/1000)*X1956)-((W1956/1000)*0.9982))</f>
        <v>32.3145620399726</v>
      </c>
      <c r="Z1956" s="3" t="n">
        <f aca="false">(X1956*(V1956/100)*((W1956+T1956)/1000))*1000</f>
        <v>0.236184609375</v>
      </c>
    </row>
    <row r="1957" customFormat="false" ht="15" hidden="false" customHeight="false" outlineLevel="0" collapsed="false">
      <c r="A1957" s="0" t="s">
        <v>102</v>
      </c>
      <c r="B1957" s="0" t="s">
        <v>103</v>
      </c>
      <c r="C1957" s="0" t="s">
        <v>81</v>
      </c>
      <c r="D1957" s="0" t="s">
        <v>168</v>
      </c>
      <c r="E1957" s="0" t="n">
        <v>41</v>
      </c>
      <c r="F1957" s="0" t="n">
        <v>2</v>
      </c>
      <c r="G1957" s="1"/>
      <c r="H1957" s="1"/>
      <c r="I1957" s="0" t="n">
        <f aca="false">22.6+1.8+18.6+23.9</f>
        <v>66.9</v>
      </c>
      <c r="J1957" s="0" t="n">
        <f aca="false">(I1957/32)*5</f>
        <v>10.453125</v>
      </c>
      <c r="L1957" s="0" t="n">
        <v>16</v>
      </c>
      <c r="M1957" s="0" t="n">
        <v>4</v>
      </c>
      <c r="N1957" s="2" t="n">
        <f aca="false">(L1957*((M1957+J1957)/1000)*O1957)/((((M1957+J1957)/1000)*O1957)-((M1957/1000)*0.9982))</f>
        <v>21.6147167605308</v>
      </c>
      <c r="O1957" s="3" t="n">
        <f aca="false">LOOKUP(L1957,$AB$3:$AC$123)</f>
        <v>1.0635</v>
      </c>
      <c r="P1957" s="3" t="n">
        <f aca="false">(O1957*(N1957/100)*(J1957/1000))*1000</f>
        <v>2.40288610982149</v>
      </c>
      <c r="Q1957" s="3"/>
      <c r="R1957" s="3" t="n">
        <v>1</v>
      </c>
      <c r="S1957" s="3" t="n">
        <v>1.4</v>
      </c>
      <c r="T1957" s="0" t="n">
        <f aca="false">(S1957/32)*5</f>
        <v>0.21875</v>
      </c>
      <c r="V1957" s="0" t="n">
        <v>2</v>
      </c>
      <c r="W1957" s="0" t="n">
        <v>4</v>
      </c>
      <c r="X1957" s="3" t="n">
        <f aca="false">LOOKUP(V1957,$AB$3:$AC$123)</f>
        <v>1.006</v>
      </c>
      <c r="Y1957" s="2" t="n">
        <f aca="false">(V1957*((W1957+T1957)/1000)*X1957)/((((W1957+T1957)/1000)*X1957)-((W1957/1000)*0.9982))</f>
        <v>33.7819013979404</v>
      </c>
      <c r="Z1957" s="3" t="n">
        <f aca="false">(X1957*(V1957/100)*((W1957+T1957)/1000))*1000</f>
        <v>0.08488125</v>
      </c>
    </row>
    <row r="1958" customFormat="false" ht="15" hidden="false" customHeight="false" outlineLevel="0" collapsed="false">
      <c r="A1958" s="0" t="s">
        <v>104</v>
      </c>
      <c r="B1958" s="0" t="s">
        <v>105</v>
      </c>
      <c r="C1958" s="0" t="s">
        <v>106</v>
      </c>
      <c r="D1958" s="0" t="s">
        <v>168</v>
      </c>
      <c r="E1958" s="0" t="n">
        <v>41</v>
      </c>
      <c r="F1958" s="0" t="n">
        <v>2</v>
      </c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3" t="n">
        <v>7</v>
      </c>
      <c r="S1958" s="1"/>
      <c r="T1958" s="1"/>
      <c r="U1958" s="1"/>
      <c r="V1958" s="1"/>
      <c r="W1958" s="1"/>
      <c r="X1958" s="1"/>
      <c r="Y1958" s="5"/>
      <c r="Z1958" s="1"/>
    </row>
    <row r="1959" customFormat="false" ht="15" hidden="false" customHeight="false" outlineLevel="0" collapsed="false">
      <c r="A1959" s="0" t="s">
        <v>107</v>
      </c>
      <c r="B1959" s="0" t="s">
        <v>37</v>
      </c>
      <c r="C1959" s="0" t="s">
        <v>106</v>
      </c>
      <c r="D1959" s="0" t="s">
        <v>168</v>
      </c>
      <c r="E1959" s="0" t="n">
        <v>41</v>
      </c>
      <c r="F1959" s="0" t="n">
        <v>0</v>
      </c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3" t="n">
        <v>7</v>
      </c>
      <c r="S1959" s="1"/>
      <c r="T1959" s="1"/>
      <c r="U1959" s="1"/>
      <c r="V1959" s="1"/>
      <c r="W1959" s="1"/>
      <c r="X1959" s="1"/>
      <c r="Y1959" s="5"/>
      <c r="Z1959" s="1"/>
    </row>
    <row r="1960" customFormat="false" ht="15" hidden="false" customHeight="false" outlineLevel="0" collapsed="false">
      <c r="A1960" s="0" t="s">
        <v>108</v>
      </c>
      <c r="B1960" s="0" t="s">
        <v>109</v>
      </c>
      <c r="C1960" s="0" t="s">
        <v>106</v>
      </c>
      <c r="D1960" s="0" t="s">
        <v>168</v>
      </c>
      <c r="E1960" s="0" t="n">
        <v>41</v>
      </c>
      <c r="F1960" s="0" t="n">
        <v>3</v>
      </c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3" t="n">
        <v>7</v>
      </c>
      <c r="S1960" s="1"/>
      <c r="T1960" s="1"/>
      <c r="U1960" s="1"/>
      <c r="V1960" s="1"/>
      <c r="W1960" s="1"/>
      <c r="X1960" s="1"/>
      <c r="Y1960" s="5"/>
      <c r="Z1960" s="1"/>
    </row>
    <row r="1961" customFormat="false" ht="15" hidden="false" customHeight="false" outlineLevel="0" collapsed="false">
      <c r="A1961" s="0" t="s">
        <v>110</v>
      </c>
      <c r="B1961" s="0" t="s">
        <v>111</v>
      </c>
      <c r="C1961" s="0" t="s">
        <v>106</v>
      </c>
      <c r="D1961" s="0" t="s">
        <v>168</v>
      </c>
      <c r="E1961" s="0" t="n">
        <v>41</v>
      </c>
      <c r="F1961" s="0" t="n">
        <v>1</v>
      </c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3" t="n">
        <v>10</v>
      </c>
      <c r="S1961" s="1"/>
      <c r="T1961" s="1"/>
      <c r="U1961" s="1"/>
      <c r="V1961" s="1"/>
      <c r="W1961" s="1"/>
      <c r="X1961" s="1"/>
      <c r="Y1961" s="5"/>
      <c r="Z1961" s="1"/>
    </row>
    <row r="1962" customFormat="false" ht="15" hidden="false" customHeight="false" outlineLevel="0" collapsed="false">
      <c r="A1962" s="0" t="s">
        <v>112</v>
      </c>
      <c r="B1962" s="0" t="s">
        <v>113</v>
      </c>
      <c r="C1962" s="0" t="s">
        <v>106</v>
      </c>
      <c r="D1962" s="0" t="s">
        <v>168</v>
      </c>
      <c r="E1962" s="0" t="n">
        <v>41</v>
      </c>
      <c r="F1962" s="0" t="n">
        <v>2</v>
      </c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3" t="n">
        <v>12</v>
      </c>
      <c r="S1962" s="1"/>
      <c r="T1962" s="1"/>
      <c r="U1962" s="1"/>
      <c r="V1962" s="1"/>
      <c r="W1962" s="1"/>
      <c r="X1962" s="1"/>
      <c r="Y1962" s="5"/>
      <c r="Z1962" s="1"/>
    </row>
    <row r="1963" customFormat="false" ht="15" hidden="false" customHeight="false" outlineLevel="0" collapsed="false">
      <c r="A1963" s="0" t="s">
        <v>114</v>
      </c>
      <c r="B1963" s="0" t="s">
        <v>115</v>
      </c>
      <c r="C1963" s="0" t="s">
        <v>106</v>
      </c>
      <c r="D1963" s="0" t="s">
        <v>168</v>
      </c>
      <c r="E1963" s="0" t="n">
        <v>41</v>
      </c>
      <c r="F1963" s="0" t="n">
        <v>2</v>
      </c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3" t="n">
        <v>6</v>
      </c>
      <c r="S1963" s="1"/>
      <c r="T1963" s="1"/>
      <c r="U1963" s="1"/>
      <c r="V1963" s="1"/>
      <c r="W1963" s="1"/>
      <c r="X1963" s="1"/>
      <c r="Y1963" s="5"/>
      <c r="Z1963" s="1"/>
    </row>
    <row r="1964" customFormat="false" ht="15" hidden="false" customHeight="false" outlineLevel="0" collapsed="false">
      <c r="A1964" s="0" t="s">
        <v>116</v>
      </c>
      <c r="B1964" s="0" t="s">
        <v>117</v>
      </c>
      <c r="C1964" s="0" t="s">
        <v>106</v>
      </c>
      <c r="D1964" s="0" t="s">
        <v>168</v>
      </c>
      <c r="E1964" s="0" t="n">
        <v>41</v>
      </c>
      <c r="F1964" s="0" t="n">
        <v>0</v>
      </c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3" t="n">
        <v>5</v>
      </c>
      <c r="S1964" s="1"/>
      <c r="T1964" s="1"/>
      <c r="U1964" s="1"/>
      <c r="V1964" s="1"/>
      <c r="W1964" s="1"/>
      <c r="X1964" s="1"/>
      <c r="Y1964" s="5"/>
      <c r="Z1964" s="1"/>
    </row>
    <row r="1965" customFormat="false" ht="15" hidden="false" customHeight="false" outlineLevel="0" collapsed="false">
      <c r="A1965" s="0" t="s">
        <v>118</v>
      </c>
      <c r="B1965" s="0" t="s">
        <v>119</v>
      </c>
      <c r="C1965" s="0" t="s">
        <v>106</v>
      </c>
      <c r="D1965" s="0" t="s">
        <v>168</v>
      </c>
      <c r="E1965" s="0" t="n">
        <v>41</v>
      </c>
      <c r="F1965" s="0" t="n">
        <v>0</v>
      </c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3" t="n">
        <v>8</v>
      </c>
      <c r="S1965" s="1"/>
      <c r="T1965" s="1"/>
      <c r="U1965" s="1"/>
      <c r="V1965" s="1"/>
      <c r="W1965" s="1"/>
      <c r="X1965" s="1"/>
      <c r="Y1965" s="5"/>
      <c r="Z1965" s="1"/>
    </row>
    <row r="1966" customFormat="false" ht="15" hidden="false" customHeight="false" outlineLevel="0" collapsed="false">
      <c r="A1966" s="0" t="s">
        <v>120</v>
      </c>
      <c r="B1966" s="0" t="s">
        <v>121</v>
      </c>
      <c r="C1966" s="0" t="s">
        <v>106</v>
      </c>
      <c r="D1966" s="0" t="s">
        <v>168</v>
      </c>
      <c r="E1966" s="0" t="n">
        <v>41</v>
      </c>
      <c r="F1966" s="0" t="n">
        <v>0</v>
      </c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3" t="n">
        <v>7</v>
      </c>
      <c r="S1966" s="1"/>
      <c r="T1966" s="1"/>
      <c r="U1966" s="1"/>
      <c r="V1966" s="1"/>
      <c r="W1966" s="1"/>
      <c r="X1966" s="1"/>
      <c r="Y1966" s="5"/>
      <c r="Z1966" s="1"/>
    </row>
    <row r="1967" customFormat="false" ht="15" hidden="false" customHeight="false" outlineLevel="0" collapsed="false">
      <c r="A1967" s="0" t="s">
        <v>122</v>
      </c>
      <c r="B1967" s="0" t="s">
        <v>123</v>
      </c>
      <c r="C1967" s="0" t="s">
        <v>106</v>
      </c>
      <c r="D1967" s="0" t="s">
        <v>168</v>
      </c>
      <c r="E1967" s="0" t="n">
        <v>41</v>
      </c>
      <c r="F1967" s="0" t="n">
        <v>0</v>
      </c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3" t="n">
        <v>9</v>
      </c>
      <c r="S1967" s="1"/>
      <c r="T1967" s="1"/>
      <c r="U1967" s="1"/>
      <c r="V1967" s="1"/>
      <c r="W1967" s="1"/>
      <c r="X1967" s="1"/>
      <c r="Y1967" s="5"/>
      <c r="Z1967" s="1"/>
    </row>
    <row r="1968" customFormat="false" ht="15" hidden="false" customHeight="false" outlineLevel="0" collapsed="false">
      <c r="A1968" s="0" t="s">
        <v>124</v>
      </c>
      <c r="B1968" s="0" t="s">
        <v>125</v>
      </c>
      <c r="C1968" s="0" t="s">
        <v>106</v>
      </c>
      <c r="D1968" s="0" t="s">
        <v>168</v>
      </c>
      <c r="E1968" s="0" t="n">
        <v>41</v>
      </c>
      <c r="F1968" s="0" t="n">
        <v>1</v>
      </c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3" t="n">
        <v>4</v>
      </c>
      <c r="S1968" s="1"/>
      <c r="T1968" s="1"/>
      <c r="U1968" s="1"/>
      <c r="V1968" s="1"/>
      <c r="W1968" s="1"/>
      <c r="X1968" s="1"/>
      <c r="Y1968" s="5"/>
      <c r="Z1968" s="1"/>
    </row>
    <row r="1969" customFormat="false" ht="15" hidden="false" customHeight="false" outlineLevel="0" collapsed="false">
      <c r="A1969" s="0" t="s">
        <v>126</v>
      </c>
      <c r="B1969" s="0" t="s">
        <v>127</v>
      </c>
      <c r="C1969" s="0" t="s">
        <v>106</v>
      </c>
      <c r="D1969" s="0" t="s">
        <v>168</v>
      </c>
      <c r="E1969" s="0" t="n">
        <v>41</v>
      </c>
      <c r="F1969" s="0" t="n">
        <v>0</v>
      </c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3" t="n">
        <v>7</v>
      </c>
      <c r="S1969" s="1"/>
      <c r="T1969" s="1"/>
      <c r="U1969" s="1"/>
      <c r="V1969" s="1"/>
      <c r="W1969" s="1"/>
      <c r="X1969" s="1"/>
      <c r="Y1969" s="5"/>
      <c r="Z1969" s="1"/>
    </row>
    <row r="1970" customFormat="false" ht="15" hidden="false" customHeight="false" outlineLevel="0" collapsed="false">
      <c r="A1970" s="0" t="s">
        <v>26</v>
      </c>
      <c r="B1970" s="0" t="s">
        <v>27</v>
      </c>
      <c r="C1970" s="0" t="s">
        <v>28</v>
      </c>
      <c r="D1970" s="0" t="s">
        <v>169</v>
      </c>
      <c r="E1970" s="0" t="n">
        <v>42</v>
      </c>
      <c r="F1970" s="0" t="n">
        <v>0</v>
      </c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3" t="n">
        <v>3</v>
      </c>
      <c r="S1970" s="0" t="n">
        <v>17.1</v>
      </c>
      <c r="T1970" s="0" t="n">
        <f aca="false">(S1970/32)*5</f>
        <v>2.671875</v>
      </c>
      <c r="V1970" s="0" t="n">
        <v>32.5</v>
      </c>
      <c r="W1970" s="0" t="n">
        <v>4</v>
      </c>
      <c r="X1970" s="3" t="n">
        <f aca="false">LOOKUP(V1970,$AB$3:$AC$123)</f>
        <v>1.13905</v>
      </c>
      <c r="Y1970" s="2" t="n">
        <f aca="false">(V1970*((W1970+T1970)/1000)*X1970)/((((W1970+T1970)/1000)*X1970)-((W1970/1000)*0.9982))</f>
        <v>68.4781601718803</v>
      </c>
      <c r="Z1970" s="3" t="n">
        <f aca="false">(X1970*(V1970/100)*((W1970+T1970)/1000))*1000</f>
        <v>2.46986974609375</v>
      </c>
    </row>
    <row r="1971" customFormat="false" ht="15" hidden="false" customHeight="false" outlineLevel="0" collapsed="false">
      <c r="A1971" s="0" t="s">
        <v>32</v>
      </c>
      <c r="B1971" s="0" t="s">
        <v>33</v>
      </c>
      <c r="C1971" s="0" t="s">
        <v>28</v>
      </c>
      <c r="D1971" s="0" t="s">
        <v>169</v>
      </c>
      <c r="E1971" s="0" t="n">
        <v>42</v>
      </c>
      <c r="F1971" s="0" t="n">
        <v>1</v>
      </c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3" t="n">
        <v>6</v>
      </c>
      <c r="S1971" s="0" t="n">
        <v>33</v>
      </c>
      <c r="T1971" s="0" t="n">
        <f aca="false">(S1971/32)*5</f>
        <v>5.15625</v>
      </c>
      <c r="V1971" s="0" t="n">
        <v>41</v>
      </c>
      <c r="W1971" s="0" t="n">
        <v>4</v>
      </c>
      <c r="X1971" s="3" t="n">
        <f aca="false">LOOKUP(V1971,$AB$3:$AC$123)</f>
        <v>1.1816</v>
      </c>
      <c r="Y1971" s="2" t="n">
        <f aca="false">(V1971*((W1971+T1971)/1000)*X1971)/((((W1971+T1971)/1000)*X1971)-((W1971/1000)*0.9982))</f>
        <v>64.9817468659471</v>
      </c>
      <c r="Z1971" s="3" t="n">
        <f aca="false">(X1971*(V1971/100)*((W1971+T1971)/1000))*1000</f>
        <v>4.43580025</v>
      </c>
    </row>
    <row r="1972" customFormat="false" ht="15" hidden="false" customHeight="false" outlineLevel="0" collapsed="false">
      <c r="A1972" s="0" t="s">
        <v>34</v>
      </c>
      <c r="B1972" s="0" t="s">
        <v>35</v>
      </c>
      <c r="C1972" s="0" t="s">
        <v>28</v>
      </c>
      <c r="D1972" s="0" t="s">
        <v>169</v>
      </c>
      <c r="E1972" s="0" t="n">
        <v>42</v>
      </c>
      <c r="F1972" s="0" t="n">
        <v>2</v>
      </c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3" t="n">
        <v>5</v>
      </c>
      <c r="S1972" s="0" t="n">
        <v>15.3</v>
      </c>
      <c r="T1972" s="0" t="n">
        <f aca="false">(S1972/32)*5</f>
        <v>2.390625</v>
      </c>
      <c r="V1972" s="0" t="n">
        <v>22</v>
      </c>
      <c r="W1972" s="0" t="n">
        <v>4</v>
      </c>
      <c r="X1972" s="3" t="n">
        <f aca="false">LOOKUP(V1972,$AB$3:$AC$123)</f>
        <v>1.0899</v>
      </c>
      <c r="Y1972" s="2" t="n">
        <f aca="false">(V1972*((W1972+T1972)/1000)*X1972)/((((W1972+T1972)/1000)*X1972)-((W1972/1000)*0.9982))</f>
        <v>51.5529903553542</v>
      </c>
      <c r="Z1972" s="3" t="n">
        <f aca="false">(X1972*(V1972/100)*((W1972+T1972)/1000))*1000</f>
        <v>1.53233128125</v>
      </c>
    </row>
    <row r="1973" customFormat="false" ht="15" hidden="false" customHeight="false" outlineLevel="0" collapsed="false">
      <c r="A1973" s="0" t="s">
        <v>36</v>
      </c>
      <c r="B1973" s="0" t="s">
        <v>37</v>
      </c>
      <c r="C1973" s="0" t="s">
        <v>28</v>
      </c>
      <c r="D1973" s="0" t="s">
        <v>169</v>
      </c>
      <c r="E1973" s="0" t="n">
        <v>42</v>
      </c>
      <c r="F1973" s="0" t="n">
        <v>0</v>
      </c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3" t="n">
        <v>2</v>
      </c>
      <c r="S1973" s="0" t="n">
        <v>4.8</v>
      </c>
      <c r="T1973" s="0" t="n">
        <f aca="false">(S1973/32)*5</f>
        <v>0.75</v>
      </c>
      <c r="V1973" s="0" t="n">
        <v>11</v>
      </c>
      <c r="W1973" s="0" t="n">
        <v>4</v>
      </c>
      <c r="X1973" s="3" t="n">
        <f aca="false">LOOKUP(V1973,$AB$3:$AC$123)</f>
        <v>1.0423</v>
      </c>
      <c r="Y1973" s="2" t="n">
        <f aca="false">(V1973*((W1973+T1973)/1000)*X1973)/((((W1973+T1973)/1000)*X1973)-((W1973/1000)*0.9982))</f>
        <v>56.8403652968037</v>
      </c>
      <c r="Z1973" s="3" t="n">
        <f aca="false">(X1973*(V1973/100)*((W1973+T1973)/1000))*1000</f>
        <v>0.54460175</v>
      </c>
    </row>
    <row r="1974" customFormat="false" ht="15" hidden="false" customHeight="false" outlineLevel="0" collapsed="false">
      <c r="A1974" s="0" t="s">
        <v>38</v>
      </c>
      <c r="B1974" s="0" t="s">
        <v>39</v>
      </c>
      <c r="C1974" s="0" t="s">
        <v>28</v>
      </c>
      <c r="D1974" s="0" t="s">
        <v>169</v>
      </c>
      <c r="E1974" s="0" t="n">
        <v>42</v>
      </c>
      <c r="F1974" s="0" t="n">
        <v>1</v>
      </c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3" t="n">
        <v>4</v>
      </c>
      <c r="S1974" s="0" t="n">
        <v>14.3</v>
      </c>
      <c r="T1974" s="0" t="n">
        <f aca="false">(S1974/32)*5</f>
        <v>2.234375</v>
      </c>
      <c r="V1974" s="0" t="n">
        <v>22.5</v>
      </c>
      <c r="W1974" s="0" t="n">
        <v>4</v>
      </c>
      <c r="X1974" s="3" t="n">
        <f aca="false">LOOKUP(V1974,$AB$3:$AC$123)</f>
        <v>1.092175</v>
      </c>
      <c r="Y1974" s="2" t="n">
        <f aca="false">(V1974*((W1974+T1974)/1000)*X1974)/((((W1974+T1974)/1000)*X1974)-((W1974/1000)*0.9982))</f>
        <v>54.4001102011292</v>
      </c>
      <c r="Z1974" s="3" t="n">
        <f aca="false">(X1974*(V1974/100)*((W1974+T1974)/1000))*1000</f>
        <v>1.53203141601563</v>
      </c>
    </row>
    <row r="1975" customFormat="false" ht="15" hidden="false" customHeight="false" outlineLevel="0" collapsed="false">
      <c r="A1975" s="0" t="s">
        <v>40</v>
      </c>
      <c r="B1975" s="0" t="s">
        <v>41</v>
      </c>
      <c r="C1975" s="0" t="s">
        <v>28</v>
      </c>
      <c r="D1975" s="0" t="s">
        <v>169</v>
      </c>
      <c r="E1975" s="0" t="n">
        <v>42</v>
      </c>
      <c r="F1975" s="0" t="n">
        <v>1</v>
      </c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3" t="n">
        <v>4</v>
      </c>
      <c r="S1975" s="0" t="n">
        <v>13.7</v>
      </c>
      <c r="T1975" s="0" t="n">
        <f aca="false">(S1975/32)*5</f>
        <v>2.140625</v>
      </c>
      <c r="V1975" s="0" t="n">
        <v>20</v>
      </c>
      <c r="W1975" s="0" t="n">
        <v>4</v>
      </c>
      <c r="X1975" s="3" t="n">
        <f aca="false">LOOKUP(V1975,$AB$3:$AC$123)</f>
        <v>1.081</v>
      </c>
      <c r="Y1975" s="2" t="n">
        <f aca="false">(V1975*((W1975+T1975)/1000)*X1975)/((((W1975+T1975)/1000)*X1975)-((W1975/1000)*0.9982))</f>
        <v>50.1888433008179</v>
      </c>
      <c r="Z1975" s="3" t="n">
        <f aca="false">(X1975*(V1975/100)*((W1975+T1975)/1000))*1000</f>
        <v>1.327603125</v>
      </c>
    </row>
    <row r="1976" customFormat="false" ht="15" hidden="false" customHeight="false" outlineLevel="0" collapsed="false">
      <c r="A1976" s="0" t="s">
        <v>42</v>
      </c>
      <c r="B1976" s="0" t="s">
        <v>43</v>
      </c>
      <c r="C1976" s="0" t="s">
        <v>28</v>
      </c>
      <c r="D1976" s="0" t="s">
        <v>169</v>
      </c>
      <c r="E1976" s="0" t="n">
        <v>42</v>
      </c>
      <c r="F1976" s="0" t="n">
        <v>1</v>
      </c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3" t="n">
        <v>6</v>
      </c>
      <c r="S1976" s="0" t="n">
        <v>33.7</v>
      </c>
      <c r="T1976" s="0" t="n">
        <f aca="false">(S1976/32)*5</f>
        <v>5.265625</v>
      </c>
      <c r="V1976" s="0" t="n">
        <v>38</v>
      </c>
      <c r="W1976" s="0" t="n">
        <v>4</v>
      </c>
      <c r="X1976" s="3" t="n">
        <f aca="false">LOOKUP(V1976,$AB$3:$AC$123)</f>
        <v>1.1663</v>
      </c>
      <c r="Y1976" s="2" t="n">
        <f aca="false">(V1976*((W1976+T1976)/1000)*X1976)/((((W1976+T1976)/1000)*X1976)-((W1976/1000)*0.9982))</f>
        <v>60.2678478350254</v>
      </c>
      <c r="Z1976" s="3" t="n">
        <f aca="false">(X1976*(V1976/100)*((W1976+T1976)/1000))*1000</f>
        <v>4.10646940625</v>
      </c>
    </row>
    <row r="1977" customFormat="false" ht="15" hidden="false" customHeight="false" outlineLevel="0" collapsed="false">
      <c r="A1977" s="0" t="s">
        <v>44</v>
      </c>
      <c r="B1977" s="0" t="s">
        <v>45</v>
      </c>
      <c r="C1977" s="0" t="s">
        <v>28</v>
      </c>
      <c r="D1977" s="0" t="s">
        <v>169</v>
      </c>
      <c r="E1977" s="0" t="n">
        <v>42</v>
      </c>
      <c r="F1977" s="0" t="n">
        <v>1</v>
      </c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3" t="n">
        <v>4</v>
      </c>
      <c r="S1977" s="0" t="n">
        <v>16.4</v>
      </c>
      <c r="T1977" s="0" t="n">
        <f aca="false">(S1977/32)*5</f>
        <v>2.5625</v>
      </c>
      <c r="V1977" s="0" t="n">
        <v>23</v>
      </c>
      <c r="W1977" s="0" t="n">
        <v>4</v>
      </c>
      <c r="X1977" s="3" t="n">
        <f aca="false">LOOKUP(V1977,$AB$3:$AC$123)</f>
        <v>1.09445</v>
      </c>
      <c r="Y1977" s="2" t="n">
        <f aca="false">(V1977*((W1977+T1977)/1000)*X1977)/((((W1977+T1977)/1000)*X1977)-((W1977/1000)*0.9982))</f>
        <v>51.7924722407018</v>
      </c>
      <c r="Z1977" s="3" t="n">
        <f aca="false">(X1977*(V1977/100)*((W1977+T1977)/1000))*1000</f>
        <v>1.65193546875</v>
      </c>
    </row>
    <row r="1978" customFormat="false" ht="15" hidden="false" customHeight="false" outlineLevel="0" collapsed="false">
      <c r="A1978" s="0" t="s">
        <v>46</v>
      </c>
      <c r="B1978" s="0" t="s">
        <v>47</v>
      </c>
      <c r="C1978" s="0" t="s">
        <v>28</v>
      </c>
      <c r="D1978" s="0" t="s">
        <v>169</v>
      </c>
      <c r="E1978" s="0" t="n">
        <v>42</v>
      </c>
      <c r="F1978" s="0" t="n">
        <v>0</v>
      </c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3" t="n">
        <v>5</v>
      </c>
      <c r="S1978" s="0" t="n">
        <v>14.8</v>
      </c>
      <c r="T1978" s="0" t="n">
        <f aca="false">(S1978/32)*5</f>
        <v>2.3125</v>
      </c>
      <c r="V1978" s="0" t="n">
        <v>28</v>
      </c>
      <c r="W1978" s="0" t="n">
        <v>4</v>
      </c>
      <c r="X1978" s="3" t="n">
        <f aca="false">LOOKUP(V1978,$AB$3:$AC$123)</f>
        <v>1.1175</v>
      </c>
      <c r="Y1978" s="2" t="n">
        <f aca="false">(V1978*((W1978+T1978)/1000)*X1978)/((((W1978+T1978)/1000)*X1978)-((W1978/1000)*0.9982))</f>
        <v>64.5184932639483</v>
      </c>
      <c r="Z1978" s="3" t="n">
        <f aca="false">(X1978*(V1978/100)*((W1978+T1978)/1000))*1000</f>
        <v>1.97518125</v>
      </c>
    </row>
    <row r="1979" customFormat="false" ht="15" hidden="false" customHeight="false" outlineLevel="0" collapsed="false">
      <c r="A1979" s="0" t="s">
        <v>48</v>
      </c>
      <c r="B1979" s="0" t="s">
        <v>49</v>
      </c>
      <c r="C1979" s="0" t="s">
        <v>28</v>
      </c>
      <c r="D1979" s="0" t="s">
        <v>169</v>
      </c>
      <c r="E1979" s="0" t="n">
        <v>42</v>
      </c>
      <c r="F1979" s="0" t="n">
        <v>1</v>
      </c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3" t="n">
        <v>4</v>
      </c>
      <c r="S1979" s="0" t="n">
        <v>13.1</v>
      </c>
      <c r="T1979" s="0" t="n">
        <f aca="false">(S1979/32)*5</f>
        <v>2.046875</v>
      </c>
      <c r="V1979" s="0" t="n">
        <v>13.5</v>
      </c>
      <c r="W1979" s="0" t="n">
        <v>4</v>
      </c>
      <c r="X1979" s="3" t="n">
        <f aca="false">LOOKUP(V1979,$AB$3:$AC$123)</f>
        <v>1.0528</v>
      </c>
      <c r="Y1979" s="2" t="n">
        <f aca="false">(V1979*((W1979+T1979)/1000)*X1979)/((((W1979+T1979)/1000)*X1979)-((W1979/1000)*0.9982))</f>
        <v>36.211694440348</v>
      </c>
      <c r="Z1979" s="3" t="n">
        <f aca="false">(X1979*(V1979/100)*((W1979+T1979)/1000))*1000</f>
        <v>0.85943025</v>
      </c>
    </row>
    <row r="1980" customFormat="false" ht="15" hidden="false" customHeight="false" outlineLevel="0" collapsed="false">
      <c r="A1980" s="0" t="s">
        <v>50</v>
      </c>
      <c r="B1980" s="0" t="s">
        <v>51</v>
      </c>
      <c r="C1980" s="0" t="s">
        <v>28</v>
      </c>
      <c r="D1980" s="0" t="s">
        <v>169</v>
      </c>
      <c r="E1980" s="0" t="n">
        <v>42</v>
      </c>
      <c r="F1980" s="0" t="n">
        <v>0</v>
      </c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3" t="n">
        <v>9</v>
      </c>
      <c r="S1980" s="0" t="n">
        <v>11.6</v>
      </c>
      <c r="T1980" s="0" t="n">
        <f aca="false">(S1980/32)*5</f>
        <v>1.8125</v>
      </c>
      <c r="V1980" s="0" t="n">
        <v>12.5</v>
      </c>
      <c r="W1980" s="0" t="n">
        <v>4</v>
      </c>
      <c r="X1980" s="3" t="n">
        <f aca="false">LOOKUP(V1980,$AB$3:$AC$123)</f>
        <v>1.0486</v>
      </c>
      <c r="Y1980" s="2" t="n">
        <f aca="false">(V1980*((W1980+T1980)/1000)*X1980)/((((W1980+T1980)/1000)*X1980)-((W1980/1000)*0.9982))</f>
        <v>36.241935483871</v>
      </c>
      <c r="Z1980" s="3" t="n">
        <f aca="false">(X1980*(V1980/100)*((W1980+T1980)/1000))*1000</f>
        <v>0.7618734375</v>
      </c>
    </row>
    <row r="1981" customFormat="false" ht="15" hidden="false" customHeight="false" outlineLevel="0" collapsed="false">
      <c r="A1981" s="0" t="s">
        <v>52</v>
      </c>
      <c r="B1981" s="0" t="s">
        <v>53</v>
      </c>
      <c r="C1981" s="0" t="s">
        <v>28</v>
      </c>
      <c r="D1981" s="0" t="s">
        <v>169</v>
      </c>
      <c r="E1981" s="0" t="n">
        <v>42</v>
      </c>
      <c r="F1981" s="0" t="n">
        <v>0</v>
      </c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3" t="n">
        <v>6</v>
      </c>
      <c r="S1981" s="0" t="n">
        <v>17.8</v>
      </c>
      <c r="T1981" s="0" t="n">
        <f aca="false">(S1981/32)*5</f>
        <v>2.78125</v>
      </c>
      <c r="V1981" s="0" t="n">
        <v>32.5</v>
      </c>
      <c r="W1981" s="0" t="n">
        <v>4</v>
      </c>
      <c r="X1981" s="3" t="n">
        <f aca="false">LOOKUP(V1981,$AB$3:$AC$123)</f>
        <v>1.13905</v>
      </c>
      <c r="Y1981" s="2" t="n">
        <f aca="false">(V1981*((W1981+T1981)/1000)*X1981)/((((W1981+T1981)/1000)*X1981)-((W1981/1000)*0.9982))</f>
        <v>67.2769195820082</v>
      </c>
      <c r="Z1981" s="3" t="n">
        <f aca="false">(X1981*(V1981/100)*((W1981+T1981)/1000))*1000</f>
        <v>2.5103594140625</v>
      </c>
    </row>
    <row r="1982" customFormat="false" ht="15" hidden="false" customHeight="false" outlineLevel="0" collapsed="false">
      <c r="A1982" s="0" t="s">
        <v>54</v>
      </c>
      <c r="B1982" s="0" t="s">
        <v>55</v>
      </c>
      <c r="C1982" s="0" t="s">
        <v>56</v>
      </c>
      <c r="D1982" s="0" t="s">
        <v>169</v>
      </c>
      <c r="E1982" s="0" t="n">
        <v>42</v>
      </c>
      <c r="F1982" s="0" t="n">
        <v>0</v>
      </c>
      <c r="G1982" s="1"/>
      <c r="H1982" s="1"/>
      <c r="I1982" s="0" t="n">
        <v>0</v>
      </c>
      <c r="J1982" s="0" t="n">
        <f aca="false">(I1982/32)*5</f>
        <v>0</v>
      </c>
      <c r="L1982" s="0" t="n">
        <v>0</v>
      </c>
      <c r="M1982" s="0" t="n">
        <v>0</v>
      </c>
      <c r="N1982" s="0" t="n">
        <f aca="false">L1982</f>
        <v>0</v>
      </c>
      <c r="O1982" s="3" t="n">
        <v>0</v>
      </c>
      <c r="P1982" s="3" t="n">
        <f aca="false">(O1982*(N1982/100)*(J1982/1000))*1000</f>
        <v>0</v>
      </c>
      <c r="Q1982" s="3"/>
      <c r="R1982" s="1"/>
      <c r="S1982" s="1"/>
      <c r="T1982" s="1"/>
      <c r="U1982" s="1"/>
      <c r="V1982" s="1"/>
      <c r="W1982" s="1"/>
      <c r="X1982" s="1"/>
      <c r="Y1982" s="5"/>
      <c r="Z1982" s="1"/>
    </row>
    <row r="1983" customFormat="false" ht="15" hidden="false" customHeight="false" outlineLevel="0" collapsed="false">
      <c r="A1983" s="0" t="s">
        <v>57</v>
      </c>
      <c r="B1983" s="0" t="s">
        <v>58</v>
      </c>
      <c r="C1983" s="0" t="s">
        <v>56</v>
      </c>
      <c r="D1983" s="0" t="s">
        <v>169</v>
      </c>
      <c r="E1983" s="0" t="n">
        <v>42</v>
      </c>
      <c r="F1983" s="0" t="n">
        <v>1</v>
      </c>
      <c r="G1983" s="1"/>
      <c r="H1983" s="1"/>
      <c r="I1983" s="0" t="n">
        <f aca="false">23.2+31.4</f>
        <v>54.6</v>
      </c>
      <c r="J1983" s="0" t="n">
        <f aca="false">(I1983/32)*5</f>
        <v>8.53125</v>
      </c>
      <c r="L1983" s="0" t="n">
        <v>15</v>
      </c>
      <c r="M1983" s="0" t="n">
        <v>0</v>
      </c>
      <c r="N1983" s="0" t="n">
        <f aca="false">L1983</f>
        <v>15</v>
      </c>
      <c r="O1983" s="3" t="n">
        <f aca="false">LOOKUP(L1983,$AB$3:$AC$123)</f>
        <v>1.0592</v>
      </c>
      <c r="P1983" s="3" t="n">
        <f aca="false">(O1983*(N1983/100)*(J1983/1000))*1000</f>
        <v>1.355445</v>
      </c>
      <c r="Q1983" s="3"/>
      <c r="R1983" s="1"/>
      <c r="S1983" s="1"/>
      <c r="T1983" s="1"/>
      <c r="U1983" s="1"/>
      <c r="V1983" s="1"/>
      <c r="W1983" s="1"/>
      <c r="X1983" s="1"/>
      <c r="Y1983" s="5"/>
      <c r="Z1983" s="1"/>
    </row>
    <row r="1984" customFormat="false" ht="15" hidden="false" customHeight="false" outlineLevel="0" collapsed="false">
      <c r="A1984" s="0" t="s">
        <v>59</v>
      </c>
      <c r="B1984" s="0" t="s">
        <v>60</v>
      </c>
      <c r="C1984" s="0" t="s">
        <v>56</v>
      </c>
      <c r="D1984" s="0" t="s">
        <v>169</v>
      </c>
      <c r="E1984" s="0" t="n">
        <v>42</v>
      </c>
      <c r="F1984" s="0" t="n">
        <v>0</v>
      </c>
      <c r="G1984" s="1"/>
      <c r="H1984" s="1"/>
      <c r="I1984" s="0" t="n">
        <v>0</v>
      </c>
      <c r="J1984" s="0" t="n">
        <f aca="false">(I1984/32)*5</f>
        <v>0</v>
      </c>
      <c r="L1984" s="0" t="n">
        <v>0</v>
      </c>
      <c r="M1984" s="0" t="n">
        <v>0</v>
      </c>
      <c r="N1984" s="0" t="n">
        <f aca="false">L1984</f>
        <v>0</v>
      </c>
      <c r="O1984" s="3" t="n">
        <v>0</v>
      </c>
      <c r="P1984" s="3" t="n">
        <f aca="false">(O1984*(N1984/100)*(J1984/1000))*1000</f>
        <v>0</v>
      </c>
      <c r="Q1984" s="3"/>
      <c r="R1984" s="1"/>
      <c r="S1984" s="1"/>
      <c r="T1984" s="1"/>
      <c r="U1984" s="1"/>
      <c r="V1984" s="1"/>
      <c r="W1984" s="1"/>
      <c r="X1984" s="1"/>
      <c r="Y1984" s="5"/>
      <c r="Z1984" s="1"/>
    </row>
    <row r="1985" customFormat="false" ht="15" hidden="false" customHeight="false" outlineLevel="0" collapsed="false">
      <c r="A1985" s="0" t="s">
        <v>61</v>
      </c>
      <c r="B1985" s="0" t="s">
        <v>62</v>
      </c>
      <c r="C1985" s="0" t="s">
        <v>56</v>
      </c>
      <c r="D1985" s="0" t="s">
        <v>169</v>
      </c>
      <c r="E1985" s="0" t="n">
        <v>42</v>
      </c>
      <c r="F1985" s="0" t="n">
        <v>1</v>
      </c>
      <c r="G1985" s="1"/>
      <c r="H1985" s="1"/>
      <c r="I1985" s="0" t="n">
        <v>50.5</v>
      </c>
      <c r="J1985" s="0" t="n">
        <f aca="false">(I1985/32)*5</f>
        <v>7.890625</v>
      </c>
      <c r="L1985" s="0" t="n">
        <v>22</v>
      </c>
      <c r="M1985" s="0" t="n">
        <v>0</v>
      </c>
      <c r="N1985" s="0" t="n">
        <f aca="false">L1985</f>
        <v>22</v>
      </c>
      <c r="O1985" s="3" t="n">
        <f aca="false">LOOKUP(L1985,$AB$3:$AC$123)</f>
        <v>1.0899</v>
      </c>
      <c r="P1985" s="3" t="n">
        <f aca="false">(O1985*(N1985/100)*(J1985/1000))*1000</f>
        <v>1.89199828125</v>
      </c>
      <c r="Q1985" s="3"/>
      <c r="R1985" s="1"/>
      <c r="S1985" s="1"/>
      <c r="T1985" s="1"/>
      <c r="U1985" s="1"/>
      <c r="V1985" s="1"/>
      <c r="W1985" s="1"/>
      <c r="X1985" s="1"/>
      <c r="Y1985" s="5"/>
      <c r="Z1985" s="1"/>
    </row>
    <row r="1986" customFormat="false" ht="15" hidden="false" customHeight="false" outlineLevel="0" collapsed="false">
      <c r="A1986" s="0" t="s">
        <v>63</v>
      </c>
      <c r="B1986" s="0" t="s">
        <v>64</v>
      </c>
      <c r="C1986" s="0" t="s">
        <v>56</v>
      </c>
      <c r="D1986" s="0" t="s">
        <v>169</v>
      </c>
      <c r="E1986" s="0" t="n">
        <v>42</v>
      </c>
      <c r="F1986" s="0" t="n">
        <v>0</v>
      </c>
      <c r="G1986" s="1"/>
      <c r="H1986" s="1"/>
      <c r="I1986" s="0" t="n">
        <v>0</v>
      </c>
      <c r="J1986" s="0" t="n">
        <f aca="false">(I1986/32)*5</f>
        <v>0</v>
      </c>
      <c r="L1986" s="0" t="n">
        <v>0</v>
      </c>
      <c r="M1986" s="0" t="n">
        <v>0</v>
      </c>
      <c r="N1986" s="0" t="n">
        <f aca="false">L1986</f>
        <v>0</v>
      </c>
      <c r="O1986" s="3" t="n">
        <v>0</v>
      </c>
      <c r="P1986" s="3" t="n">
        <f aca="false">(O1986*(N1986/100)*(J1986/1000))*1000</f>
        <v>0</v>
      </c>
      <c r="Q1986" s="3"/>
      <c r="R1986" s="1"/>
      <c r="S1986" s="1"/>
      <c r="T1986" s="1"/>
      <c r="U1986" s="1"/>
      <c r="V1986" s="1"/>
      <c r="W1986" s="1"/>
      <c r="X1986" s="1"/>
      <c r="Y1986" s="5"/>
      <c r="Z1986" s="1"/>
    </row>
    <row r="1987" customFormat="false" ht="15" hidden="false" customHeight="false" outlineLevel="0" collapsed="false">
      <c r="A1987" s="0" t="s">
        <v>65</v>
      </c>
      <c r="B1987" s="0" t="s">
        <v>66</v>
      </c>
      <c r="C1987" s="0" t="s">
        <v>56</v>
      </c>
      <c r="D1987" s="0" t="s">
        <v>169</v>
      </c>
      <c r="E1987" s="0" t="n">
        <v>42</v>
      </c>
      <c r="F1987" s="0" t="n">
        <v>1</v>
      </c>
      <c r="G1987" s="1"/>
      <c r="H1987" s="1"/>
      <c r="I1987" s="0" t="n">
        <v>47</v>
      </c>
      <c r="J1987" s="0" t="n">
        <f aca="false">(I1987/32)*5</f>
        <v>7.34375</v>
      </c>
      <c r="L1987" s="0" t="n">
        <v>19</v>
      </c>
      <c r="M1987" s="0" t="n">
        <v>0</v>
      </c>
      <c r="N1987" s="0" t="n">
        <f aca="false">L1987</f>
        <v>19</v>
      </c>
      <c r="O1987" s="3" t="n">
        <f aca="false">LOOKUP(L1987,$AB$3:$AC$123)</f>
        <v>1.0765</v>
      </c>
      <c r="P1987" s="3" t="n">
        <f aca="false">(O1987*(N1987/100)*(J1987/1000))*1000</f>
        <v>1.50205390625</v>
      </c>
      <c r="Q1987" s="3"/>
      <c r="R1987" s="1"/>
      <c r="S1987" s="1"/>
      <c r="T1987" s="1"/>
      <c r="U1987" s="1"/>
      <c r="V1987" s="1"/>
      <c r="W1987" s="1"/>
      <c r="X1987" s="1"/>
      <c r="Y1987" s="5"/>
      <c r="Z1987" s="1"/>
    </row>
    <row r="1988" customFormat="false" ht="15" hidden="false" customHeight="false" outlineLevel="0" collapsed="false">
      <c r="A1988" s="0" t="s">
        <v>67</v>
      </c>
      <c r="B1988" s="0" t="s">
        <v>68</v>
      </c>
      <c r="C1988" s="0" t="s">
        <v>56</v>
      </c>
      <c r="D1988" s="0" t="s">
        <v>169</v>
      </c>
      <c r="E1988" s="0" t="n">
        <v>42</v>
      </c>
      <c r="F1988" s="0" t="n">
        <v>1</v>
      </c>
      <c r="G1988" s="1"/>
      <c r="H1988" s="1"/>
      <c r="I1988" s="0" t="n">
        <f aca="false">1.5+25.9+31.7</f>
        <v>59.1</v>
      </c>
      <c r="J1988" s="0" t="n">
        <f aca="false">(I1988/32)*5</f>
        <v>9.234375</v>
      </c>
      <c r="L1988" s="0" t="n">
        <v>21</v>
      </c>
      <c r="M1988" s="0" t="n">
        <v>0</v>
      </c>
      <c r="N1988" s="0" t="n">
        <f aca="false">L1988</f>
        <v>21</v>
      </c>
      <c r="O1988" s="3" t="n">
        <f aca="false">LOOKUP(L1988,$AB$3:$AC$123)</f>
        <v>1.08545</v>
      </c>
      <c r="P1988" s="3" t="n">
        <f aca="false">(O1988*(N1988/100)*(J1988/1000))*1000</f>
        <v>2.1049249921875</v>
      </c>
      <c r="Q1988" s="3"/>
      <c r="R1988" s="1"/>
      <c r="S1988" s="1"/>
      <c r="T1988" s="1"/>
      <c r="U1988" s="1"/>
      <c r="V1988" s="1"/>
      <c r="W1988" s="1"/>
      <c r="X1988" s="1"/>
      <c r="Y1988" s="5"/>
      <c r="Z1988" s="1"/>
    </row>
    <row r="1989" customFormat="false" ht="15" hidden="false" customHeight="false" outlineLevel="0" collapsed="false">
      <c r="A1989" s="0" t="s">
        <v>69</v>
      </c>
      <c r="B1989" s="0" t="s">
        <v>70</v>
      </c>
      <c r="C1989" s="0" t="s">
        <v>56</v>
      </c>
      <c r="D1989" s="0" t="s">
        <v>169</v>
      </c>
      <c r="E1989" s="0" t="n">
        <v>42</v>
      </c>
      <c r="F1989" s="0" t="n">
        <v>1</v>
      </c>
      <c r="G1989" s="1"/>
      <c r="H1989" s="1"/>
      <c r="I1989" s="0" t="n">
        <f aca="false">19+31.5+24.7</f>
        <v>75.2</v>
      </c>
      <c r="J1989" s="0" t="n">
        <f aca="false">(I1989/32)*5</f>
        <v>11.75</v>
      </c>
      <c r="L1989" s="0" t="n">
        <v>15</v>
      </c>
      <c r="M1989" s="0" t="n">
        <v>0</v>
      </c>
      <c r="N1989" s="0" t="n">
        <f aca="false">L1989</f>
        <v>15</v>
      </c>
      <c r="O1989" s="3" t="n">
        <f aca="false">LOOKUP(L1989,$AB$3:$AC$123)</f>
        <v>1.0592</v>
      </c>
      <c r="P1989" s="3" t="n">
        <f aca="false">(O1989*(N1989/100)*(J1989/1000))*1000</f>
        <v>1.86684</v>
      </c>
      <c r="Q1989" s="3"/>
      <c r="R1989" s="1"/>
      <c r="S1989" s="1"/>
      <c r="T1989" s="1"/>
      <c r="U1989" s="1"/>
      <c r="V1989" s="1"/>
      <c r="W1989" s="1"/>
      <c r="X1989" s="1"/>
      <c r="Y1989" s="5"/>
      <c r="Z1989" s="1"/>
    </row>
    <row r="1990" customFormat="false" ht="15" hidden="false" customHeight="false" outlineLevel="0" collapsed="false">
      <c r="A1990" s="0" t="s">
        <v>71</v>
      </c>
      <c r="B1990" s="0" t="s">
        <v>72</v>
      </c>
      <c r="C1990" s="0" t="s">
        <v>56</v>
      </c>
      <c r="D1990" s="0" t="s">
        <v>169</v>
      </c>
      <c r="E1990" s="0" t="n">
        <v>42</v>
      </c>
      <c r="F1990" s="0" t="n">
        <v>0</v>
      </c>
      <c r="G1990" s="1"/>
      <c r="H1990" s="1"/>
      <c r="I1990" s="0" t="n">
        <v>0</v>
      </c>
      <c r="J1990" s="0" t="n">
        <f aca="false">(I1990/32)*5</f>
        <v>0</v>
      </c>
      <c r="L1990" s="0" t="n">
        <v>0</v>
      </c>
      <c r="M1990" s="0" t="n">
        <v>0</v>
      </c>
      <c r="N1990" s="0" t="n">
        <f aca="false">L1990</f>
        <v>0</v>
      </c>
      <c r="O1990" s="3" t="n">
        <f aca="false">LOOKUP(L1990,$AB$3:$AC$123)</f>
        <v>0.9982</v>
      </c>
      <c r="P1990" s="3" t="n">
        <f aca="false">(O1990*(N1990/100)*(J1990/1000))*1000</f>
        <v>0</v>
      </c>
      <c r="Q1990" s="3"/>
      <c r="R1990" s="1"/>
      <c r="S1990" s="1"/>
      <c r="T1990" s="1"/>
      <c r="U1990" s="1"/>
      <c r="V1990" s="1"/>
      <c r="W1990" s="1"/>
      <c r="X1990" s="1"/>
      <c r="Y1990" s="5"/>
      <c r="Z1990" s="1"/>
    </row>
    <row r="1991" customFormat="false" ht="15" hidden="false" customHeight="false" outlineLevel="0" collapsed="false">
      <c r="A1991" s="0" t="s">
        <v>73</v>
      </c>
      <c r="B1991" s="0" t="s">
        <v>74</v>
      </c>
      <c r="C1991" s="0" t="s">
        <v>56</v>
      </c>
      <c r="D1991" s="0" t="s">
        <v>169</v>
      </c>
      <c r="E1991" s="0" t="n">
        <v>42</v>
      </c>
      <c r="F1991" s="0" t="n">
        <v>0</v>
      </c>
      <c r="G1991" s="1"/>
      <c r="H1991" s="1"/>
      <c r="I1991" s="0" t="n">
        <v>0</v>
      </c>
      <c r="J1991" s="0" t="n">
        <f aca="false">(I1991/32)*5</f>
        <v>0</v>
      </c>
      <c r="L1991" s="0" t="n">
        <v>0</v>
      </c>
      <c r="M1991" s="0" t="n">
        <v>0</v>
      </c>
      <c r="N1991" s="0" t="n">
        <f aca="false">L1991</f>
        <v>0</v>
      </c>
      <c r="O1991" s="3" t="n">
        <f aca="false">LOOKUP(L1991,$AB$3:$AC$123)</f>
        <v>0.9982</v>
      </c>
      <c r="P1991" s="3" t="n">
        <f aca="false">(O1991*(N1991/100)*(J1991/1000))*1000</f>
        <v>0</v>
      </c>
      <c r="Q1991" s="3"/>
      <c r="R1991" s="1"/>
      <c r="S1991" s="1"/>
      <c r="T1991" s="1"/>
      <c r="U1991" s="1"/>
      <c r="V1991" s="1"/>
      <c r="W1991" s="1"/>
      <c r="X1991" s="1"/>
      <c r="Y1991" s="5"/>
      <c r="Z1991" s="1"/>
    </row>
    <row r="1992" customFormat="false" ht="15" hidden="false" customHeight="false" outlineLevel="0" collapsed="false">
      <c r="A1992" s="0" t="s">
        <v>75</v>
      </c>
      <c r="B1992" s="0" t="s">
        <v>76</v>
      </c>
      <c r="C1992" s="0" t="s">
        <v>56</v>
      </c>
      <c r="D1992" s="0" t="s">
        <v>169</v>
      </c>
      <c r="E1992" s="0" t="n">
        <v>42</v>
      </c>
      <c r="F1992" s="0" t="n">
        <v>2</v>
      </c>
      <c r="G1992" s="1"/>
      <c r="H1992" s="1"/>
      <c r="I1992" s="0" t="n">
        <f aca="false">27.7+30.8</f>
        <v>58.5</v>
      </c>
      <c r="J1992" s="0" t="n">
        <f aca="false">(I1992/32)*5</f>
        <v>9.140625</v>
      </c>
      <c r="L1992" s="0" t="n">
        <v>19.5</v>
      </c>
      <c r="M1992" s="0" t="n">
        <v>0</v>
      </c>
      <c r="N1992" s="0" t="n">
        <f aca="false">L1992</f>
        <v>19.5</v>
      </c>
      <c r="O1992" s="3" t="n">
        <f aca="false">LOOKUP(L1992,$AB$3:$AC$123)</f>
        <v>1.07875</v>
      </c>
      <c r="P1992" s="3" t="n">
        <f aca="false">(O1992*(N1992/100)*(J1992/1000))*1000</f>
        <v>1.92278759765625</v>
      </c>
      <c r="Q1992" s="3"/>
      <c r="R1992" s="1"/>
      <c r="S1992" s="1"/>
      <c r="T1992" s="1"/>
      <c r="U1992" s="1"/>
      <c r="V1992" s="1"/>
      <c r="W1992" s="1"/>
      <c r="X1992" s="1"/>
      <c r="Y1992" s="5"/>
      <c r="Z1992" s="1"/>
    </row>
    <row r="1993" customFormat="false" ht="15" hidden="false" customHeight="false" outlineLevel="0" collapsed="false">
      <c r="A1993" s="0" t="s">
        <v>77</v>
      </c>
      <c r="B1993" s="0" t="s">
        <v>78</v>
      </c>
      <c r="C1993" s="0" t="s">
        <v>56</v>
      </c>
      <c r="D1993" s="0" t="s">
        <v>169</v>
      </c>
      <c r="E1993" s="0" t="n">
        <v>42</v>
      </c>
      <c r="F1993" s="0" t="n">
        <v>0</v>
      </c>
      <c r="G1993" s="1"/>
      <c r="H1993" s="1"/>
      <c r="I1993" s="0" t="n">
        <v>0</v>
      </c>
      <c r="J1993" s="0" t="n">
        <f aca="false">(I1993/32)*5</f>
        <v>0</v>
      </c>
      <c r="L1993" s="0" t="n">
        <v>0</v>
      </c>
      <c r="M1993" s="0" t="n">
        <v>0</v>
      </c>
      <c r="N1993" s="0" t="n">
        <f aca="false">L1993</f>
        <v>0</v>
      </c>
      <c r="O1993" s="3" t="n">
        <v>0</v>
      </c>
      <c r="P1993" s="3" t="n">
        <f aca="false">(O1993*(N1993/100)*(J1993/1000))*1000</f>
        <v>0</v>
      </c>
      <c r="Q1993" s="3"/>
      <c r="R1993" s="1"/>
      <c r="S1993" s="1"/>
      <c r="T1993" s="1"/>
      <c r="U1993" s="1"/>
      <c r="V1993" s="1"/>
      <c r="W1993" s="1"/>
      <c r="X1993" s="1"/>
      <c r="Y1993" s="5"/>
      <c r="Z1993" s="1"/>
    </row>
    <row r="1994" customFormat="false" ht="15" hidden="false" customHeight="false" outlineLevel="0" collapsed="false">
      <c r="A1994" s="0" t="s">
        <v>79</v>
      </c>
      <c r="B1994" s="0" t="s">
        <v>80</v>
      </c>
      <c r="C1994" s="0" t="s">
        <v>81</v>
      </c>
      <c r="D1994" s="0" t="s">
        <v>169</v>
      </c>
      <c r="E1994" s="0" t="n">
        <v>42</v>
      </c>
      <c r="F1994" s="0" t="n">
        <v>0</v>
      </c>
      <c r="G1994" s="1"/>
      <c r="H1994" s="1"/>
      <c r="I1994" s="0" t="n">
        <v>0</v>
      </c>
      <c r="J1994" s="0" t="n">
        <f aca="false">(I1994/32)*5</f>
        <v>0</v>
      </c>
      <c r="L1994" s="0" t="n">
        <v>0</v>
      </c>
      <c r="M1994" s="0" t="n">
        <v>0</v>
      </c>
      <c r="N1994" s="0" t="n">
        <f aca="false">L1994</f>
        <v>0</v>
      </c>
      <c r="O1994" s="3" t="n">
        <v>0</v>
      </c>
      <c r="P1994" s="3" t="n">
        <f aca="false">(O1994*(N1994/100)*(J1994/1000))*1000</f>
        <v>0</v>
      </c>
      <c r="Q1994" s="3"/>
      <c r="R1994" s="3" t="n">
        <v>4</v>
      </c>
      <c r="S1994" s="3" t="n">
        <v>7.6</v>
      </c>
      <c r="T1994" s="0" t="n">
        <f aca="false">(S1994/32)*5</f>
        <v>1.1875</v>
      </c>
      <c r="V1994" s="0" t="n">
        <v>15</v>
      </c>
      <c r="W1994" s="0" t="n">
        <v>4</v>
      </c>
      <c r="X1994" s="3" t="n">
        <f aca="false">LOOKUP(V1994,$AB$3:$AC$123)</f>
        <v>1.0592</v>
      </c>
      <c r="Y1994" s="2" t="n">
        <f aca="false">(V1994*((W1994+T1994)/1000)*X1994)/((((W1994+T1994)/1000)*X1994)-((W1994/1000)*0.9982))</f>
        <v>54.8801438274071</v>
      </c>
      <c r="Z1994" s="3" t="n">
        <f aca="false">(X1994*(V1994/100)*((W1994+T1994)/1000))*1000</f>
        <v>0.82419</v>
      </c>
    </row>
    <row r="1995" customFormat="false" ht="15" hidden="false" customHeight="false" outlineLevel="0" collapsed="false">
      <c r="A1995" s="0" t="s">
        <v>82</v>
      </c>
      <c r="B1995" s="0" t="s">
        <v>83</v>
      </c>
      <c r="C1995" s="0" t="s">
        <v>81</v>
      </c>
      <c r="D1995" s="0" t="s">
        <v>169</v>
      </c>
      <c r="E1995" s="0" t="n">
        <v>42</v>
      </c>
      <c r="F1995" s="0" t="n">
        <v>0</v>
      </c>
      <c r="G1995" s="1"/>
      <c r="H1995" s="1"/>
      <c r="I1995" s="0" t="n">
        <v>0</v>
      </c>
      <c r="J1995" s="0" t="n">
        <f aca="false">(I1995/32)*5</f>
        <v>0</v>
      </c>
      <c r="L1995" s="0" t="n">
        <v>0</v>
      </c>
      <c r="M1995" s="0" t="n">
        <v>0</v>
      </c>
      <c r="N1995" s="0" t="n">
        <f aca="false">L1995</f>
        <v>0</v>
      </c>
      <c r="O1995" s="3" t="n">
        <v>0</v>
      </c>
      <c r="P1995" s="3" t="n">
        <f aca="false">(O1995*(N1995/100)*(J1995/1000))*1000</f>
        <v>0</v>
      </c>
      <c r="Q1995" s="3"/>
      <c r="R1995" s="3" t="n">
        <v>2</v>
      </c>
      <c r="S1995" s="3" t="n">
        <v>3.3</v>
      </c>
      <c r="T1995" s="0" t="n">
        <f aca="false">(S1995/32)*5</f>
        <v>0.515625</v>
      </c>
      <c r="V1995" s="0" t="n">
        <v>5.5</v>
      </c>
      <c r="W1995" s="0" t="n">
        <v>4</v>
      </c>
      <c r="X1995" s="3" t="n">
        <f aca="false">LOOKUP(V1995,$AB$3:$AC$123)</f>
        <v>1.01985</v>
      </c>
      <c r="Y1995" s="2" t="n">
        <f aca="false">(V1995*((W1995+T1995)/1000)*X1995)/((((W1995+T1995)/1000)*X1995)-((W1995/1000)*0.9982))</f>
        <v>41.3560467581438</v>
      </c>
      <c r="Z1995" s="3" t="n">
        <f aca="false">(X1995*(V1995/100)*((W1995+T1995)/1000))*1000</f>
        <v>0.25328930859375</v>
      </c>
    </row>
    <row r="1996" customFormat="false" ht="15" hidden="false" customHeight="false" outlineLevel="0" collapsed="false">
      <c r="A1996" s="0" t="s">
        <v>84</v>
      </c>
      <c r="B1996" s="0" t="s">
        <v>85</v>
      </c>
      <c r="C1996" s="0" t="s">
        <v>81</v>
      </c>
      <c r="D1996" s="0" t="s">
        <v>169</v>
      </c>
      <c r="E1996" s="0" t="n">
        <v>42</v>
      </c>
      <c r="F1996" s="0" t="n">
        <v>2</v>
      </c>
      <c r="G1996" s="1"/>
      <c r="H1996" s="1"/>
      <c r="I1996" s="0" t="n">
        <f aca="false">31.2+29.4</f>
        <v>60.6</v>
      </c>
      <c r="J1996" s="0" t="n">
        <f aca="false">(I1996/32)*5</f>
        <v>9.46875</v>
      </c>
      <c r="L1996" s="0" t="n">
        <v>23.5</v>
      </c>
      <c r="M1996" s="0" t="n">
        <v>0</v>
      </c>
      <c r="N1996" s="0" t="n">
        <f aca="false">L1996</f>
        <v>23.5</v>
      </c>
      <c r="O1996" s="3" t="n">
        <f aca="false">LOOKUP(L1996,$AB$3:$AC$123)</f>
        <v>1.096725</v>
      </c>
      <c r="P1996" s="3" t="n">
        <f aca="false">(O1996*(N1996/100)*(J1996/1000))*1000</f>
        <v>2.44038448828125</v>
      </c>
      <c r="Q1996" s="3"/>
      <c r="R1996" s="0" t="n">
        <v>5</v>
      </c>
      <c r="S1996" s="0" t="n">
        <v>18.6</v>
      </c>
      <c r="T1996" s="0" t="n">
        <f aca="false">(S1996/32)*5</f>
        <v>2.90625</v>
      </c>
      <c r="V1996" s="0" t="n">
        <v>25.5</v>
      </c>
      <c r="W1996" s="0" t="n">
        <v>4</v>
      </c>
      <c r="X1996" s="3" t="n">
        <f aca="false">LOOKUP(V1996,$AB$3:$AC$123)</f>
        <v>1.105825</v>
      </c>
      <c r="Y1996" s="2" t="n">
        <f aca="false">(V1996*((W1996+T1996)/1000)*X1996)/((((W1996+T1996)/1000)*X1996)-((W1996/1000)*0.9982))</f>
        <v>53.438504202513</v>
      </c>
      <c r="Z1996" s="3" t="n">
        <f aca="false">(X1996*(V1996/100)*((W1996+T1996)/1000))*1000</f>
        <v>1.94746149609375</v>
      </c>
    </row>
    <row r="1997" customFormat="false" ht="15" hidden="false" customHeight="false" outlineLevel="0" collapsed="false">
      <c r="A1997" s="0" t="s">
        <v>86</v>
      </c>
      <c r="B1997" s="0" t="s">
        <v>87</v>
      </c>
      <c r="C1997" s="0" t="s">
        <v>81</v>
      </c>
      <c r="D1997" s="0" t="s">
        <v>169</v>
      </c>
      <c r="E1997" s="0" t="n">
        <v>42</v>
      </c>
      <c r="F1997" s="0" t="n">
        <v>0</v>
      </c>
      <c r="G1997" s="1"/>
      <c r="H1997" s="1"/>
      <c r="I1997" s="0" t="n">
        <v>0</v>
      </c>
      <c r="J1997" s="0" t="n">
        <f aca="false">(I1997/32)*5</f>
        <v>0</v>
      </c>
      <c r="L1997" s="0" t="n">
        <v>0</v>
      </c>
      <c r="M1997" s="0" t="n">
        <v>0</v>
      </c>
      <c r="N1997" s="0" t="n">
        <f aca="false">L1997</f>
        <v>0</v>
      </c>
      <c r="O1997" s="3" t="n">
        <v>0</v>
      </c>
      <c r="P1997" s="3" t="n">
        <f aca="false">(O1997*(N1997/100)*(J1997/1000))*1000</f>
        <v>0</v>
      </c>
      <c r="Q1997" s="3"/>
      <c r="R1997" s="3" t="n">
        <v>5</v>
      </c>
      <c r="S1997" s="3" t="n">
        <v>16.6</v>
      </c>
      <c r="T1997" s="0" t="n">
        <f aca="false">(S1997/32)*5</f>
        <v>2.59375</v>
      </c>
      <c r="V1997" s="0" t="n">
        <v>25</v>
      </c>
      <c r="W1997" s="0" t="n">
        <v>4</v>
      </c>
      <c r="X1997" s="3" t="n">
        <f aca="false">LOOKUP(V1997,$AB$3:$AC$123)</f>
        <v>1.10355</v>
      </c>
      <c r="Y1997" s="2" t="n">
        <f aca="false">(V1997*((W1997+T1997)/1000)*X1997)/((((W1997+T1997)/1000)*X1997)-((W1997/1000)*0.9982))</f>
        <v>55.3983319288405</v>
      </c>
      <c r="Z1997" s="3" t="n">
        <f aca="false">(X1997*(V1997/100)*((W1997+T1997)/1000))*1000</f>
        <v>1.819133203125</v>
      </c>
    </row>
    <row r="1998" customFormat="false" ht="15" hidden="false" customHeight="false" outlineLevel="0" collapsed="false">
      <c r="A1998" s="0" t="s">
        <v>88</v>
      </c>
      <c r="B1998" s="0" t="s">
        <v>89</v>
      </c>
      <c r="C1998" s="0" t="s">
        <v>81</v>
      </c>
      <c r="D1998" s="0" t="s">
        <v>169</v>
      </c>
      <c r="E1998" s="0" t="n">
        <v>42</v>
      </c>
      <c r="F1998" s="0" t="n">
        <v>3</v>
      </c>
      <c r="G1998" s="1"/>
      <c r="H1998" s="1"/>
      <c r="I1998" s="0" t="n">
        <v>155.7</v>
      </c>
      <c r="J1998" s="0" t="n">
        <f aca="false">(I1998/32)*5</f>
        <v>24.328125</v>
      </c>
      <c r="L1998" s="0" t="n">
        <v>22</v>
      </c>
      <c r="M1998" s="0" t="n">
        <v>0</v>
      </c>
      <c r="N1998" s="0" t="n">
        <f aca="false">L1998</f>
        <v>22</v>
      </c>
      <c r="O1998" s="3" t="n">
        <f aca="false">LOOKUP(L1998,$AB$3:$AC$123)</f>
        <v>1.0899</v>
      </c>
      <c r="P1998" s="3" t="n">
        <f aca="false">(O1998*(N1998/100)*(J1998/1000))*1000</f>
        <v>5.83334915625</v>
      </c>
      <c r="Q1998" s="3"/>
      <c r="R1998" s="3" t="n">
        <v>5</v>
      </c>
      <c r="S1998" s="3" t="n">
        <v>16.1</v>
      </c>
      <c r="T1998" s="0" t="n">
        <f aca="false">(S1998/32)*5</f>
        <v>2.515625</v>
      </c>
      <c r="V1998" s="0" t="n">
        <v>22.5</v>
      </c>
      <c r="W1998" s="0" t="n">
        <v>4</v>
      </c>
      <c r="X1998" s="3" t="n">
        <f aca="false">LOOKUP(V1998,$AB$3:$AC$123)</f>
        <v>1.092175</v>
      </c>
      <c r="Y1998" s="2" t="n">
        <f aca="false">(V1998*((W1998+T1998)/1000)*X1998)/((((W1998+T1998)/1000)*X1998)-((W1998/1000)*0.9982))</f>
        <v>51.2628614175421</v>
      </c>
      <c r="Z1998" s="3" t="n">
        <f aca="false">(X1998*(V1998/100)*((W1998+T1998)/1000))*1000</f>
        <v>1.60114561523438</v>
      </c>
    </row>
    <row r="1999" customFormat="false" ht="15" hidden="false" customHeight="false" outlineLevel="0" collapsed="false">
      <c r="A1999" s="0" t="s">
        <v>90</v>
      </c>
      <c r="B1999" s="0" t="s">
        <v>91</v>
      </c>
      <c r="C1999" s="0" t="s">
        <v>81</v>
      </c>
      <c r="D1999" s="0" t="s">
        <v>169</v>
      </c>
      <c r="E1999" s="0" t="n">
        <v>42</v>
      </c>
      <c r="F1999" s="0" t="n">
        <v>1</v>
      </c>
      <c r="G1999" s="1"/>
      <c r="H1999" s="1"/>
      <c r="I1999" s="0" t="n">
        <f aca="false">21.2+28.7</f>
        <v>49.9</v>
      </c>
      <c r="J1999" s="0" t="n">
        <f aca="false">(I1999/32)*5</f>
        <v>7.796875</v>
      </c>
      <c r="L1999" s="0" t="n">
        <v>26.5</v>
      </c>
      <c r="M1999" s="0" t="n">
        <v>0</v>
      </c>
      <c r="N1999" s="0" t="n">
        <f aca="false">L1999</f>
        <v>26.5</v>
      </c>
      <c r="O1999" s="3" t="n">
        <f aca="false">LOOKUP(L1999,$AB$3:$AC$123)</f>
        <v>1.11045</v>
      </c>
      <c r="P1999" s="3" t="n">
        <f aca="false">(O1999*(N1999/100)*(J1999/1000))*1000</f>
        <v>2.29438055859375</v>
      </c>
      <c r="Q1999" s="3"/>
      <c r="R1999" s="3" t="n">
        <v>6</v>
      </c>
      <c r="S1999" s="3" t="n">
        <v>18</v>
      </c>
      <c r="T1999" s="0" t="n">
        <f aca="false">(S1999/32)*5</f>
        <v>2.8125</v>
      </c>
      <c r="V1999" s="0" t="n">
        <v>25.5</v>
      </c>
      <c r="W1999" s="0" t="n">
        <v>4</v>
      </c>
      <c r="X1999" s="3" t="n">
        <f aca="false">LOOKUP(V1999,$AB$3:$AC$123)</f>
        <v>1.105825</v>
      </c>
      <c r="Y1999" s="2" t="n">
        <f aca="false">(V1999*((W1999+T1999)/1000)*X1999)/((((W1999+T1999)/1000)*X1999)-((W1999/1000)*0.9982))</f>
        <v>54.2565543765349</v>
      </c>
      <c r="Z1999" s="3" t="n">
        <f aca="false">(X1999*(V1999/100)*((W1999+T1999)/1000))*1000</f>
        <v>1.9210253671875</v>
      </c>
    </row>
    <row r="2000" customFormat="false" ht="15" hidden="false" customHeight="false" outlineLevel="0" collapsed="false">
      <c r="A2000" s="0" t="s">
        <v>92</v>
      </c>
      <c r="B2000" s="0" t="s">
        <v>93</v>
      </c>
      <c r="C2000" s="0" t="s">
        <v>81</v>
      </c>
      <c r="D2000" s="0" t="s">
        <v>169</v>
      </c>
      <c r="E2000" s="0" t="n">
        <v>42</v>
      </c>
      <c r="F2000" s="0" t="n">
        <v>2</v>
      </c>
      <c r="G2000" s="1"/>
      <c r="H2000" s="1"/>
      <c r="I2000" s="0" t="n">
        <f aca="false">16.3+28.7</f>
        <v>45</v>
      </c>
      <c r="J2000" s="0" t="n">
        <f aca="false">(I2000/32)*5</f>
        <v>7.03125</v>
      </c>
      <c r="L2000" s="0" t="n">
        <v>25</v>
      </c>
      <c r="M2000" s="0" t="n">
        <v>0</v>
      </c>
      <c r="N2000" s="0" t="n">
        <f aca="false">L2000</f>
        <v>25</v>
      </c>
      <c r="O2000" s="3" t="n">
        <f aca="false">LOOKUP(L2000,$AB$3:$AC$123)</f>
        <v>1.10355</v>
      </c>
      <c r="P2000" s="3" t="n">
        <f aca="false">(O2000*(N2000/100)*(J2000/1000))*1000</f>
        <v>1.939833984375</v>
      </c>
      <c r="Q2000" s="3"/>
      <c r="R2000" s="3" t="n">
        <v>3</v>
      </c>
      <c r="S2000" s="3" t="n">
        <v>10.7</v>
      </c>
      <c r="T2000" s="0" t="n">
        <f aca="false">(S2000/32)*5</f>
        <v>1.671875</v>
      </c>
      <c r="V2000" s="0" t="n">
        <v>14.5</v>
      </c>
      <c r="W2000" s="0" t="n">
        <v>4</v>
      </c>
      <c r="X2000" s="3" t="n">
        <f aca="false">LOOKUP(V2000,$AB$3:$AC$123)</f>
        <v>1.05705</v>
      </c>
      <c r="Y2000" s="2" t="n">
        <f aca="false">(V2000*((W2000+T2000)/1000)*X2000)/((((W2000+T2000)/1000)*X2000)-((W2000/1000)*0.9982))</f>
        <v>43.4094159746493</v>
      </c>
      <c r="Z2000" s="3" t="n">
        <f aca="false">(X2000*(V2000/100)*((W2000+T2000)/1000))*1000</f>
        <v>0.86934104296875</v>
      </c>
    </row>
    <row r="2001" customFormat="false" ht="15" hidden="false" customHeight="false" outlineLevel="0" collapsed="false">
      <c r="A2001" s="0" t="s">
        <v>94</v>
      </c>
      <c r="B2001" s="0" t="s">
        <v>95</v>
      </c>
      <c r="C2001" s="0" t="s">
        <v>81</v>
      </c>
      <c r="D2001" s="0" t="s">
        <v>169</v>
      </c>
      <c r="E2001" s="0" t="n">
        <v>42</v>
      </c>
      <c r="F2001" s="0" t="n">
        <v>4</v>
      </c>
      <c r="G2001" s="1"/>
      <c r="H2001" s="1"/>
      <c r="I2001" s="0" t="n">
        <v>31.9</v>
      </c>
      <c r="J2001" s="0" t="n">
        <f aca="false">(I2001/32)*5</f>
        <v>4.984375</v>
      </c>
      <c r="L2001" s="0" t="n">
        <v>28</v>
      </c>
      <c r="M2001" s="0" t="n">
        <v>0</v>
      </c>
      <c r="N2001" s="0" t="n">
        <f aca="false">L2001</f>
        <v>28</v>
      </c>
      <c r="O2001" s="3" t="n">
        <f aca="false">LOOKUP(L2001,$AB$3:$AC$123)</f>
        <v>1.1175</v>
      </c>
      <c r="P2001" s="3" t="n">
        <f aca="false">(O2001*(N2001/100)*(J2001/1000))*1000</f>
        <v>1.5596109375</v>
      </c>
      <c r="Q2001" s="3"/>
      <c r="R2001" s="3" t="n">
        <v>3</v>
      </c>
      <c r="S2001" s="3" t="n">
        <v>13.3</v>
      </c>
      <c r="T2001" s="0" t="n">
        <f aca="false">(S2001/32)*5</f>
        <v>2.078125</v>
      </c>
      <c r="V2001" s="0" t="n">
        <v>24</v>
      </c>
      <c r="W2001" s="0" t="n">
        <v>4</v>
      </c>
      <c r="X2001" s="3" t="n">
        <f aca="false">LOOKUP(V2001,$AB$3:$AC$123)</f>
        <v>1.099</v>
      </c>
      <c r="Y2001" s="2" t="n">
        <f aca="false">(V2001*((W2001+T2001)/1000)*X2001)/((((W2001+T2001)/1000)*X2001)-((W2001/1000)*0.9982))</f>
        <v>59.6624795460651</v>
      </c>
      <c r="Z2001" s="3" t="n">
        <f aca="false">(X2001*(V2001/100)*((W2001+T2001)/1000))*1000</f>
        <v>1.60316625</v>
      </c>
    </row>
    <row r="2002" customFormat="false" ht="15" hidden="false" customHeight="false" outlineLevel="0" collapsed="false">
      <c r="A2002" s="0" t="s">
        <v>96</v>
      </c>
      <c r="B2002" s="0" t="s">
        <v>97</v>
      </c>
      <c r="C2002" s="0" t="s">
        <v>81</v>
      </c>
      <c r="D2002" s="0" t="s">
        <v>169</v>
      </c>
      <c r="E2002" s="0" t="n">
        <v>42</v>
      </c>
      <c r="F2002" s="0" t="n">
        <v>2</v>
      </c>
      <c r="G2002" s="1"/>
      <c r="H2002" s="1"/>
      <c r="I2002" s="0" t="n">
        <f aca="false">27.7+29.5+31.1</f>
        <v>88.3</v>
      </c>
      <c r="J2002" s="0" t="n">
        <f aca="false">(I2002/32)*5</f>
        <v>13.796875</v>
      </c>
      <c r="L2002" s="0" t="n">
        <v>22.5</v>
      </c>
      <c r="M2002" s="0" t="n">
        <v>0</v>
      </c>
      <c r="N2002" s="0" t="n">
        <f aca="false">L2002</f>
        <v>22.5</v>
      </c>
      <c r="O2002" s="3" t="n">
        <f aca="false">LOOKUP(L2002,$AB$3:$AC$123)</f>
        <v>1.092175</v>
      </c>
      <c r="P2002" s="3" t="n">
        <f aca="false">(O2002*(N2002/100)*(J2002/1000))*1000</f>
        <v>3.39043543945313</v>
      </c>
      <c r="Q2002" s="3"/>
      <c r="R2002" s="3" t="n">
        <v>5</v>
      </c>
      <c r="S2002" s="3" t="n">
        <v>18.4</v>
      </c>
      <c r="T2002" s="0" t="n">
        <f aca="false">(S2002/32)*5</f>
        <v>2.875</v>
      </c>
      <c r="V2002" s="0" t="n">
        <v>25.5</v>
      </c>
      <c r="W2002" s="0" t="n">
        <v>8</v>
      </c>
      <c r="X2002" s="3" t="n">
        <f aca="false">LOOKUP(V2002,$AB$3:$AC$123)</f>
        <v>1.105825</v>
      </c>
      <c r="Y2002" s="2" t="n">
        <f aca="false">(V2002*((W2002+T2002)/1000)*X2002)/((((W2002+T2002)/1000)*X2002)-((W2002/1000)*0.9982))</f>
        <v>75.9010785232029</v>
      </c>
      <c r="Z2002" s="3" t="n">
        <f aca="false">(X2002*(V2002/100)*((W2002+T2002)/1000))*1000</f>
        <v>3.066590953125</v>
      </c>
    </row>
    <row r="2003" customFormat="false" ht="15" hidden="false" customHeight="false" outlineLevel="0" collapsed="false">
      <c r="A2003" s="0" t="s">
        <v>98</v>
      </c>
      <c r="B2003" s="0" t="s">
        <v>99</v>
      </c>
      <c r="C2003" s="0" t="s">
        <v>81</v>
      </c>
      <c r="D2003" s="0" t="s">
        <v>169</v>
      </c>
      <c r="E2003" s="0" t="n">
        <v>42</v>
      </c>
      <c r="F2003" s="0" t="n">
        <v>1</v>
      </c>
      <c r="G2003" s="1"/>
      <c r="H2003" s="1"/>
      <c r="I2003" s="0" t="n">
        <f aca="false">20.8+31.4</f>
        <v>52.2</v>
      </c>
      <c r="J2003" s="0" t="n">
        <f aca="false">(I2003/32)*5</f>
        <v>8.15625</v>
      </c>
      <c r="L2003" s="0" t="n">
        <v>18.5</v>
      </c>
      <c r="M2003" s="0" t="n">
        <v>0</v>
      </c>
      <c r="N2003" s="0" t="n">
        <f aca="false">L2003</f>
        <v>18.5</v>
      </c>
      <c r="O2003" s="3" t="n">
        <f aca="false">LOOKUP(L2003,$AB$3:$AC$123)</f>
        <v>1.07435</v>
      </c>
      <c r="P2003" s="3" t="n">
        <f aca="false">(O2003*(N2003/100)*(J2003/1000))*1000</f>
        <v>1.6210934296875</v>
      </c>
      <c r="Q2003" s="3"/>
      <c r="R2003" s="3" t="n">
        <v>5</v>
      </c>
      <c r="S2003" s="3" t="n">
        <v>16.6</v>
      </c>
      <c r="T2003" s="0" t="n">
        <f aca="false">(S2003/32)*5</f>
        <v>2.59375</v>
      </c>
      <c r="V2003" s="0" t="n">
        <v>30.5</v>
      </c>
      <c r="W2003" s="0" t="n">
        <v>4</v>
      </c>
      <c r="X2003" s="3" t="n">
        <f aca="false">LOOKUP(V2003,$AB$3:$AC$123)</f>
        <v>1.1294</v>
      </c>
      <c r="Y2003" s="2" t="n">
        <f aca="false">(V2003*((W2003+T2003)/1000)*X2003)/((((W2003+T2003)/1000)*X2003)-((W2003/1000)*0.9982))</f>
        <v>65.7559380026743</v>
      </c>
      <c r="Z2003" s="3" t="n">
        <f aca="false">(X2003*(V2003/100)*((W2003+T2003)/1000))*1000</f>
        <v>2.27132928125</v>
      </c>
    </row>
    <row r="2004" customFormat="false" ht="15" hidden="false" customHeight="false" outlineLevel="0" collapsed="false">
      <c r="A2004" s="0" t="s">
        <v>100</v>
      </c>
      <c r="B2004" s="0" t="s">
        <v>101</v>
      </c>
      <c r="C2004" s="0" t="s">
        <v>81</v>
      </c>
      <c r="D2004" s="0" t="s">
        <v>169</v>
      </c>
      <c r="E2004" s="0" t="n">
        <v>42</v>
      </c>
      <c r="F2004" s="0" t="n">
        <v>1</v>
      </c>
      <c r="G2004" s="1"/>
      <c r="H2004" s="1"/>
      <c r="I2004" s="0" t="n">
        <f aca="false">13.2+32</f>
        <v>45.2</v>
      </c>
      <c r="J2004" s="0" t="n">
        <f aca="false">(I2004/32)*5</f>
        <v>7.0625</v>
      </c>
      <c r="L2004" s="0" t="n">
        <v>26</v>
      </c>
      <c r="M2004" s="0" t="n">
        <v>0</v>
      </c>
      <c r="N2004" s="0" t="n">
        <f aca="false">L2004</f>
        <v>26</v>
      </c>
      <c r="O2004" s="3" t="n">
        <f aca="false">LOOKUP(L2004,$AB$3:$AC$123)</f>
        <v>1.1081</v>
      </c>
      <c r="P2004" s="3" t="n">
        <f aca="false">(O2004*(N2004/100)*(J2004/1000))*1000</f>
        <v>2.034748625</v>
      </c>
      <c r="Q2004" s="3"/>
      <c r="R2004" s="3" t="n">
        <v>3</v>
      </c>
      <c r="S2004" s="3" t="n">
        <v>8</v>
      </c>
      <c r="T2004" s="0" t="n">
        <f aca="false">(S2004/32)*5</f>
        <v>1.25</v>
      </c>
      <c r="V2004" s="0" t="n">
        <v>18</v>
      </c>
      <c r="W2004" s="0" t="n">
        <v>4</v>
      </c>
      <c r="X2004" s="3" t="n">
        <f aca="false">LOOKUP(V2004,$AB$3:$AC$123)</f>
        <v>1.0722</v>
      </c>
      <c r="Y2004" s="2" t="n">
        <f aca="false">(V2004*((W2004+T2004)/1000)*X2004)/((((W2004+T2004)/1000)*X2004)-((W2004/1000)*0.9982))</f>
        <v>61.9238502673797</v>
      </c>
      <c r="Z2004" s="3" t="n">
        <f aca="false">(X2004*(V2004/100)*((W2004+T2004)/1000))*1000</f>
        <v>1.013229</v>
      </c>
    </row>
    <row r="2005" customFormat="false" ht="15" hidden="false" customHeight="false" outlineLevel="0" collapsed="false">
      <c r="A2005" s="0" t="s">
        <v>102</v>
      </c>
      <c r="B2005" s="0" t="s">
        <v>103</v>
      </c>
      <c r="C2005" s="0" t="s">
        <v>81</v>
      </c>
      <c r="D2005" s="0" t="s">
        <v>169</v>
      </c>
      <c r="E2005" s="0" t="n">
        <v>42</v>
      </c>
      <c r="F2005" s="0" t="n">
        <v>0</v>
      </c>
      <c r="G2005" s="1"/>
      <c r="H2005" s="1"/>
      <c r="I2005" s="0" t="n">
        <v>0</v>
      </c>
      <c r="J2005" s="0" t="n">
        <f aca="false">(I2005/32)*5</f>
        <v>0</v>
      </c>
      <c r="L2005" s="0" t="n">
        <v>0</v>
      </c>
      <c r="M2005" s="0" t="n">
        <v>0</v>
      </c>
      <c r="N2005" s="0" t="n">
        <f aca="false">L2005</f>
        <v>0</v>
      </c>
      <c r="O2005" s="3" t="n">
        <v>0</v>
      </c>
      <c r="P2005" s="3" t="n">
        <f aca="false">(O2005*(N2005/100)*(J2005/1000))*1000</f>
        <v>0</v>
      </c>
      <c r="Q2005" s="3"/>
      <c r="R2005" s="3" t="n">
        <v>8</v>
      </c>
      <c r="S2005" s="3" t="n">
        <v>9.5</v>
      </c>
      <c r="T2005" s="0" t="n">
        <f aca="false">(S2005/32)*5</f>
        <v>1.484375</v>
      </c>
      <c r="V2005" s="0" t="n">
        <v>13.5</v>
      </c>
      <c r="W2005" s="0" t="n">
        <v>4</v>
      </c>
      <c r="X2005" s="3" t="n">
        <f aca="false">LOOKUP(V2005,$AB$3:$AC$123)</f>
        <v>1.0528</v>
      </c>
      <c r="Y2005" s="2" t="n">
        <f aca="false">(V2005*((W2005+T2005)/1000)*X2005)/((((W2005+T2005)/1000)*X2005)-((W2005/1000)*0.9982))</f>
        <v>43.7629200235803</v>
      </c>
      <c r="Z2005" s="3" t="n">
        <f aca="false">(X2005*(V2005/100)*((W2005+T2005)/1000))*1000</f>
        <v>0.77948325</v>
      </c>
    </row>
    <row r="2006" customFormat="false" ht="15" hidden="false" customHeight="false" outlineLevel="0" collapsed="false">
      <c r="A2006" s="0" t="s">
        <v>104</v>
      </c>
      <c r="B2006" s="0" t="s">
        <v>105</v>
      </c>
      <c r="C2006" s="0" t="s">
        <v>106</v>
      </c>
      <c r="D2006" s="0" t="s">
        <v>169</v>
      </c>
      <c r="E2006" s="0" t="n">
        <v>42</v>
      </c>
      <c r="F2006" s="0" t="n">
        <v>0</v>
      </c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3" t="n">
        <v>11</v>
      </c>
      <c r="S2006" s="1"/>
      <c r="T2006" s="1"/>
      <c r="U2006" s="1"/>
      <c r="V2006" s="1"/>
      <c r="W2006" s="1"/>
      <c r="X2006" s="1"/>
      <c r="Y2006" s="5"/>
      <c r="Z2006" s="1"/>
    </row>
    <row r="2007" customFormat="false" ht="15" hidden="false" customHeight="false" outlineLevel="0" collapsed="false">
      <c r="A2007" s="0" t="s">
        <v>107</v>
      </c>
      <c r="B2007" s="0" t="s">
        <v>37</v>
      </c>
      <c r="C2007" s="0" t="s">
        <v>106</v>
      </c>
      <c r="D2007" s="0" t="s">
        <v>169</v>
      </c>
      <c r="E2007" s="0" t="n">
        <v>42</v>
      </c>
      <c r="F2007" s="0" t="n">
        <v>0</v>
      </c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3" t="n">
        <v>9</v>
      </c>
      <c r="S2007" s="1"/>
      <c r="T2007" s="1"/>
      <c r="U2007" s="1"/>
      <c r="V2007" s="1"/>
      <c r="W2007" s="1"/>
      <c r="X2007" s="1"/>
      <c r="Y2007" s="5"/>
      <c r="Z2007" s="1"/>
    </row>
    <row r="2008" customFormat="false" ht="15" hidden="false" customHeight="false" outlineLevel="0" collapsed="false">
      <c r="A2008" s="0" t="s">
        <v>108</v>
      </c>
      <c r="B2008" s="0" t="s">
        <v>109</v>
      </c>
      <c r="C2008" s="0" t="s">
        <v>106</v>
      </c>
      <c r="D2008" s="0" t="s">
        <v>169</v>
      </c>
      <c r="E2008" s="0" t="n">
        <v>42</v>
      </c>
      <c r="F2008" s="0" t="n">
        <v>2</v>
      </c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3" t="n">
        <v>16</v>
      </c>
      <c r="S2008" s="1"/>
      <c r="T2008" s="1"/>
      <c r="U2008" s="1"/>
      <c r="V2008" s="1"/>
      <c r="W2008" s="1"/>
      <c r="X2008" s="1"/>
      <c r="Y2008" s="5"/>
      <c r="Z2008" s="1"/>
    </row>
    <row r="2009" customFormat="false" ht="15" hidden="false" customHeight="false" outlineLevel="0" collapsed="false">
      <c r="A2009" s="0" t="s">
        <v>110</v>
      </c>
      <c r="B2009" s="0" t="s">
        <v>111</v>
      </c>
      <c r="C2009" s="0" t="s">
        <v>106</v>
      </c>
      <c r="D2009" s="0" t="s">
        <v>169</v>
      </c>
      <c r="E2009" s="0" t="n">
        <v>42</v>
      </c>
      <c r="F2009" s="0" t="n">
        <v>1</v>
      </c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3" t="n">
        <v>7</v>
      </c>
      <c r="S2009" s="1"/>
      <c r="T2009" s="1"/>
      <c r="U2009" s="1"/>
      <c r="V2009" s="1"/>
      <c r="W2009" s="1"/>
      <c r="X2009" s="1"/>
      <c r="Y2009" s="5"/>
      <c r="Z2009" s="1"/>
    </row>
    <row r="2010" customFormat="false" ht="15" hidden="false" customHeight="false" outlineLevel="0" collapsed="false">
      <c r="A2010" s="0" t="s">
        <v>112</v>
      </c>
      <c r="B2010" s="0" t="s">
        <v>113</v>
      </c>
      <c r="C2010" s="0" t="s">
        <v>106</v>
      </c>
      <c r="D2010" s="0" t="s">
        <v>169</v>
      </c>
      <c r="E2010" s="0" t="n">
        <v>42</v>
      </c>
      <c r="F2010" s="0" t="n">
        <v>0</v>
      </c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3" t="n">
        <v>12</v>
      </c>
      <c r="S2010" s="1"/>
      <c r="T2010" s="1"/>
      <c r="U2010" s="1"/>
      <c r="V2010" s="1"/>
      <c r="W2010" s="1"/>
      <c r="X2010" s="1"/>
      <c r="Y2010" s="5"/>
      <c r="Z2010" s="1"/>
    </row>
    <row r="2011" customFormat="false" ht="15" hidden="false" customHeight="false" outlineLevel="0" collapsed="false">
      <c r="A2011" s="0" t="s">
        <v>114</v>
      </c>
      <c r="B2011" s="0" t="s">
        <v>115</v>
      </c>
      <c r="C2011" s="0" t="s">
        <v>106</v>
      </c>
      <c r="D2011" s="0" t="s">
        <v>169</v>
      </c>
      <c r="E2011" s="0" t="n">
        <v>42</v>
      </c>
      <c r="F2011" s="0" t="n">
        <v>1</v>
      </c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3" t="n">
        <v>7</v>
      </c>
      <c r="S2011" s="1"/>
      <c r="T2011" s="1"/>
      <c r="U2011" s="1"/>
      <c r="V2011" s="1"/>
      <c r="W2011" s="1"/>
      <c r="X2011" s="1"/>
      <c r="Y2011" s="5"/>
      <c r="Z2011" s="1"/>
    </row>
    <row r="2012" customFormat="false" ht="15" hidden="false" customHeight="false" outlineLevel="0" collapsed="false">
      <c r="A2012" s="0" t="s">
        <v>116</v>
      </c>
      <c r="B2012" s="0" t="s">
        <v>117</v>
      </c>
      <c r="C2012" s="0" t="s">
        <v>106</v>
      </c>
      <c r="D2012" s="0" t="s">
        <v>169</v>
      </c>
      <c r="E2012" s="0" t="n">
        <v>42</v>
      </c>
      <c r="F2012" s="0" t="n">
        <v>2</v>
      </c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3" t="n">
        <v>4</v>
      </c>
      <c r="S2012" s="1"/>
      <c r="T2012" s="1"/>
      <c r="U2012" s="1"/>
      <c r="V2012" s="1"/>
      <c r="W2012" s="1"/>
      <c r="X2012" s="1"/>
      <c r="Y2012" s="5"/>
      <c r="Z2012" s="1"/>
    </row>
    <row r="2013" customFormat="false" ht="15" hidden="false" customHeight="false" outlineLevel="0" collapsed="false">
      <c r="A2013" s="0" t="s">
        <v>118</v>
      </c>
      <c r="B2013" s="0" t="s">
        <v>119</v>
      </c>
      <c r="C2013" s="0" t="s">
        <v>106</v>
      </c>
      <c r="D2013" s="0" t="s">
        <v>169</v>
      </c>
      <c r="E2013" s="0" t="n">
        <v>42</v>
      </c>
      <c r="F2013" s="0" t="n">
        <v>2</v>
      </c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3" t="n">
        <v>6</v>
      </c>
      <c r="S2013" s="1"/>
      <c r="T2013" s="1"/>
      <c r="U2013" s="1"/>
      <c r="V2013" s="1"/>
      <c r="W2013" s="1"/>
      <c r="X2013" s="1"/>
      <c r="Y2013" s="5"/>
      <c r="Z2013" s="1"/>
    </row>
    <row r="2014" customFormat="false" ht="15" hidden="false" customHeight="false" outlineLevel="0" collapsed="false">
      <c r="A2014" s="0" t="s">
        <v>120</v>
      </c>
      <c r="B2014" s="0" t="s">
        <v>121</v>
      </c>
      <c r="C2014" s="0" t="s">
        <v>106</v>
      </c>
      <c r="D2014" s="0" t="s">
        <v>169</v>
      </c>
      <c r="E2014" s="0" t="n">
        <v>42</v>
      </c>
      <c r="F2014" s="0" t="n">
        <v>2</v>
      </c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3" t="n">
        <v>9</v>
      </c>
      <c r="S2014" s="1"/>
      <c r="T2014" s="1"/>
      <c r="U2014" s="1"/>
      <c r="V2014" s="1"/>
      <c r="W2014" s="1"/>
      <c r="X2014" s="1"/>
      <c r="Y2014" s="5"/>
      <c r="Z2014" s="1"/>
    </row>
    <row r="2015" customFormat="false" ht="15" hidden="false" customHeight="false" outlineLevel="0" collapsed="false">
      <c r="A2015" s="0" t="s">
        <v>122</v>
      </c>
      <c r="B2015" s="0" t="s">
        <v>123</v>
      </c>
      <c r="C2015" s="0" t="s">
        <v>106</v>
      </c>
      <c r="D2015" s="0" t="s">
        <v>169</v>
      </c>
      <c r="E2015" s="0" t="n">
        <v>42</v>
      </c>
      <c r="F2015" s="0" t="n">
        <v>2</v>
      </c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3" t="n">
        <v>6</v>
      </c>
      <c r="S2015" s="1"/>
      <c r="T2015" s="1"/>
      <c r="U2015" s="1"/>
      <c r="V2015" s="1"/>
      <c r="W2015" s="1"/>
      <c r="X2015" s="1"/>
      <c r="Y2015" s="5"/>
      <c r="Z2015" s="1"/>
    </row>
    <row r="2016" customFormat="false" ht="15" hidden="false" customHeight="false" outlineLevel="0" collapsed="false">
      <c r="A2016" s="0" t="s">
        <v>124</v>
      </c>
      <c r="B2016" s="0" t="s">
        <v>125</v>
      </c>
      <c r="C2016" s="0" t="s">
        <v>106</v>
      </c>
      <c r="D2016" s="0" t="s">
        <v>169</v>
      </c>
      <c r="E2016" s="0" t="n">
        <v>42</v>
      </c>
      <c r="F2016" s="0" t="n">
        <v>1</v>
      </c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3" t="n">
        <v>3</v>
      </c>
      <c r="S2016" s="1"/>
      <c r="T2016" s="1"/>
      <c r="U2016" s="1"/>
      <c r="V2016" s="1"/>
      <c r="W2016" s="1"/>
      <c r="X2016" s="1"/>
      <c r="Y2016" s="5"/>
      <c r="Z2016" s="1"/>
    </row>
    <row r="2017" customFormat="false" ht="15" hidden="false" customHeight="false" outlineLevel="0" collapsed="false">
      <c r="A2017" s="0" t="s">
        <v>126</v>
      </c>
      <c r="B2017" s="0" t="s">
        <v>127</v>
      </c>
      <c r="C2017" s="0" t="s">
        <v>106</v>
      </c>
      <c r="D2017" s="0" t="s">
        <v>169</v>
      </c>
      <c r="E2017" s="0" t="n">
        <v>42</v>
      </c>
      <c r="F2017" s="0" t="n">
        <v>0</v>
      </c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3" t="n">
        <v>9</v>
      </c>
      <c r="S2017" s="1"/>
      <c r="T2017" s="1"/>
      <c r="U2017" s="1"/>
      <c r="V2017" s="1"/>
      <c r="W2017" s="1"/>
      <c r="X2017" s="1"/>
      <c r="Y2017" s="5"/>
      <c r="Z2017" s="1"/>
    </row>
    <row r="2018" customFormat="false" ht="15" hidden="false" customHeight="false" outlineLevel="0" collapsed="false">
      <c r="A2018" s="0" t="s">
        <v>26</v>
      </c>
      <c r="B2018" s="0" t="s">
        <v>27</v>
      </c>
      <c r="C2018" s="0" t="s">
        <v>28</v>
      </c>
      <c r="D2018" s="0" t="s">
        <v>170</v>
      </c>
      <c r="E2018" s="0" t="n">
        <v>43</v>
      </c>
      <c r="F2018" s="0" t="n">
        <v>1</v>
      </c>
      <c r="G2018" s="0" t="n">
        <v>5</v>
      </c>
      <c r="H2018" s="0" t="n">
        <v>31</v>
      </c>
      <c r="I2018" s="1"/>
      <c r="J2018" s="1"/>
      <c r="K2018" s="1"/>
      <c r="L2018" s="1"/>
      <c r="M2018" s="1"/>
      <c r="N2018" s="1"/>
      <c r="O2018" s="1"/>
      <c r="P2018" s="1"/>
      <c r="Q2018" s="1"/>
      <c r="R2018" s="3" t="n">
        <v>2</v>
      </c>
      <c r="S2018" s="0" t="n">
        <v>4</v>
      </c>
      <c r="T2018" s="0" t="n">
        <f aca="false">(S2018/32)*5</f>
        <v>0.625</v>
      </c>
      <c r="V2018" s="0" t="n">
        <v>9</v>
      </c>
      <c r="W2018" s="0" t="n">
        <v>4</v>
      </c>
      <c r="X2018" s="3" t="n">
        <f aca="false">LOOKUP(V2018,$AB$3:$AC$123)</f>
        <v>1.0341</v>
      </c>
      <c r="Y2018" s="2" t="n">
        <f aca="false">(V2018*((W2018+T2018)/1000)*X2018)/((((W2018+T2018)/1000)*X2018)-((W2018/1000)*0.9982))</f>
        <v>54.4926336777808</v>
      </c>
      <c r="Z2018" s="3" t="n">
        <f aca="false">(X2018*(V2018/100)*((W2018+T2018)/1000))*1000</f>
        <v>0.430444125</v>
      </c>
    </row>
    <row r="2019" customFormat="false" ht="15" hidden="false" customHeight="false" outlineLevel="0" collapsed="false">
      <c r="A2019" s="0" t="s">
        <v>32</v>
      </c>
      <c r="B2019" s="0" t="s">
        <v>33</v>
      </c>
      <c r="C2019" s="0" t="s">
        <v>28</v>
      </c>
      <c r="D2019" s="0" t="s">
        <v>170</v>
      </c>
      <c r="E2019" s="0" t="n">
        <v>43</v>
      </c>
      <c r="F2019" s="0" t="n">
        <v>2</v>
      </c>
      <c r="G2019" s="0" t="n">
        <v>4</v>
      </c>
      <c r="H2019" s="0" t="n">
        <v>61</v>
      </c>
      <c r="I2019" s="1"/>
      <c r="J2019" s="1"/>
      <c r="K2019" s="1"/>
      <c r="L2019" s="1"/>
      <c r="M2019" s="1"/>
      <c r="N2019" s="1"/>
      <c r="O2019" s="1"/>
      <c r="P2019" s="1"/>
      <c r="Q2019" s="1"/>
      <c r="R2019" s="3" t="n">
        <v>7</v>
      </c>
      <c r="S2019" s="0" t="n">
        <v>22.9</v>
      </c>
      <c r="T2019" s="0" t="n">
        <f aca="false">(S2019/32)*5</f>
        <v>3.578125</v>
      </c>
      <c r="V2019" s="0" t="n">
        <v>33</v>
      </c>
      <c r="W2019" s="0" t="n">
        <v>4</v>
      </c>
      <c r="X2019" s="3" t="n">
        <f aca="false">LOOKUP(V2019,$AB$3:$AC$123)</f>
        <v>1.1415</v>
      </c>
      <c r="Y2019" s="2" t="n">
        <f aca="false">(V2019*((W2019+T2019)/1000)*X2019)/((((W2019+T2019)/1000)*X2019)-((W2019/1000)*0.9982))</f>
        <v>61.28958265051</v>
      </c>
      <c r="Z2019" s="3" t="n">
        <f aca="false">(X2019*(V2019/100)*((W2019+T2019)/1000))*1000</f>
        <v>2.854641796875</v>
      </c>
    </row>
    <row r="2020" customFormat="false" ht="15" hidden="false" customHeight="false" outlineLevel="0" collapsed="false">
      <c r="A2020" s="0" t="s">
        <v>34</v>
      </c>
      <c r="B2020" s="0" t="s">
        <v>35</v>
      </c>
      <c r="C2020" s="0" t="s">
        <v>28</v>
      </c>
      <c r="D2020" s="0" t="s">
        <v>170</v>
      </c>
      <c r="E2020" s="0" t="n">
        <v>43</v>
      </c>
      <c r="F2020" s="0" t="n">
        <v>1</v>
      </c>
      <c r="G2020" s="0" t="n">
        <v>9</v>
      </c>
      <c r="H2020" s="0" t="n">
        <v>57</v>
      </c>
      <c r="I2020" s="1"/>
      <c r="J2020" s="1"/>
      <c r="K2020" s="1"/>
      <c r="L2020" s="1"/>
      <c r="M2020" s="1"/>
      <c r="N2020" s="1"/>
      <c r="O2020" s="1"/>
      <c r="P2020" s="1"/>
      <c r="Q2020" s="1"/>
      <c r="R2020" s="3" t="n">
        <v>4</v>
      </c>
      <c r="S2020" s="0" t="n">
        <v>9.9</v>
      </c>
      <c r="T2020" s="0" t="n">
        <f aca="false">(S2020/32)*5</f>
        <v>1.546875</v>
      </c>
      <c r="V2020" s="0" t="n">
        <v>17</v>
      </c>
      <c r="W2020" s="0" t="n">
        <v>4</v>
      </c>
      <c r="X2020" s="3" t="n">
        <f aca="false">LOOKUP(V2020,$AB$3:$AC$123)</f>
        <v>1.0678</v>
      </c>
      <c r="Y2020" s="2" t="n">
        <f aca="false">(V2020*((W2020+T2020)/1000)*X2020)/((((W2020+T2020)/1000)*X2020)-((W2020/1000)*0.9982))</f>
        <v>52.1669508086308</v>
      </c>
      <c r="Z2020" s="3" t="n">
        <f aca="false">(X2020*(V2020/100)*((W2020+T2020)/1000))*1000</f>
        <v>1.00690203125</v>
      </c>
    </row>
    <row r="2021" customFormat="false" ht="15" hidden="false" customHeight="false" outlineLevel="0" collapsed="false">
      <c r="A2021" s="0" t="s">
        <v>36</v>
      </c>
      <c r="B2021" s="0" t="s">
        <v>37</v>
      </c>
      <c r="C2021" s="0" t="s">
        <v>28</v>
      </c>
      <c r="D2021" s="0" t="s">
        <v>170</v>
      </c>
      <c r="E2021" s="0" t="n">
        <v>43</v>
      </c>
      <c r="F2021" s="0" t="n">
        <v>0</v>
      </c>
      <c r="G2021" s="0" t="n">
        <v>4</v>
      </c>
      <c r="H2021" s="0" t="n">
        <v>37</v>
      </c>
      <c r="I2021" s="1"/>
      <c r="J2021" s="1"/>
      <c r="K2021" s="1"/>
      <c r="L2021" s="1"/>
      <c r="M2021" s="1"/>
      <c r="N2021" s="1"/>
      <c r="O2021" s="1"/>
      <c r="P2021" s="1"/>
      <c r="Q2021" s="1"/>
      <c r="R2021" s="3" t="n">
        <v>3</v>
      </c>
      <c r="S2021" s="0" t="n">
        <v>15.3</v>
      </c>
      <c r="T2021" s="0" t="n">
        <f aca="false">(S2021/32)*5</f>
        <v>2.390625</v>
      </c>
      <c r="V2021" s="0" t="n">
        <v>20.5</v>
      </c>
      <c r="W2021" s="0" t="n">
        <v>4</v>
      </c>
      <c r="X2021" s="3" t="n">
        <f aca="false">LOOKUP(V2021,$AB$3:$AC$123)</f>
        <v>1.083225</v>
      </c>
      <c r="Y2021" s="2" t="n">
        <f aca="false">(V2021*((W2021+T2021)/1000)*X2021)/((((W2021+T2021)/1000)*X2021)-((W2021/1000)*0.9982))</f>
        <v>48.4389786097134</v>
      </c>
      <c r="Z2021" s="3" t="n">
        <f aca="false">(X2021*(V2021/100)*((W2021+T2021)/1000))*1000</f>
        <v>1.41910937695312</v>
      </c>
    </row>
    <row r="2022" customFormat="false" ht="15" hidden="false" customHeight="false" outlineLevel="0" collapsed="false">
      <c r="A2022" s="0" t="s">
        <v>38</v>
      </c>
      <c r="B2022" s="0" t="s">
        <v>39</v>
      </c>
      <c r="C2022" s="0" t="s">
        <v>28</v>
      </c>
      <c r="D2022" s="0" t="s">
        <v>170</v>
      </c>
      <c r="E2022" s="0" t="n">
        <v>43</v>
      </c>
      <c r="F2022" s="0" t="n">
        <v>0</v>
      </c>
      <c r="G2022" s="0" t="n">
        <v>8</v>
      </c>
      <c r="H2022" s="0" t="n">
        <v>66</v>
      </c>
      <c r="I2022" s="1"/>
      <c r="J2022" s="1"/>
      <c r="K2022" s="1"/>
      <c r="L2022" s="1"/>
      <c r="M2022" s="1"/>
      <c r="N2022" s="1"/>
      <c r="O2022" s="1"/>
      <c r="P2022" s="1"/>
      <c r="Q2022" s="1"/>
      <c r="R2022" s="3" t="n">
        <v>6</v>
      </c>
      <c r="S2022" s="0" t="n">
        <v>19.1</v>
      </c>
      <c r="T2022" s="0" t="n">
        <f aca="false">(S2022/32)*5</f>
        <v>2.984375</v>
      </c>
      <c r="V2022" s="0" t="n">
        <v>24</v>
      </c>
      <c r="W2022" s="0" t="n">
        <v>4</v>
      </c>
      <c r="X2022" s="3" t="n">
        <f aca="false">LOOKUP(V2022,$AB$3:$AC$123)</f>
        <v>1.099</v>
      </c>
      <c r="Y2022" s="2" t="n">
        <f aca="false">(V2022*((W2022+T2022)/1000)*X2022)/((((W2022+T2022)/1000)*X2022)-((W2022/1000)*0.9982))</f>
        <v>50.0185903413377</v>
      </c>
      <c r="Z2022" s="3" t="n">
        <f aca="false">(X2022*(V2022/100)*((W2022+T2022)/1000))*1000</f>
        <v>1.84219875</v>
      </c>
    </row>
    <row r="2023" customFormat="false" ht="15" hidden="false" customHeight="false" outlineLevel="0" collapsed="false">
      <c r="A2023" s="0" t="s">
        <v>40</v>
      </c>
      <c r="B2023" s="0" t="s">
        <v>41</v>
      </c>
      <c r="C2023" s="0" t="s">
        <v>28</v>
      </c>
      <c r="D2023" s="0" t="s">
        <v>170</v>
      </c>
      <c r="E2023" s="0" t="n">
        <v>43</v>
      </c>
      <c r="F2023" s="0" t="n">
        <v>2</v>
      </c>
      <c r="G2023" s="0" t="n">
        <v>4</v>
      </c>
      <c r="H2023" s="0" t="n">
        <v>53</v>
      </c>
      <c r="I2023" s="1"/>
      <c r="J2023" s="1"/>
      <c r="K2023" s="1"/>
      <c r="L2023" s="1"/>
      <c r="M2023" s="1"/>
      <c r="N2023" s="1"/>
      <c r="O2023" s="1"/>
      <c r="P2023" s="1"/>
      <c r="Q2023" s="1"/>
      <c r="R2023" s="3" t="n">
        <v>2</v>
      </c>
      <c r="S2023" s="0" t="n">
        <v>3.4</v>
      </c>
      <c r="T2023" s="0" t="n">
        <f aca="false">(S2023/32)*5</f>
        <v>0.53125</v>
      </c>
      <c r="V2023" s="0" t="n">
        <v>7</v>
      </c>
      <c r="W2023" s="0" t="n">
        <v>4</v>
      </c>
      <c r="X2023" s="3" t="n">
        <f aca="false">LOOKUP(V2023,$AB$3:$AC$123)</f>
        <v>1.0259</v>
      </c>
      <c r="Y2023" s="2" t="n">
        <f aca="false">(V2023*((W2023+T2023)/1000)*X2023)/((((W2023+T2023)/1000)*X2023)-((W2023/1000)*0.9982))</f>
        <v>49.6184819331075</v>
      </c>
      <c r="Z2023" s="3" t="n">
        <f aca="false">(X2023*(V2023/100)*((W2023+T2023)/1000))*1000</f>
        <v>0.32540265625</v>
      </c>
    </row>
    <row r="2024" customFormat="false" ht="15" hidden="false" customHeight="false" outlineLevel="0" collapsed="false">
      <c r="A2024" s="0" t="s">
        <v>42</v>
      </c>
      <c r="B2024" s="0" t="s">
        <v>43</v>
      </c>
      <c r="C2024" s="0" t="s">
        <v>28</v>
      </c>
      <c r="D2024" s="0" t="s">
        <v>170</v>
      </c>
      <c r="E2024" s="0" t="n">
        <v>43</v>
      </c>
      <c r="F2024" s="0" t="n">
        <v>1</v>
      </c>
      <c r="G2024" s="0" t="n">
        <v>4</v>
      </c>
      <c r="H2024" s="0" t="n">
        <v>48</v>
      </c>
      <c r="I2024" s="1"/>
      <c r="J2024" s="1"/>
      <c r="K2024" s="1"/>
      <c r="L2024" s="1"/>
      <c r="M2024" s="1"/>
      <c r="N2024" s="1"/>
      <c r="O2024" s="1"/>
      <c r="P2024" s="1"/>
      <c r="Q2024" s="1"/>
      <c r="R2024" s="3" t="n">
        <v>3</v>
      </c>
      <c r="S2024" s="0" t="n">
        <v>13.1</v>
      </c>
      <c r="T2024" s="0" t="n">
        <f aca="false">(S2024/32)*5</f>
        <v>2.046875</v>
      </c>
      <c r="V2024" s="0" t="n">
        <v>23</v>
      </c>
      <c r="W2024" s="0" t="n">
        <v>4</v>
      </c>
      <c r="X2024" s="3" t="n">
        <f aca="false">LOOKUP(V2024,$AB$3:$AC$123)</f>
        <v>1.09445</v>
      </c>
      <c r="Y2024" s="2" t="n">
        <f aca="false">(V2024*((W2024+T2024)/1000)*X2024)/((((W2024+T2024)/1000)*X2024)-((W2024/1000)*0.9982))</f>
        <v>57.9818368167454</v>
      </c>
      <c r="Z2024" s="3" t="n">
        <f aca="false">(X2024*(V2024/100)*((W2024+T2024)/1000))*1000</f>
        <v>1.5221405390625</v>
      </c>
    </row>
    <row r="2025" customFormat="false" ht="15" hidden="false" customHeight="false" outlineLevel="0" collapsed="false">
      <c r="A2025" s="0" t="s">
        <v>44</v>
      </c>
      <c r="B2025" s="0" t="s">
        <v>45</v>
      </c>
      <c r="C2025" s="0" t="s">
        <v>28</v>
      </c>
      <c r="D2025" s="0" t="s">
        <v>170</v>
      </c>
      <c r="E2025" s="0" t="n">
        <v>43</v>
      </c>
      <c r="F2025" s="0" t="n">
        <v>2</v>
      </c>
      <c r="G2025" s="0" t="n">
        <v>3</v>
      </c>
      <c r="H2025" s="0" t="n">
        <v>28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3" t="n">
        <v>5</v>
      </c>
      <c r="S2025" s="0" t="n">
        <v>7.4</v>
      </c>
      <c r="T2025" s="0" t="n">
        <f aca="false">(S2025/32)*5</f>
        <v>1.15625</v>
      </c>
      <c r="V2025" s="0" t="n">
        <v>13</v>
      </c>
      <c r="W2025" s="0" t="n">
        <v>4</v>
      </c>
      <c r="X2025" s="3" t="n">
        <f aca="false">LOOKUP(V2025,$AB$3:$AC$123)</f>
        <v>1.0507</v>
      </c>
      <c r="Y2025" s="2" t="n">
        <f aca="false">(V2025*((W2025+T2025)/1000)*X2025)/((((W2025+T2025)/1000)*X2025)-((W2025/1000)*0.9982))</f>
        <v>49.4288192578719</v>
      </c>
      <c r="Z2025" s="3" t="n">
        <f aca="false">(X2025*(V2025/100)*((W2025+T2025)/1000))*1000</f>
        <v>0.70429734375</v>
      </c>
    </row>
    <row r="2026" customFormat="false" ht="15" hidden="false" customHeight="false" outlineLevel="0" collapsed="false">
      <c r="A2026" s="0" t="s">
        <v>46</v>
      </c>
      <c r="B2026" s="0" t="s">
        <v>47</v>
      </c>
      <c r="C2026" s="0" t="s">
        <v>28</v>
      </c>
      <c r="D2026" s="0" t="s">
        <v>170</v>
      </c>
      <c r="E2026" s="0" t="n">
        <v>43</v>
      </c>
      <c r="F2026" s="0" t="n">
        <v>1</v>
      </c>
      <c r="G2026" s="0" t="n">
        <v>5</v>
      </c>
      <c r="H2026" s="0" t="n">
        <v>54</v>
      </c>
      <c r="I2026" s="1"/>
      <c r="J2026" s="1"/>
      <c r="K2026" s="1"/>
      <c r="L2026" s="1"/>
      <c r="M2026" s="1"/>
      <c r="N2026" s="1"/>
      <c r="O2026" s="1"/>
      <c r="P2026" s="1"/>
      <c r="Q2026" s="1"/>
      <c r="R2026" s="3" t="n">
        <v>2</v>
      </c>
      <c r="S2026" s="0" t="n">
        <v>7.9</v>
      </c>
      <c r="T2026" s="0" t="n">
        <f aca="false">(S2026/32)*5</f>
        <v>1.234375</v>
      </c>
      <c r="V2026" s="0" t="n">
        <v>8</v>
      </c>
      <c r="W2026" s="0" t="n">
        <v>4</v>
      </c>
      <c r="X2026" s="3" t="n">
        <f aca="false">LOOKUP(V2026,$AB$3:$AC$123)</f>
        <v>1.0299</v>
      </c>
      <c r="Y2026" s="2" t="n">
        <f aca="false">(V2026*((W2026+T2026)/1000)*X2026)/((((W2026+T2026)/1000)*X2026)-((W2026/1000)*0.9982))</f>
        <v>30.8472875243218</v>
      </c>
      <c r="Z2026" s="3" t="n">
        <f aca="false">(X2026*(V2026/100)*((W2026+T2026)/1000))*1000</f>
        <v>0.431270625</v>
      </c>
    </row>
    <row r="2027" customFormat="false" ht="15" hidden="false" customHeight="false" outlineLevel="0" collapsed="false">
      <c r="A2027" s="0" t="s">
        <v>48</v>
      </c>
      <c r="B2027" s="0" t="s">
        <v>49</v>
      </c>
      <c r="C2027" s="0" t="s">
        <v>28</v>
      </c>
      <c r="D2027" s="0" t="s">
        <v>170</v>
      </c>
      <c r="E2027" s="0" t="n">
        <v>43</v>
      </c>
      <c r="F2027" s="0" t="n">
        <v>0</v>
      </c>
      <c r="G2027" s="0" t="n">
        <v>5</v>
      </c>
      <c r="H2027" s="0" t="n">
        <v>44</v>
      </c>
      <c r="I2027" s="1"/>
      <c r="J2027" s="1"/>
      <c r="K2027" s="1"/>
      <c r="L2027" s="1"/>
      <c r="M2027" s="1"/>
      <c r="N2027" s="1"/>
      <c r="O2027" s="1"/>
      <c r="P2027" s="1"/>
      <c r="Q2027" s="1"/>
      <c r="R2027" s="3" t="n">
        <v>1</v>
      </c>
      <c r="S2027" s="0" t="n">
        <v>6.9</v>
      </c>
      <c r="T2027" s="0" t="n">
        <f aca="false">(S2027/32)*5</f>
        <v>1.078125</v>
      </c>
      <c r="V2027" s="0" t="n">
        <v>16</v>
      </c>
      <c r="W2027" s="0" t="n">
        <v>4</v>
      </c>
      <c r="X2027" s="3" t="n">
        <f aca="false">LOOKUP(V2027,$AB$3:$AC$123)</f>
        <v>1.0635</v>
      </c>
      <c r="Y2027" s="2" t="n">
        <f aca="false">(V2027*((W2027+T2027)/1000)*X2027)/((((W2027+T2027)/1000)*X2027)-((W2027/1000)*0.9982))</f>
        <v>61.3796264746394</v>
      </c>
      <c r="Z2027" s="3" t="n">
        <f aca="false">(X2027*(V2027/100)*((W2027+T2027)/1000))*1000</f>
        <v>0.86409375</v>
      </c>
    </row>
    <row r="2028" customFormat="false" ht="15" hidden="false" customHeight="false" outlineLevel="0" collapsed="false">
      <c r="A2028" s="0" t="s">
        <v>50</v>
      </c>
      <c r="B2028" s="0" t="s">
        <v>51</v>
      </c>
      <c r="C2028" s="0" t="s">
        <v>28</v>
      </c>
      <c r="D2028" s="0" t="s">
        <v>170</v>
      </c>
      <c r="E2028" s="0" t="n">
        <v>43</v>
      </c>
      <c r="F2028" s="0" t="n">
        <v>0</v>
      </c>
      <c r="G2028" s="0" t="n">
        <v>1</v>
      </c>
      <c r="H2028" s="0" t="n">
        <v>53</v>
      </c>
      <c r="I2028" s="1"/>
      <c r="J2028" s="1"/>
      <c r="K2028" s="1"/>
      <c r="L2028" s="1"/>
      <c r="M2028" s="1"/>
      <c r="N2028" s="1"/>
      <c r="O2028" s="1"/>
      <c r="P2028" s="1"/>
      <c r="Q2028" s="1"/>
      <c r="R2028" s="3" t="n">
        <v>0</v>
      </c>
      <c r="S2028" s="0" t="n">
        <v>0</v>
      </c>
      <c r="T2028" s="0" t="n">
        <f aca="false">(S2028/32)*5</f>
        <v>0</v>
      </c>
      <c r="V2028" s="0" t="n">
        <v>0</v>
      </c>
      <c r="W2028" s="0" t="n">
        <v>0</v>
      </c>
      <c r="X2028" s="3" t="n">
        <v>0</v>
      </c>
      <c r="Y2028" s="2" t="n">
        <v>0</v>
      </c>
      <c r="Z2028" s="3" t="n">
        <f aca="false">(X2028*(V2028/100)*((W2028+T2028)/1000))*1000</f>
        <v>0</v>
      </c>
    </row>
    <row r="2029" customFormat="false" ht="15" hidden="false" customHeight="false" outlineLevel="0" collapsed="false">
      <c r="A2029" s="0" t="s">
        <v>52</v>
      </c>
      <c r="B2029" s="0" t="s">
        <v>53</v>
      </c>
      <c r="C2029" s="0" t="s">
        <v>28</v>
      </c>
      <c r="D2029" s="0" t="s">
        <v>170</v>
      </c>
      <c r="E2029" s="0" t="n">
        <v>43</v>
      </c>
      <c r="F2029" s="0" t="n">
        <v>1</v>
      </c>
      <c r="G2029" s="0" t="n">
        <v>1</v>
      </c>
      <c r="H2029" s="0" t="n">
        <v>41</v>
      </c>
      <c r="I2029" s="1"/>
      <c r="J2029" s="1"/>
      <c r="K2029" s="1"/>
      <c r="L2029" s="1"/>
      <c r="M2029" s="1"/>
      <c r="N2029" s="1"/>
      <c r="O2029" s="1"/>
      <c r="P2029" s="1"/>
      <c r="Q2029" s="1"/>
      <c r="R2029" s="3" t="n">
        <v>1</v>
      </c>
      <c r="S2029" s="0" t="n">
        <v>1.6</v>
      </c>
      <c r="T2029" s="0" t="n">
        <f aca="false">(S2029/32)*5</f>
        <v>0.25</v>
      </c>
      <c r="V2029" s="0" t="n">
        <v>1</v>
      </c>
      <c r="W2029" s="0" t="n">
        <v>4</v>
      </c>
      <c r="X2029" s="3" t="n">
        <f aca="false">LOOKUP(V2029,$AB$3:$AC$123)</f>
        <v>1.0021</v>
      </c>
      <c r="Y2029" s="2" t="n">
        <f aca="false">(V2029*((W2029+T2029)/1000)*X2029)/((((W2029+T2029)/1000)*X2029)-((W2029/1000)*0.9982))</f>
        <v>16.0034758102396</v>
      </c>
      <c r="Z2029" s="3" t="n">
        <f aca="false">(X2029*(V2029/100)*((W2029+T2029)/1000))*1000</f>
        <v>0.04258925</v>
      </c>
    </row>
    <row r="2030" customFormat="false" ht="15" hidden="false" customHeight="false" outlineLevel="0" collapsed="false">
      <c r="A2030" s="0" t="s">
        <v>54</v>
      </c>
      <c r="B2030" s="0" t="s">
        <v>55</v>
      </c>
      <c r="C2030" s="0" t="s">
        <v>56</v>
      </c>
      <c r="D2030" s="0" t="s">
        <v>170</v>
      </c>
      <c r="E2030" s="0" t="n">
        <v>43</v>
      </c>
      <c r="F2030" s="0" t="n">
        <v>0</v>
      </c>
      <c r="G2030" s="0" t="n">
        <v>3</v>
      </c>
      <c r="H2030" s="0" t="n">
        <v>26</v>
      </c>
      <c r="I2030" s="0" t="n">
        <v>0</v>
      </c>
      <c r="J2030" s="0" t="n">
        <f aca="false">(I2030/32)*5</f>
        <v>0</v>
      </c>
      <c r="L2030" s="0" t="n">
        <v>0</v>
      </c>
      <c r="M2030" s="0" t="n">
        <v>0</v>
      </c>
      <c r="N2030" s="0" t="n">
        <f aca="false">L2030</f>
        <v>0</v>
      </c>
      <c r="O2030" s="3" t="n">
        <v>0</v>
      </c>
      <c r="P2030" s="3" t="n">
        <f aca="false">(O2030*(N2030/100)*(J2030/1000))*1000</f>
        <v>0</v>
      </c>
      <c r="Q2030" s="3"/>
      <c r="R2030" s="3" t="n">
        <v>4</v>
      </c>
      <c r="S2030" s="1"/>
      <c r="T2030" s="1"/>
      <c r="U2030" s="1"/>
      <c r="V2030" s="1"/>
      <c r="W2030" s="1"/>
      <c r="X2030" s="1"/>
      <c r="Y2030" s="5"/>
      <c r="Z2030" s="1"/>
    </row>
    <row r="2031" customFormat="false" ht="15" hidden="false" customHeight="false" outlineLevel="0" collapsed="false">
      <c r="A2031" s="0" t="s">
        <v>57</v>
      </c>
      <c r="B2031" s="0" t="s">
        <v>58</v>
      </c>
      <c r="C2031" s="0" t="s">
        <v>56</v>
      </c>
      <c r="D2031" s="0" t="s">
        <v>170</v>
      </c>
      <c r="E2031" s="0" t="n">
        <v>43</v>
      </c>
      <c r="F2031" s="0" t="n">
        <v>0</v>
      </c>
      <c r="G2031" s="0" t="n">
        <v>5</v>
      </c>
      <c r="H2031" s="0" t="n">
        <v>49</v>
      </c>
      <c r="I2031" s="0" t="n">
        <v>0</v>
      </c>
      <c r="J2031" s="0" t="n">
        <f aca="false">(I2031/32)*5</f>
        <v>0</v>
      </c>
      <c r="L2031" s="0" t="n">
        <v>0</v>
      </c>
      <c r="M2031" s="0" t="n">
        <v>0</v>
      </c>
      <c r="N2031" s="0" t="n">
        <f aca="false">L2031</f>
        <v>0</v>
      </c>
      <c r="O2031" s="3" t="n">
        <v>0</v>
      </c>
      <c r="P2031" s="3" t="n">
        <f aca="false">(O2031*(N2031/100)*(J2031/1000))*1000</f>
        <v>0</v>
      </c>
      <c r="Q2031" s="3"/>
      <c r="R2031" s="3" t="n">
        <v>7</v>
      </c>
      <c r="S2031" s="1"/>
      <c r="T2031" s="1"/>
      <c r="U2031" s="1"/>
      <c r="V2031" s="1"/>
      <c r="W2031" s="1"/>
      <c r="X2031" s="1"/>
      <c r="Y2031" s="5"/>
      <c r="Z2031" s="1"/>
    </row>
    <row r="2032" customFormat="false" ht="15" hidden="false" customHeight="false" outlineLevel="0" collapsed="false">
      <c r="A2032" s="0" t="s">
        <v>59</v>
      </c>
      <c r="B2032" s="0" t="s">
        <v>60</v>
      </c>
      <c r="C2032" s="0" t="s">
        <v>56</v>
      </c>
      <c r="D2032" s="0" t="s">
        <v>170</v>
      </c>
      <c r="E2032" s="0" t="n">
        <v>43</v>
      </c>
      <c r="F2032" s="0" t="n">
        <v>2</v>
      </c>
      <c r="G2032" s="0" t="n">
        <v>8</v>
      </c>
      <c r="H2032" s="0" t="n">
        <v>63</v>
      </c>
      <c r="I2032" s="0" t="n">
        <f aca="false">40.8+31.6</f>
        <v>72.4</v>
      </c>
      <c r="J2032" s="0" t="n">
        <f aca="false">(I2032/32)*5</f>
        <v>11.3125</v>
      </c>
      <c r="L2032" s="0" t="n">
        <v>23</v>
      </c>
      <c r="M2032" s="0" t="n">
        <v>0</v>
      </c>
      <c r="N2032" s="0" t="n">
        <f aca="false">L2032</f>
        <v>23</v>
      </c>
      <c r="O2032" s="3" t="n">
        <f aca="false">LOOKUP(L2032,$AB$3:$AC$123)</f>
        <v>1.09445</v>
      </c>
      <c r="P2032" s="3" t="n">
        <f aca="false">(O2032*(N2032/100)*(J2032/1000))*1000</f>
        <v>2.84762209375</v>
      </c>
      <c r="Q2032" s="3"/>
      <c r="R2032" s="3" t="n">
        <v>4</v>
      </c>
      <c r="S2032" s="1"/>
      <c r="T2032" s="1"/>
      <c r="U2032" s="1"/>
      <c r="V2032" s="1"/>
      <c r="W2032" s="1"/>
      <c r="X2032" s="1"/>
      <c r="Y2032" s="5"/>
      <c r="Z2032" s="1"/>
    </row>
    <row r="2033" customFormat="false" ht="15" hidden="false" customHeight="false" outlineLevel="0" collapsed="false">
      <c r="A2033" s="0" t="s">
        <v>61</v>
      </c>
      <c r="B2033" s="0" t="s">
        <v>62</v>
      </c>
      <c r="C2033" s="0" t="s">
        <v>56</v>
      </c>
      <c r="D2033" s="0" t="s">
        <v>170</v>
      </c>
      <c r="E2033" s="0" t="n">
        <v>43</v>
      </c>
      <c r="F2033" s="0" t="n">
        <v>0</v>
      </c>
      <c r="G2033" s="0" t="n">
        <v>8</v>
      </c>
      <c r="H2033" s="0" t="n">
        <v>63</v>
      </c>
      <c r="I2033" s="0" t="n">
        <v>0</v>
      </c>
      <c r="J2033" s="0" t="n">
        <f aca="false">(I2033/32)*5</f>
        <v>0</v>
      </c>
      <c r="L2033" s="0" t="n">
        <v>0</v>
      </c>
      <c r="M2033" s="0" t="n">
        <v>0</v>
      </c>
      <c r="N2033" s="0" t="n">
        <f aca="false">L2033</f>
        <v>0</v>
      </c>
      <c r="O2033" s="3" t="n">
        <v>0</v>
      </c>
      <c r="P2033" s="3" t="n">
        <f aca="false">(O2033*(N2033/100)*(J2033/1000))*1000</f>
        <v>0</v>
      </c>
      <c r="Q2033" s="3"/>
      <c r="R2033" s="3" t="n">
        <v>12</v>
      </c>
      <c r="S2033" s="1"/>
      <c r="T2033" s="1"/>
      <c r="U2033" s="1"/>
      <c r="V2033" s="1"/>
      <c r="W2033" s="1"/>
      <c r="X2033" s="1"/>
      <c r="Y2033" s="5"/>
      <c r="Z2033" s="1"/>
    </row>
    <row r="2034" customFormat="false" ht="15" hidden="false" customHeight="false" outlineLevel="0" collapsed="false">
      <c r="A2034" s="0" t="s">
        <v>63</v>
      </c>
      <c r="B2034" s="0" t="s">
        <v>64</v>
      </c>
      <c r="C2034" s="0" t="s">
        <v>56</v>
      </c>
      <c r="D2034" s="0" t="s">
        <v>170</v>
      </c>
      <c r="E2034" s="0" t="n">
        <v>43</v>
      </c>
      <c r="F2034" s="0" t="n">
        <v>1</v>
      </c>
      <c r="G2034" s="0" t="n">
        <v>5</v>
      </c>
      <c r="H2034" s="0" t="n">
        <v>25</v>
      </c>
      <c r="I2034" s="0" t="n">
        <f aca="false">31.4+5.5</f>
        <v>36.9</v>
      </c>
      <c r="J2034" s="0" t="n">
        <f aca="false">(I2034/32)*5</f>
        <v>5.765625</v>
      </c>
      <c r="L2034" s="0" t="n">
        <v>15.5</v>
      </c>
      <c r="M2034" s="0" t="n">
        <v>0</v>
      </c>
      <c r="N2034" s="0" t="n">
        <f aca="false">L2034</f>
        <v>15.5</v>
      </c>
      <c r="O2034" s="3" t="n">
        <f aca="false">LOOKUP(L2034,$AB$3:$AC$123)</f>
        <v>1.06135</v>
      </c>
      <c r="P2034" s="3" t="n">
        <f aca="false">(O2034*(N2034/100)*(J2034/1000))*1000</f>
        <v>0.94849864453125</v>
      </c>
      <c r="Q2034" s="3"/>
      <c r="R2034" s="3" t="n">
        <v>5</v>
      </c>
      <c r="S2034" s="1"/>
      <c r="T2034" s="1"/>
      <c r="U2034" s="1"/>
      <c r="V2034" s="1"/>
      <c r="W2034" s="1"/>
      <c r="X2034" s="1"/>
      <c r="Y2034" s="5"/>
      <c r="Z2034" s="1"/>
    </row>
    <row r="2035" customFormat="false" ht="15" hidden="false" customHeight="false" outlineLevel="0" collapsed="false">
      <c r="A2035" s="0" t="s">
        <v>65</v>
      </c>
      <c r="B2035" s="0" t="s">
        <v>66</v>
      </c>
      <c r="C2035" s="0" t="s">
        <v>56</v>
      </c>
      <c r="D2035" s="0" t="s">
        <v>170</v>
      </c>
      <c r="E2035" s="0" t="n">
        <v>43</v>
      </c>
      <c r="F2035" s="0" t="n">
        <v>0</v>
      </c>
      <c r="G2035" s="0" t="n">
        <v>5</v>
      </c>
      <c r="H2035" s="0" t="n">
        <v>117</v>
      </c>
      <c r="I2035" s="0" t="n">
        <v>0</v>
      </c>
      <c r="J2035" s="0" t="n">
        <f aca="false">(I2035/32)*5</f>
        <v>0</v>
      </c>
      <c r="L2035" s="0" t="n">
        <v>0</v>
      </c>
      <c r="M2035" s="0" t="n">
        <v>0</v>
      </c>
      <c r="N2035" s="0" t="n">
        <f aca="false">L2035</f>
        <v>0</v>
      </c>
      <c r="O2035" s="3" t="n">
        <v>0</v>
      </c>
      <c r="P2035" s="3" t="n">
        <f aca="false">(O2035*(N2035/100)*(J2035/1000))*1000</f>
        <v>0</v>
      </c>
      <c r="Q2035" s="3"/>
      <c r="R2035" s="3" t="n">
        <v>13</v>
      </c>
      <c r="S2035" s="1"/>
      <c r="T2035" s="1"/>
      <c r="U2035" s="1"/>
      <c r="V2035" s="1"/>
      <c r="W2035" s="1"/>
      <c r="X2035" s="1"/>
      <c r="Y2035" s="5"/>
      <c r="Z2035" s="1"/>
    </row>
    <row r="2036" customFormat="false" ht="15" hidden="false" customHeight="false" outlineLevel="0" collapsed="false">
      <c r="A2036" s="0" t="s">
        <v>67</v>
      </c>
      <c r="B2036" s="0" t="s">
        <v>68</v>
      </c>
      <c r="C2036" s="0" t="s">
        <v>56</v>
      </c>
      <c r="D2036" s="0" t="s">
        <v>170</v>
      </c>
      <c r="E2036" s="0" t="n">
        <v>43</v>
      </c>
      <c r="F2036" s="0" t="n">
        <v>1</v>
      </c>
      <c r="G2036" s="0" t="n">
        <v>4</v>
      </c>
      <c r="H2036" s="0" t="n">
        <v>76</v>
      </c>
      <c r="I2036" s="0" t="n">
        <v>75</v>
      </c>
      <c r="J2036" s="0" t="n">
        <f aca="false">(I2036/32)*5</f>
        <v>11.71875</v>
      </c>
      <c r="L2036" s="0" t="n">
        <v>14.5</v>
      </c>
      <c r="M2036" s="0" t="n">
        <v>0</v>
      </c>
      <c r="N2036" s="0" t="n">
        <f aca="false">L2036</f>
        <v>14.5</v>
      </c>
      <c r="O2036" s="3" t="n">
        <f aca="false">LOOKUP(L2036,$AB$3:$AC$123)</f>
        <v>1.05705</v>
      </c>
      <c r="P2036" s="3" t="n">
        <f aca="false">(O2036*(N2036/100)*(J2036/1000))*1000</f>
        <v>1.7961591796875</v>
      </c>
      <c r="Q2036" s="3"/>
      <c r="R2036" s="3" t="n">
        <v>11</v>
      </c>
      <c r="S2036" s="1"/>
      <c r="T2036" s="1"/>
      <c r="U2036" s="1"/>
      <c r="V2036" s="1"/>
      <c r="W2036" s="1"/>
      <c r="X2036" s="1"/>
      <c r="Y2036" s="5"/>
      <c r="Z2036" s="1"/>
    </row>
    <row r="2037" customFormat="false" ht="15" hidden="false" customHeight="false" outlineLevel="0" collapsed="false">
      <c r="A2037" s="0" t="s">
        <v>69</v>
      </c>
      <c r="B2037" s="0" t="s">
        <v>70</v>
      </c>
      <c r="C2037" s="0" t="s">
        <v>56</v>
      </c>
      <c r="D2037" s="0" t="s">
        <v>170</v>
      </c>
      <c r="E2037" s="0" t="n">
        <v>43</v>
      </c>
      <c r="F2037" s="0" t="n">
        <v>2</v>
      </c>
      <c r="G2037" s="0" t="n">
        <v>2</v>
      </c>
      <c r="H2037" s="0" t="n">
        <v>92</v>
      </c>
      <c r="I2037" s="0" t="n">
        <v>132.1</v>
      </c>
      <c r="J2037" s="0" t="n">
        <f aca="false">(I2037/32)*5</f>
        <v>20.640625</v>
      </c>
      <c r="L2037" s="0" t="n">
        <v>21</v>
      </c>
      <c r="M2037" s="0" t="n">
        <v>0</v>
      </c>
      <c r="N2037" s="0" t="n">
        <f aca="false">L2037</f>
        <v>21</v>
      </c>
      <c r="O2037" s="3" t="n">
        <f aca="false">LOOKUP(L2037,$AB$3:$AC$123)</f>
        <v>1.08545</v>
      </c>
      <c r="P2037" s="3" t="n">
        <f aca="false">(O2037*(N2037/100)*(J2037/1000))*1000</f>
        <v>4.7049169453125</v>
      </c>
      <c r="Q2037" s="3"/>
      <c r="R2037" s="3" t="n">
        <v>9</v>
      </c>
      <c r="S2037" s="1"/>
      <c r="T2037" s="1"/>
      <c r="U2037" s="1"/>
      <c r="V2037" s="1"/>
      <c r="W2037" s="1"/>
      <c r="X2037" s="1"/>
      <c r="Y2037" s="5"/>
      <c r="Z2037" s="1"/>
    </row>
    <row r="2038" customFormat="false" ht="15" hidden="false" customHeight="false" outlineLevel="0" collapsed="false">
      <c r="A2038" s="0" t="s">
        <v>71</v>
      </c>
      <c r="B2038" s="0" t="s">
        <v>72</v>
      </c>
      <c r="C2038" s="0" t="s">
        <v>56</v>
      </c>
      <c r="D2038" s="0" t="s">
        <v>170</v>
      </c>
      <c r="E2038" s="0" t="n">
        <v>43</v>
      </c>
      <c r="F2038" s="0" t="n">
        <v>0</v>
      </c>
      <c r="G2038" s="0" t="n">
        <v>2</v>
      </c>
      <c r="H2038" s="0" t="n">
        <v>40</v>
      </c>
      <c r="I2038" s="0" t="n">
        <v>0</v>
      </c>
      <c r="J2038" s="0" t="n">
        <f aca="false">(I2038/32)*5</f>
        <v>0</v>
      </c>
      <c r="L2038" s="0" t="n">
        <v>0</v>
      </c>
      <c r="M2038" s="0" t="n">
        <v>0</v>
      </c>
      <c r="N2038" s="0" t="n">
        <f aca="false">L2038</f>
        <v>0</v>
      </c>
      <c r="O2038" s="3" t="n">
        <f aca="false">LOOKUP(L2038,$AB$3:$AC$123)</f>
        <v>0.9982</v>
      </c>
      <c r="P2038" s="3" t="n">
        <f aca="false">(O2038*(N2038/100)*(J2038/1000))*1000</f>
        <v>0</v>
      </c>
      <c r="Q2038" s="3"/>
      <c r="R2038" s="3" t="n">
        <v>6</v>
      </c>
      <c r="S2038" s="1"/>
      <c r="T2038" s="1"/>
      <c r="U2038" s="1"/>
      <c r="V2038" s="1"/>
      <c r="W2038" s="1"/>
      <c r="X2038" s="1"/>
      <c r="Y2038" s="5"/>
      <c r="Z2038" s="1"/>
    </row>
    <row r="2039" customFormat="false" ht="15" hidden="false" customHeight="false" outlineLevel="0" collapsed="false">
      <c r="A2039" s="0" t="s">
        <v>73</v>
      </c>
      <c r="B2039" s="0" t="s">
        <v>74</v>
      </c>
      <c r="C2039" s="0" t="s">
        <v>56</v>
      </c>
      <c r="D2039" s="0" t="s">
        <v>170</v>
      </c>
      <c r="E2039" s="0" t="n">
        <v>43</v>
      </c>
      <c r="F2039" s="0" t="n">
        <v>1</v>
      </c>
      <c r="G2039" s="0" t="n">
        <v>5</v>
      </c>
      <c r="H2039" s="0" t="n">
        <v>42</v>
      </c>
      <c r="I2039" s="0" t="n">
        <v>83.6</v>
      </c>
      <c r="J2039" s="0" t="n">
        <f aca="false">(I2039/32)*5</f>
        <v>13.0625</v>
      </c>
      <c r="L2039" s="0" t="n">
        <v>18.5</v>
      </c>
      <c r="M2039" s="0" t="n">
        <v>0</v>
      </c>
      <c r="N2039" s="0" t="n">
        <f aca="false">L2039</f>
        <v>18.5</v>
      </c>
      <c r="O2039" s="3" t="n">
        <f aca="false">LOOKUP(L2039,$AB$3:$AC$123)</f>
        <v>1.07435</v>
      </c>
      <c r="P2039" s="3" t="n">
        <f aca="false">(O2039*(N2039/100)*(J2039/1000))*1000</f>
        <v>2.596233921875</v>
      </c>
      <c r="Q2039" s="3"/>
      <c r="R2039" s="3" t="n">
        <v>11</v>
      </c>
      <c r="S2039" s="1"/>
      <c r="T2039" s="1"/>
      <c r="U2039" s="1"/>
      <c r="V2039" s="1"/>
      <c r="W2039" s="1"/>
      <c r="X2039" s="1"/>
      <c r="Y2039" s="5"/>
      <c r="Z2039" s="1"/>
    </row>
    <row r="2040" customFormat="false" ht="15" hidden="false" customHeight="false" outlineLevel="0" collapsed="false">
      <c r="A2040" s="0" t="s">
        <v>75</v>
      </c>
      <c r="B2040" s="0" t="s">
        <v>76</v>
      </c>
      <c r="C2040" s="0" t="s">
        <v>56</v>
      </c>
      <c r="D2040" s="0" t="s">
        <v>170</v>
      </c>
      <c r="E2040" s="0" t="n">
        <v>43</v>
      </c>
      <c r="F2040" s="0" t="n">
        <v>0</v>
      </c>
      <c r="G2040" s="0" t="n">
        <v>5</v>
      </c>
      <c r="H2040" s="0" t="n">
        <v>71</v>
      </c>
      <c r="I2040" s="0" t="n">
        <v>0</v>
      </c>
      <c r="J2040" s="0" t="n">
        <f aca="false">(I2040/32)*5</f>
        <v>0</v>
      </c>
      <c r="L2040" s="0" t="n">
        <v>0</v>
      </c>
      <c r="M2040" s="0" t="n">
        <v>0</v>
      </c>
      <c r="N2040" s="0" t="n">
        <f aca="false">L2040</f>
        <v>0</v>
      </c>
      <c r="O2040" s="3" t="n">
        <v>0</v>
      </c>
      <c r="P2040" s="3" t="n">
        <f aca="false">(O2040*(N2040/100)*(J2040/1000))*1000</f>
        <v>0</v>
      </c>
      <c r="Q2040" s="3"/>
      <c r="R2040" s="3" t="n">
        <v>12</v>
      </c>
      <c r="S2040" s="1"/>
      <c r="T2040" s="1"/>
      <c r="U2040" s="1"/>
      <c r="V2040" s="1"/>
      <c r="W2040" s="1"/>
      <c r="X2040" s="1"/>
      <c r="Y2040" s="5"/>
      <c r="Z2040" s="1"/>
    </row>
    <row r="2041" customFormat="false" ht="15" hidden="false" customHeight="false" outlineLevel="0" collapsed="false">
      <c r="A2041" s="0" t="s">
        <v>77</v>
      </c>
      <c r="B2041" s="0" t="s">
        <v>78</v>
      </c>
      <c r="C2041" s="0" t="s">
        <v>56</v>
      </c>
      <c r="D2041" s="0" t="s">
        <v>170</v>
      </c>
      <c r="E2041" s="0" t="n">
        <v>43</v>
      </c>
      <c r="F2041" s="0" t="n">
        <v>0</v>
      </c>
      <c r="G2041" s="0" t="n">
        <v>3</v>
      </c>
      <c r="H2041" s="0" t="n">
        <v>44</v>
      </c>
      <c r="I2041" s="0" t="n">
        <v>0</v>
      </c>
      <c r="J2041" s="0" t="n">
        <f aca="false">(I2041/32)*5</f>
        <v>0</v>
      </c>
      <c r="L2041" s="0" t="n">
        <v>0</v>
      </c>
      <c r="M2041" s="0" t="n">
        <v>0</v>
      </c>
      <c r="N2041" s="0" t="n">
        <f aca="false">L2041</f>
        <v>0</v>
      </c>
      <c r="O2041" s="3" t="n">
        <v>0</v>
      </c>
      <c r="P2041" s="3" t="n">
        <f aca="false">(O2041*(N2041/100)*(J2041/1000))*1000</f>
        <v>0</v>
      </c>
      <c r="Q2041" s="3"/>
      <c r="R2041" s="3" t="n">
        <v>6</v>
      </c>
      <c r="S2041" s="1"/>
      <c r="T2041" s="1"/>
      <c r="U2041" s="1"/>
      <c r="V2041" s="1"/>
      <c r="W2041" s="1"/>
      <c r="X2041" s="1"/>
      <c r="Y2041" s="5"/>
      <c r="Z2041" s="1"/>
    </row>
    <row r="2042" customFormat="false" ht="15" hidden="false" customHeight="false" outlineLevel="0" collapsed="false">
      <c r="A2042" s="0" t="s">
        <v>79</v>
      </c>
      <c r="B2042" s="0" t="s">
        <v>80</v>
      </c>
      <c r="C2042" s="0" t="s">
        <v>81</v>
      </c>
      <c r="D2042" s="0" t="s">
        <v>170</v>
      </c>
      <c r="E2042" s="0" t="n">
        <v>43</v>
      </c>
      <c r="F2042" s="0" t="n">
        <v>0</v>
      </c>
      <c r="G2042" s="0" t="n">
        <v>3</v>
      </c>
      <c r="H2042" s="0" t="n">
        <v>38</v>
      </c>
      <c r="I2042" s="0" t="n">
        <v>0</v>
      </c>
      <c r="J2042" s="0" t="n">
        <f aca="false">(I2042/32)*5</f>
        <v>0</v>
      </c>
      <c r="L2042" s="0" t="n">
        <v>0</v>
      </c>
      <c r="M2042" s="0" t="n">
        <v>0</v>
      </c>
      <c r="N2042" s="0" t="n">
        <f aca="false">L2042</f>
        <v>0</v>
      </c>
      <c r="O2042" s="3" t="n">
        <v>0</v>
      </c>
      <c r="P2042" s="3" t="n">
        <f aca="false">(O2042*(N2042/100)*(J2042/1000))*1000</f>
        <v>0</v>
      </c>
      <c r="Q2042" s="3"/>
      <c r="R2042" s="3" t="n">
        <v>2</v>
      </c>
      <c r="S2042" s="3" t="n">
        <v>2.3</v>
      </c>
      <c r="T2042" s="0" t="n">
        <f aca="false">(S2042/32)*5</f>
        <v>0.359375</v>
      </c>
      <c r="V2042" s="0" t="n">
        <v>4.5</v>
      </c>
      <c r="W2042" s="0" t="n">
        <v>4</v>
      </c>
      <c r="X2042" s="3" t="n">
        <f aca="false">LOOKUP(V2042,$AB$3:$AC$123)</f>
        <v>1.0159</v>
      </c>
      <c r="Y2042" s="2" t="n">
        <f aca="false">(V2042*((W2042+T2042)/1000)*X2042)/((((W2042+T2042)/1000)*X2042)-((W2042/1000)*0.9982))</f>
        <v>45.7205800644516</v>
      </c>
      <c r="Z2042" s="3" t="n">
        <f aca="false">(X2042*(V2042/100)*((W2042+T2042)/1000))*1000</f>
        <v>0.1992910078125</v>
      </c>
    </row>
    <row r="2043" customFormat="false" ht="15" hidden="false" customHeight="false" outlineLevel="0" collapsed="false">
      <c r="A2043" s="0" t="s">
        <v>82</v>
      </c>
      <c r="B2043" s="0" t="s">
        <v>83</v>
      </c>
      <c r="C2043" s="0" t="s">
        <v>81</v>
      </c>
      <c r="D2043" s="0" t="s">
        <v>170</v>
      </c>
      <c r="E2043" s="0" t="n">
        <v>43</v>
      </c>
      <c r="F2043" s="0" t="n">
        <v>0</v>
      </c>
      <c r="G2043" s="0" t="n">
        <v>4</v>
      </c>
      <c r="H2043" s="0" t="n">
        <v>34</v>
      </c>
      <c r="I2043" s="0" t="n">
        <v>0</v>
      </c>
      <c r="J2043" s="0" t="n">
        <f aca="false">(I2043/32)*5</f>
        <v>0</v>
      </c>
      <c r="L2043" s="0" t="n">
        <v>0</v>
      </c>
      <c r="M2043" s="0" t="n">
        <v>0</v>
      </c>
      <c r="N2043" s="0" t="n">
        <f aca="false">L2043</f>
        <v>0</v>
      </c>
      <c r="O2043" s="3" t="n">
        <v>0</v>
      </c>
      <c r="P2043" s="3" t="n">
        <f aca="false">(O2043*(N2043/100)*(J2043/1000))*1000</f>
        <v>0</v>
      </c>
      <c r="Q2043" s="3"/>
      <c r="R2043" s="3" t="n">
        <v>2</v>
      </c>
      <c r="S2043" s="3" t="n">
        <v>5.6</v>
      </c>
      <c r="T2043" s="0" t="n">
        <f aca="false">(S2043/32)*5</f>
        <v>0.875</v>
      </c>
      <c r="V2043" s="0" t="n">
        <v>10</v>
      </c>
      <c r="W2043" s="0" t="n">
        <v>4</v>
      </c>
      <c r="X2043" s="3" t="n">
        <f aca="false">LOOKUP(V2043,$AB$3:$AC$123)</f>
        <v>1.0381</v>
      </c>
      <c r="Y2043" s="2" t="n">
        <f aca="false">(V2043*((W2043+T2043)/1000)*X2043)/((((W2043+T2043)/1000)*X2043)-((W2043/1000)*0.9982))</f>
        <v>47.3879557558378</v>
      </c>
      <c r="Z2043" s="3" t="n">
        <f aca="false">(X2043*(V2043/100)*((W2043+T2043)/1000))*1000</f>
        <v>0.50607375</v>
      </c>
    </row>
    <row r="2044" customFormat="false" ht="15" hidden="false" customHeight="false" outlineLevel="0" collapsed="false">
      <c r="A2044" s="0" t="s">
        <v>84</v>
      </c>
      <c r="B2044" s="0" t="s">
        <v>85</v>
      </c>
      <c r="C2044" s="0" t="s">
        <v>81</v>
      </c>
      <c r="D2044" s="0" t="s">
        <v>170</v>
      </c>
      <c r="E2044" s="0" t="n">
        <v>43</v>
      </c>
      <c r="F2044" s="0" t="n">
        <v>2</v>
      </c>
      <c r="G2044" s="0" t="n">
        <v>7</v>
      </c>
      <c r="H2044" s="0" t="n">
        <v>55</v>
      </c>
      <c r="I2044" s="0" t="n">
        <v>123</v>
      </c>
      <c r="J2044" s="0" t="n">
        <f aca="false">(I2044/32)*5</f>
        <v>19.21875</v>
      </c>
      <c r="L2044" s="0" t="n">
        <v>26.5</v>
      </c>
      <c r="M2044" s="0" t="n">
        <v>0</v>
      </c>
      <c r="N2044" s="0" t="n">
        <f aca="false">L2044</f>
        <v>26.5</v>
      </c>
      <c r="O2044" s="3" t="n">
        <f aca="false">LOOKUP(L2044,$AB$3:$AC$123)</f>
        <v>1.11045</v>
      </c>
      <c r="P2044" s="3" t="n">
        <f aca="false">(O2044*(N2044/100)*(J2044/1000))*1000</f>
        <v>5.6554871484375</v>
      </c>
      <c r="Q2044" s="3"/>
      <c r="R2044" s="3" t="n">
        <v>4</v>
      </c>
      <c r="S2044" s="0" t="n">
        <v>9.7</v>
      </c>
      <c r="T2044" s="0" t="n">
        <f aca="false">(S2044/32)*5</f>
        <v>1.515625</v>
      </c>
      <c r="V2044" s="0" t="n">
        <v>20</v>
      </c>
      <c r="W2044" s="0" t="n">
        <v>4</v>
      </c>
      <c r="X2044" s="3" t="n">
        <f aca="false">LOOKUP(V2044,$AB$3:$AC$123)</f>
        <v>1.081</v>
      </c>
      <c r="Y2044" s="2" t="n">
        <f aca="false">(V2044*((W2044+T2044)/1000)*X2044)/((((W2044+T2044)/1000)*X2044)-((W2044/1000)*0.9982))</f>
        <v>60.5444659343868</v>
      </c>
      <c r="Z2044" s="3" t="n">
        <f aca="false">(X2044*(V2044/100)*((W2044+T2044)/1000))*1000</f>
        <v>1.192478125</v>
      </c>
    </row>
    <row r="2045" customFormat="false" ht="15" hidden="false" customHeight="false" outlineLevel="0" collapsed="false">
      <c r="A2045" s="0" t="s">
        <v>86</v>
      </c>
      <c r="B2045" s="0" t="s">
        <v>87</v>
      </c>
      <c r="C2045" s="0" t="s">
        <v>81</v>
      </c>
      <c r="D2045" s="0" t="s">
        <v>170</v>
      </c>
      <c r="E2045" s="0" t="n">
        <v>43</v>
      </c>
      <c r="F2045" s="0" t="n">
        <v>2</v>
      </c>
      <c r="G2045" s="0" t="n">
        <v>6</v>
      </c>
      <c r="H2045" s="0" t="n">
        <v>51</v>
      </c>
      <c r="I2045" s="0" t="n">
        <f aca="false">24.4+58</f>
        <v>82.4</v>
      </c>
      <c r="J2045" s="0" t="n">
        <f aca="false">(I2045/32)*5</f>
        <v>12.875</v>
      </c>
      <c r="L2045" s="0" t="n">
        <v>16</v>
      </c>
      <c r="M2045" s="0" t="n">
        <v>0</v>
      </c>
      <c r="N2045" s="0" t="n">
        <f aca="false">L2045</f>
        <v>16</v>
      </c>
      <c r="O2045" s="3" t="n">
        <f aca="false">LOOKUP(L2045,$AB$3:$AC$123)</f>
        <v>1.0635</v>
      </c>
      <c r="P2045" s="3" t="n">
        <f aca="false">(O2045*(N2045/100)*(J2045/1000))*1000</f>
        <v>2.19081</v>
      </c>
      <c r="Q2045" s="3"/>
      <c r="R2045" s="3" t="n">
        <v>3</v>
      </c>
      <c r="S2045" s="0" t="n">
        <v>8.7</v>
      </c>
      <c r="T2045" s="0" t="n">
        <f aca="false">(S2045/32)*5</f>
        <v>1.359375</v>
      </c>
      <c r="V2045" s="0" t="n">
        <v>12</v>
      </c>
      <c r="W2045" s="0" t="n">
        <v>4</v>
      </c>
      <c r="X2045" s="3" t="n">
        <f aca="false">LOOKUP(V2045,$AB$3:$AC$123)</f>
        <v>1.0465</v>
      </c>
      <c r="Y2045" s="2" t="n">
        <f aca="false">(V2045*((W2045+T2045)/1000)*X2045)/((((W2045+T2045)/1000)*X2045)-((W2045/1000)*0.9982))</f>
        <v>41.6534329752452</v>
      </c>
      <c r="Z2045" s="3" t="n">
        <f aca="false">(X2045*(V2045/100)*((W2045+T2045)/1000))*1000</f>
        <v>0.6730303125</v>
      </c>
    </row>
    <row r="2046" customFormat="false" ht="15" hidden="false" customHeight="false" outlineLevel="0" collapsed="false">
      <c r="A2046" s="0" t="s">
        <v>88</v>
      </c>
      <c r="B2046" s="0" t="s">
        <v>89</v>
      </c>
      <c r="C2046" s="0" t="s">
        <v>81</v>
      </c>
      <c r="D2046" s="0" t="s">
        <v>170</v>
      </c>
      <c r="E2046" s="0" t="n">
        <v>43</v>
      </c>
      <c r="F2046" s="0" t="n">
        <v>1</v>
      </c>
      <c r="G2046" s="0" t="n">
        <v>4</v>
      </c>
      <c r="H2046" s="0" t="n">
        <v>56</v>
      </c>
      <c r="I2046" s="0" t="n">
        <v>77</v>
      </c>
      <c r="J2046" s="0" t="n">
        <f aca="false">(I2046/32)*5</f>
        <v>12.03125</v>
      </c>
      <c r="L2046" s="0" t="n">
        <v>16.5</v>
      </c>
      <c r="M2046" s="0" t="n">
        <v>0</v>
      </c>
      <c r="N2046" s="0" t="n">
        <f aca="false">L2046</f>
        <v>16.5</v>
      </c>
      <c r="O2046" s="3" t="n">
        <f aca="false">LOOKUP(L2046,$AB$3:$AC$123)</f>
        <v>1.06565</v>
      </c>
      <c r="P2046" s="3" t="n">
        <f aca="false">(O2046*(N2046/100)*(J2046/1000))*1000</f>
        <v>2.1154817578125</v>
      </c>
      <c r="Q2046" s="3"/>
      <c r="R2046" s="3" t="n">
        <v>3</v>
      </c>
      <c r="S2046" s="0" t="n">
        <v>13.1</v>
      </c>
      <c r="T2046" s="0" t="n">
        <f aca="false">(S2046/32)*5</f>
        <v>2.046875</v>
      </c>
      <c r="V2046" s="0" t="n">
        <v>19</v>
      </c>
      <c r="W2046" s="0" t="n">
        <v>4</v>
      </c>
      <c r="X2046" s="3" t="n">
        <f aca="false">LOOKUP(V2046,$AB$3:$AC$123)</f>
        <v>1.0765</v>
      </c>
      <c r="Y2046" s="2" t="n">
        <f aca="false">(V2046*((W2046+T2046)/1000)*X2046)/((((W2046+T2046)/1000)*X2046)-((W2046/1000)*0.9982))</f>
        <v>49.1443865041911</v>
      </c>
      <c r="Z2046" s="3" t="n">
        <f aca="false">(X2046*(V2046/100)*((W2046+T2046)/1000))*1000</f>
        <v>1.236797578125</v>
      </c>
    </row>
    <row r="2047" customFormat="false" ht="15" hidden="false" customHeight="false" outlineLevel="0" collapsed="false">
      <c r="A2047" s="0" t="s">
        <v>90</v>
      </c>
      <c r="B2047" s="0" t="s">
        <v>91</v>
      </c>
      <c r="C2047" s="0" t="s">
        <v>81</v>
      </c>
      <c r="D2047" s="0" t="s">
        <v>170</v>
      </c>
      <c r="E2047" s="0" t="n">
        <v>43</v>
      </c>
      <c r="F2047" s="0" t="n">
        <v>0</v>
      </c>
      <c r="G2047" s="0" t="n">
        <v>7</v>
      </c>
      <c r="H2047" s="0" t="n">
        <v>46</v>
      </c>
      <c r="I2047" s="0" t="n">
        <v>0</v>
      </c>
      <c r="J2047" s="0" t="n">
        <f aca="false">(I2047/32)*5</f>
        <v>0</v>
      </c>
      <c r="L2047" s="0" t="n">
        <v>0</v>
      </c>
      <c r="M2047" s="0" t="n">
        <v>0</v>
      </c>
      <c r="N2047" s="0" t="n">
        <f aca="false">L2047</f>
        <v>0</v>
      </c>
      <c r="O2047" s="3" t="n">
        <v>0</v>
      </c>
      <c r="P2047" s="3" t="n">
        <f aca="false">(O2047*(N2047/100)*(J2047/1000))*1000</f>
        <v>0</v>
      </c>
      <c r="Q2047" s="3"/>
      <c r="R2047" s="3" t="n">
        <v>2</v>
      </c>
      <c r="S2047" s="3" t="n">
        <v>5.7</v>
      </c>
      <c r="T2047" s="0" t="n">
        <f aca="false">(S2047/32)*5</f>
        <v>0.890625</v>
      </c>
      <c r="V2047" s="0" t="n">
        <v>12</v>
      </c>
      <c r="W2047" s="0" t="n">
        <v>4</v>
      </c>
      <c r="X2047" s="3" t="n">
        <f aca="false">LOOKUP(V2047,$AB$3:$AC$123)</f>
        <v>1.0465</v>
      </c>
      <c r="Y2047" s="2" t="n">
        <f aca="false">(V2047*((W2047+T2047)/1000)*X2047)/((((W2047+T2047)/1000)*X2047)-((W2047/1000)*0.9982))</f>
        <v>54.5808182427901</v>
      </c>
      <c r="Z2047" s="3" t="n">
        <f aca="false">(X2047*(V2047/100)*((W2047+T2047)/1000))*1000</f>
        <v>0.6141646875</v>
      </c>
    </row>
    <row r="2048" customFormat="false" ht="15" hidden="false" customHeight="false" outlineLevel="0" collapsed="false">
      <c r="A2048" s="0" t="s">
        <v>92</v>
      </c>
      <c r="B2048" s="0" t="s">
        <v>93</v>
      </c>
      <c r="C2048" s="0" t="s">
        <v>81</v>
      </c>
      <c r="D2048" s="0" t="s">
        <v>170</v>
      </c>
      <c r="E2048" s="0" t="n">
        <v>43</v>
      </c>
      <c r="F2048" s="0" t="n">
        <v>1</v>
      </c>
      <c r="G2048" s="0" t="n">
        <v>4</v>
      </c>
      <c r="H2048" s="0" t="n">
        <v>52</v>
      </c>
      <c r="I2048" s="0" t="n">
        <v>36.8</v>
      </c>
      <c r="J2048" s="0" t="n">
        <f aca="false">(I2048/32)*5</f>
        <v>5.75</v>
      </c>
      <c r="L2048" s="0" t="n">
        <v>11</v>
      </c>
      <c r="M2048" s="0" t="n">
        <v>0</v>
      </c>
      <c r="N2048" s="0" t="n">
        <f aca="false">L2048</f>
        <v>11</v>
      </c>
      <c r="O2048" s="3" t="n">
        <f aca="false">LOOKUP(L2048,$AB$3:$AC$123)</f>
        <v>1.0423</v>
      </c>
      <c r="P2048" s="3" t="n">
        <f aca="false">(O2048*(N2048/100)*(J2048/1000))*1000</f>
        <v>0.65925475</v>
      </c>
      <c r="Q2048" s="3"/>
      <c r="R2048" s="3" t="n">
        <v>3</v>
      </c>
      <c r="S2048" s="3" t="n">
        <v>5.6</v>
      </c>
      <c r="T2048" s="0" t="n">
        <f aca="false">(S2048/32)*5</f>
        <v>0.875</v>
      </c>
      <c r="V2048" s="0" t="n">
        <v>10</v>
      </c>
      <c r="W2048" s="0" t="n">
        <v>4</v>
      </c>
      <c r="X2048" s="3" t="n">
        <f aca="false">LOOKUP(V2048,$AB$3:$AC$123)</f>
        <v>1.0381</v>
      </c>
      <c r="Y2048" s="2" t="n">
        <f aca="false">(V2048*((W2048+T2048)/1000)*X2048)/((((W2048+T2048)/1000)*X2048)-((W2048/1000)*0.9982))</f>
        <v>47.3879557558378</v>
      </c>
      <c r="Z2048" s="3" t="n">
        <f aca="false">(X2048*(V2048/100)*((W2048+T2048)/1000))*1000</f>
        <v>0.50607375</v>
      </c>
    </row>
    <row r="2049" customFormat="false" ht="15" hidden="false" customHeight="false" outlineLevel="0" collapsed="false">
      <c r="A2049" s="0" t="s">
        <v>94</v>
      </c>
      <c r="B2049" s="0" t="s">
        <v>95</v>
      </c>
      <c r="C2049" s="0" t="s">
        <v>81</v>
      </c>
      <c r="D2049" s="0" t="s">
        <v>170</v>
      </c>
      <c r="E2049" s="0" t="n">
        <v>43</v>
      </c>
      <c r="F2049" s="0" t="n">
        <v>2</v>
      </c>
      <c r="G2049" s="0" t="n">
        <v>8</v>
      </c>
      <c r="H2049" s="0" t="n">
        <v>65</v>
      </c>
      <c r="I2049" s="0" t="n">
        <v>101.7</v>
      </c>
      <c r="J2049" s="0" t="n">
        <f aca="false">(I2049/32)*5</f>
        <v>15.890625</v>
      </c>
      <c r="L2049" s="0" t="n">
        <v>20</v>
      </c>
      <c r="M2049" s="0" t="n">
        <v>0</v>
      </c>
      <c r="N2049" s="0" t="n">
        <f aca="false">L2049</f>
        <v>20</v>
      </c>
      <c r="O2049" s="3" t="n">
        <f aca="false">LOOKUP(L2049,$AB$3:$AC$123)</f>
        <v>1.081</v>
      </c>
      <c r="P2049" s="3" t="n">
        <f aca="false">(O2049*(N2049/100)*(J2049/1000))*1000</f>
        <v>3.435553125</v>
      </c>
      <c r="Q2049" s="3"/>
      <c r="R2049" s="3" t="n">
        <v>7</v>
      </c>
      <c r="S2049" s="3" t="n">
        <v>16.7</v>
      </c>
      <c r="T2049" s="0" t="n">
        <f aca="false">(S2049/32)*5</f>
        <v>2.609375</v>
      </c>
      <c r="V2049" s="0" t="n">
        <v>24.5</v>
      </c>
      <c r="W2049" s="0" t="n">
        <v>4</v>
      </c>
      <c r="X2049" s="3" t="n">
        <f aca="false">LOOKUP(V2049,$AB$3:$AC$123)</f>
        <v>1.101275</v>
      </c>
      <c r="Y2049" s="2" t="n">
        <f aca="false">(V2049*((W2049+T2049)/1000)*X2049)/((((W2049+T2049)/1000)*X2049)-((W2049/1000)*0.9982))</f>
        <v>54.2703598606991</v>
      </c>
      <c r="Z2049" s="3" t="n">
        <f aca="false">(X2049*(V2049/100)*((W2049+T2049)/1000))*1000</f>
        <v>1.78329116601562</v>
      </c>
    </row>
    <row r="2050" customFormat="false" ht="15" hidden="false" customHeight="false" outlineLevel="0" collapsed="false">
      <c r="A2050" s="0" t="s">
        <v>96</v>
      </c>
      <c r="B2050" s="0" t="s">
        <v>97</v>
      </c>
      <c r="C2050" s="0" t="s">
        <v>81</v>
      </c>
      <c r="D2050" s="0" t="s">
        <v>170</v>
      </c>
      <c r="E2050" s="0" t="n">
        <v>43</v>
      </c>
      <c r="F2050" s="0" t="n">
        <v>1</v>
      </c>
      <c r="G2050" s="0" t="n">
        <v>2</v>
      </c>
      <c r="H2050" s="0" t="n">
        <v>42</v>
      </c>
      <c r="I2050" s="0" t="n">
        <v>40.1</v>
      </c>
      <c r="J2050" s="0" t="n">
        <f aca="false">(I2050/32)*5</f>
        <v>6.265625</v>
      </c>
      <c r="L2050" s="0" t="n">
        <v>5</v>
      </c>
      <c r="M2050" s="0" t="n">
        <v>0</v>
      </c>
      <c r="N2050" s="0" t="n">
        <f aca="false">L2050</f>
        <v>5</v>
      </c>
      <c r="O2050" s="3" t="n">
        <f aca="false">LOOKUP(L2050,$AB$3:$AC$123)</f>
        <v>1.0179</v>
      </c>
      <c r="P2050" s="3" t="n">
        <f aca="false">(O2050*(N2050/100)*(J2050/1000))*1000</f>
        <v>0.318888984375</v>
      </c>
      <c r="Q2050" s="3"/>
      <c r="R2050" s="3" t="n">
        <v>4</v>
      </c>
      <c r="S2050" s="3" t="n">
        <v>13.6</v>
      </c>
      <c r="T2050" s="0" t="n">
        <f aca="false">(S2050/32)*5</f>
        <v>2.125</v>
      </c>
      <c r="V2050" s="0" t="n">
        <v>15</v>
      </c>
      <c r="W2050" s="0" t="n">
        <v>4</v>
      </c>
      <c r="X2050" s="3" t="n">
        <f aca="false">LOOKUP(V2050,$AB$3:$AC$123)</f>
        <v>1.0592</v>
      </c>
      <c r="Y2050" s="2" t="n">
        <f aca="false">(V2050*((W2050+T2050)/1000)*X2050)/((((W2050+T2050)/1000)*X2050)-((W2050/1000)*0.9982))</f>
        <v>39.006734006734</v>
      </c>
      <c r="Z2050" s="3" t="n">
        <f aca="false">(X2050*(V2050/100)*((W2050+T2050)/1000))*1000</f>
        <v>0.97314</v>
      </c>
    </row>
    <row r="2051" customFormat="false" ht="15" hidden="false" customHeight="false" outlineLevel="0" collapsed="false">
      <c r="A2051" s="0" t="s">
        <v>98</v>
      </c>
      <c r="B2051" s="0" t="s">
        <v>99</v>
      </c>
      <c r="C2051" s="0" t="s">
        <v>81</v>
      </c>
      <c r="D2051" s="0" t="s">
        <v>170</v>
      </c>
      <c r="E2051" s="0" t="n">
        <v>43</v>
      </c>
      <c r="F2051" s="0" t="n">
        <v>0</v>
      </c>
      <c r="G2051" s="0" t="n">
        <v>5</v>
      </c>
      <c r="H2051" s="0" t="n">
        <v>72</v>
      </c>
      <c r="I2051" s="0" t="n">
        <v>0</v>
      </c>
      <c r="J2051" s="0" t="n">
        <f aca="false">(I2051/32)*5</f>
        <v>0</v>
      </c>
      <c r="L2051" s="0" t="n">
        <v>0</v>
      </c>
      <c r="M2051" s="0" t="n">
        <v>0</v>
      </c>
      <c r="N2051" s="0" t="n">
        <f aca="false">L2051</f>
        <v>0</v>
      </c>
      <c r="O2051" s="3" t="n">
        <v>0</v>
      </c>
      <c r="P2051" s="3" t="n">
        <f aca="false">(O2051*(N2051/100)*(J2051/1000))*1000</f>
        <v>0</v>
      </c>
      <c r="Q2051" s="3"/>
      <c r="R2051" s="3" t="n">
        <v>3</v>
      </c>
      <c r="S2051" s="3" t="n">
        <v>8.3</v>
      </c>
      <c r="T2051" s="0" t="n">
        <f aca="false">(S2051/32)*5</f>
        <v>1.296875</v>
      </c>
      <c r="V2051" s="0" t="n">
        <v>11</v>
      </c>
      <c r="W2051" s="0" t="n">
        <v>4</v>
      </c>
      <c r="X2051" s="3" t="n">
        <f aca="false">LOOKUP(V2051,$AB$3:$AC$123)</f>
        <v>1.0423</v>
      </c>
      <c r="Y2051" s="2" t="n">
        <f aca="false">(V2051*((W2051+T2051)/1000)*X2051)/((((W2051+T2051)/1000)*X2051)-((W2051/1000)*0.9982))</f>
        <v>39.7414808717747</v>
      </c>
      <c r="Z2051" s="3" t="n">
        <f aca="false">(X2051*(V2051/100)*((W2051+T2051)/1000))*1000</f>
        <v>0.607302609375</v>
      </c>
    </row>
    <row r="2052" customFormat="false" ht="15" hidden="false" customHeight="false" outlineLevel="0" collapsed="false">
      <c r="A2052" s="0" t="s">
        <v>100</v>
      </c>
      <c r="B2052" s="0" t="s">
        <v>101</v>
      </c>
      <c r="C2052" s="0" t="s">
        <v>81</v>
      </c>
      <c r="D2052" s="0" t="s">
        <v>170</v>
      </c>
      <c r="E2052" s="0" t="n">
        <v>43</v>
      </c>
      <c r="F2052" s="0" t="n">
        <v>1</v>
      </c>
      <c r="G2052" s="0" t="n">
        <v>3</v>
      </c>
      <c r="H2052" s="0" t="n">
        <v>31</v>
      </c>
      <c r="I2052" s="0" t="n">
        <v>39.7</v>
      </c>
      <c r="J2052" s="0" t="n">
        <f aca="false">(I2052/32)*5</f>
        <v>6.203125</v>
      </c>
      <c r="L2052" s="0" t="n">
        <v>10.5</v>
      </c>
      <c r="M2052" s="0" t="n">
        <v>0</v>
      </c>
      <c r="N2052" s="0" t="n">
        <f aca="false">L2052</f>
        <v>10.5</v>
      </c>
      <c r="O2052" s="3" t="n">
        <f aca="false">LOOKUP(L2052,$AB$3:$AC$123)</f>
        <v>1.0402</v>
      </c>
      <c r="P2052" s="3" t="n">
        <f aca="false">(O2052*(N2052/100)*(J2052/1000))*1000</f>
        <v>0.677511515625</v>
      </c>
      <c r="Q2052" s="3"/>
      <c r="R2052" s="3" t="n">
        <v>1</v>
      </c>
      <c r="S2052" s="3" t="n">
        <v>3.9</v>
      </c>
      <c r="T2052" s="0" t="n">
        <f aca="false">(S2052/32)*5</f>
        <v>0.609375</v>
      </c>
      <c r="V2052" s="0" t="n">
        <v>5.5</v>
      </c>
      <c r="W2052" s="0" t="n">
        <v>4</v>
      </c>
      <c r="X2052" s="3" t="n">
        <f aca="false">LOOKUP(V2052,$AB$3:$AC$123)</f>
        <v>1.01985</v>
      </c>
      <c r="Y2052" s="2" t="n">
        <f aca="false">(V2052*((W2052+T2052)/1000)*X2052)/((((W2052+T2052)/1000)*X2052)-((W2052/1000)*0.9982))</f>
        <v>36.5143998164026</v>
      </c>
      <c r="Z2052" s="3" t="n">
        <f aca="false">(X2052*(V2052/100)*((W2052+T2052)/1000))*1000</f>
        <v>0.25854791015625</v>
      </c>
    </row>
    <row r="2053" customFormat="false" ht="15" hidden="false" customHeight="false" outlineLevel="0" collapsed="false">
      <c r="A2053" s="0" t="s">
        <v>102</v>
      </c>
      <c r="B2053" s="0" t="s">
        <v>103</v>
      </c>
      <c r="C2053" s="0" t="s">
        <v>81</v>
      </c>
      <c r="D2053" s="0" t="s">
        <v>170</v>
      </c>
      <c r="E2053" s="0" t="n">
        <v>43</v>
      </c>
      <c r="F2053" s="0" t="n">
        <v>1</v>
      </c>
      <c r="G2053" s="0" t="n">
        <v>4</v>
      </c>
      <c r="H2053" s="0" t="n">
        <v>56</v>
      </c>
      <c r="I2053" s="0" t="n">
        <v>34.6</v>
      </c>
      <c r="J2053" s="0" t="n">
        <f aca="false">(I2053/32)*5</f>
        <v>5.40625</v>
      </c>
      <c r="L2053" s="0" t="n">
        <v>11</v>
      </c>
      <c r="M2053" s="0" t="n">
        <v>0</v>
      </c>
      <c r="N2053" s="0" t="n">
        <f aca="false">L2053</f>
        <v>11</v>
      </c>
      <c r="O2053" s="3" t="n">
        <f aca="false">LOOKUP(L2053,$AB$3:$AC$123)</f>
        <v>1.0423</v>
      </c>
      <c r="P2053" s="3" t="n">
        <f aca="false">(O2053*(N2053/100)*(J2053/1000))*1000</f>
        <v>0.61984278125</v>
      </c>
      <c r="Q2053" s="3"/>
      <c r="R2053" s="3" t="n">
        <v>6</v>
      </c>
      <c r="S2053" s="3" t="n">
        <v>6.2</v>
      </c>
      <c r="T2053" s="0" t="n">
        <f aca="false">(S2053/32)*5</f>
        <v>0.96875</v>
      </c>
      <c r="V2053" s="0" t="n">
        <v>6</v>
      </c>
      <c r="W2053" s="0" t="n">
        <v>4</v>
      </c>
      <c r="X2053" s="3" t="n">
        <f aca="false">LOOKUP(V2053,$AB$3:$AC$123)</f>
        <v>1.0218</v>
      </c>
      <c r="Y2053" s="2" t="n">
        <f aca="false">(V2053*((W2053+T2053)/1000)*X2053)/((((W2053+T2053)/1000)*X2053)-((W2053/1000)*0.9982))</f>
        <v>28.0948911420716</v>
      </c>
      <c r="Z2053" s="3" t="n">
        <f aca="false">(X2053*(V2053/100)*((W2053+T2053)/1000))*1000</f>
        <v>0.304624125</v>
      </c>
    </row>
    <row r="2054" customFormat="false" ht="15" hidden="false" customHeight="false" outlineLevel="0" collapsed="false">
      <c r="A2054" s="0" t="s">
        <v>104</v>
      </c>
      <c r="B2054" s="0" t="s">
        <v>105</v>
      </c>
      <c r="C2054" s="0" t="s">
        <v>106</v>
      </c>
      <c r="D2054" s="0" t="s">
        <v>170</v>
      </c>
      <c r="E2054" s="0" t="n">
        <v>43</v>
      </c>
      <c r="F2054" s="0" t="n">
        <v>2</v>
      </c>
      <c r="G2054" s="0" t="n">
        <v>5</v>
      </c>
      <c r="H2054" s="0" t="n">
        <v>50</v>
      </c>
      <c r="I2054" s="1"/>
      <c r="J2054" s="1"/>
      <c r="K2054" s="1"/>
      <c r="L2054" s="1"/>
      <c r="M2054" s="1"/>
      <c r="N2054" s="1"/>
      <c r="O2054" s="1"/>
      <c r="P2054" s="1"/>
      <c r="Q2054" s="1"/>
      <c r="R2054" s="3" t="n">
        <v>7</v>
      </c>
      <c r="S2054" s="1"/>
      <c r="T2054" s="1"/>
      <c r="U2054" s="1"/>
      <c r="V2054" s="1"/>
      <c r="W2054" s="1"/>
      <c r="X2054" s="1"/>
      <c r="Y2054" s="5"/>
      <c r="Z2054" s="1"/>
    </row>
    <row r="2055" customFormat="false" ht="15" hidden="false" customHeight="false" outlineLevel="0" collapsed="false">
      <c r="A2055" s="0" t="s">
        <v>107</v>
      </c>
      <c r="B2055" s="0" t="s">
        <v>37</v>
      </c>
      <c r="C2055" s="0" t="s">
        <v>106</v>
      </c>
      <c r="D2055" s="0" t="s">
        <v>170</v>
      </c>
      <c r="E2055" s="0" t="n">
        <v>43</v>
      </c>
      <c r="F2055" s="0" t="n">
        <v>2</v>
      </c>
      <c r="G2055" s="0" t="n">
        <v>5</v>
      </c>
      <c r="H2055" s="0" t="n">
        <v>30</v>
      </c>
      <c r="I2055" s="1"/>
      <c r="J2055" s="1"/>
      <c r="K2055" s="1"/>
      <c r="L2055" s="1"/>
      <c r="M2055" s="1"/>
      <c r="N2055" s="1"/>
      <c r="O2055" s="1"/>
      <c r="P2055" s="1"/>
      <c r="Q2055" s="1"/>
      <c r="R2055" s="3" t="n">
        <v>4</v>
      </c>
      <c r="S2055" s="1"/>
      <c r="T2055" s="1"/>
      <c r="U2055" s="1"/>
      <c r="V2055" s="1"/>
      <c r="W2055" s="1"/>
      <c r="X2055" s="1"/>
      <c r="Y2055" s="5"/>
      <c r="Z2055" s="1"/>
    </row>
    <row r="2056" customFormat="false" ht="15" hidden="false" customHeight="false" outlineLevel="0" collapsed="false">
      <c r="A2056" s="0" t="s">
        <v>108</v>
      </c>
      <c r="B2056" s="0" t="s">
        <v>109</v>
      </c>
      <c r="C2056" s="0" t="s">
        <v>106</v>
      </c>
      <c r="D2056" s="0" t="s">
        <v>170</v>
      </c>
      <c r="E2056" s="0" t="n">
        <v>43</v>
      </c>
      <c r="F2056" s="0" t="n">
        <v>1</v>
      </c>
      <c r="G2056" s="0" t="n">
        <v>11</v>
      </c>
      <c r="H2056" s="0" t="n">
        <v>75</v>
      </c>
      <c r="I2056" s="1"/>
      <c r="J2056" s="1"/>
      <c r="K2056" s="1"/>
      <c r="L2056" s="1"/>
      <c r="M2056" s="1"/>
      <c r="N2056" s="1"/>
      <c r="O2056" s="1"/>
      <c r="P2056" s="1"/>
      <c r="Q2056" s="1"/>
      <c r="R2056" s="3" t="n">
        <v>8</v>
      </c>
      <c r="S2056" s="1"/>
      <c r="T2056" s="1"/>
      <c r="U2056" s="1"/>
      <c r="V2056" s="1"/>
      <c r="W2056" s="1"/>
      <c r="X2056" s="1"/>
      <c r="Y2056" s="5"/>
      <c r="Z2056" s="1"/>
    </row>
    <row r="2057" customFormat="false" ht="15" hidden="false" customHeight="false" outlineLevel="0" collapsed="false">
      <c r="A2057" s="0" t="s">
        <v>110</v>
      </c>
      <c r="B2057" s="0" t="s">
        <v>111</v>
      </c>
      <c r="C2057" s="0" t="s">
        <v>106</v>
      </c>
      <c r="D2057" s="0" t="s">
        <v>170</v>
      </c>
      <c r="E2057" s="0" t="n">
        <v>43</v>
      </c>
      <c r="F2057" s="0" t="n">
        <v>0</v>
      </c>
      <c r="G2057" s="0" t="n">
        <v>5</v>
      </c>
      <c r="H2057" s="0" t="n">
        <v>39</v>
      </c>
      <c r="I2057" s="1"/>
      <c r="J2057" s="1"/>
      <c r="K2057" s="1"/>
      <c r="L2057" s="1"/>
      <c r="M2057" s="1"/>
      <c r="N2057" s="1"/>
      <c r="O2057" s="1"/>
      <c r="P2057" s="1"/>
      <c r="Q2057" s="1"/>
      <c r="R2057" s="3" t="n">
        <v>8</v>
      </c>
      <c r="S2057" s="1"/>
      <c r="T2057" s="1"/>
      <c r="U2057" s="1"/>
      <c r="V2057" s="1"/>
      <c r="W2057" s="1"/>
      <c r="X2057" s="1"/>
      <c r="Y2057" s="5"/>
      <c r="Z2057" s="1"/>
    </row>
    <row r="2058" customFormat="false" ht="15" hidden="false" customHeight="false" outlineLevel="0" collapsed="false">
      <c r="A2058" s="0" t="s">
        <v>112</v>
      </c>
      <c r="B2058" s="0" t="s">
        <v>113</v>
      </c>
      <c r="C2058" s="0" t="s">
        <v>106</v>
      </c>
      <c r="D2058" s="0" t="s">
        <v>170</v>
      </c>
      <c r="E2058" s="0" t="n">
        <v>43</v>
      </c>
      <c r="F2058" s="0" t="n">
        <v>1</v>
      </c>
      <c r="G2058" s="0" t="n">
        <v>7</v>
      </c>
      <c r="H2058" s="0" t="n">
        <v>52</v>
      </c>
      <c r="I2058" s="1"/>
      <c r="J2058" s="1"/>
      <c r="K2058" s="1"/>
      <c r="L2058" s="1"/>
      <c r="M2058" s="1"/>
      <c r="N2058" s="1"/>
      <c r="O2058" s="1"/>
      <c r="P2058" s="1"/>
      <c r="Q2058" s="1"/>
      <c r="R2058" s="3" t="n">
        <v>11</v>
      </c>
      <c r="S2058" s="1"/>
      <c r="T2058" s="1"/>
      <c r="U2058" s="1"/>
      <c r="V2058" s="1"/>
      <c r="W2058" s="1"/>
      <c r="X2058" s="1"/>
      <c r="Y2058" s="5"/>
      <c r="Z2058" s="1"/>
    </row>
    <row r="2059" customFormat="false" ht="15" hidden="false" customHeight="false" outlineLevel="0" collapsed="false">
      <c r="A2059" s="0" t="s">
        <v>114</v>
      </c>
      <c r="B2059" s="0" t="s">
        <v>115</v>
      </c>
      <c r="C2059" s="0" t="s">
        <v>106</v>
      </c>
      <c r="D2059" s="0" t="s">
        <v>170</v>
      </c>
      <c r="E2059" s="0" t="n">
        <v>43</v>
      </c>
      <c r="F2059" s="0" t="n">
        <v>2</v>
      </c>
      <c r="G2059" s="0" t="n">
        <v>5</v>
      </c>
      <c r="H2059" s="0" t="n">
        <v>48</v>
      </c>
      <c r="I2059" s="1"/>
      <c r="J2059" s="1"/>
      <c r="K2059" s="1"/>
      <c r="L2059" s="1"/>
      <c r="M2059" s="1"/>
      <c r="N2059" s="1"/>
      <c r="O2059" s="1"/>
      <c r="P2059" s="1"/>
      <c r="Q2059" s="1"/>
      <c r="R2059" s="3" t="n">
        <v>5</v>
      </c>
      <c r="S2059" s="1"/>
      <c r="T2059" s="1"/>
      <c r="U2059" s="1"/>
      <c r="V2059" s="1"/>
      <c r="W2059" s="1"/>
      <c r="X2059" s="1"/>
      <c r="Y2059" s="5"/>
      <c r="Z2059" s="1"/>
    </row>
    <row r="2060" customFormat="false" ht="15" hidden="false" customHeight="false" outlineLevel="0" collapsed="false">
      <c r="A2060" s="0" t="s">
        <v>116</v>
      </c>
      <c r="B2060" s="0" t="s">
        <v>117</v>
      </c>
      <c r="C2060" s="0" t="s">
        <v>106</v>
      </c>
      <c r="D2060" s="0" t="s">
        <v>170</v>
      </c>
      <c r="E2060" s="0" t="n">
        <v>43</v>
      </c>
      <c r="F2060" s="0" t="n">
        <v>0</v>
      </c>
      <c r="G2060" s="0" t="n">
        <v>2</v>
      </c>
      <c r="H2060" s="0" t="n">
        <v>34</v>
      </c>
      <c r="I2060" s="1"/>
      <c r="J2060" s="1"/>
      <c r="K2060" s="1"/>
      <c r="L2060" s="1"/>
      <c r="M2060" s="1"/>
      <c r="N2060" s="1"/>
      <c r="O2060" s="1"/>
      <c r="P2060" s="1"/>
      <c r="Q2060" s="1"/>
      <c r="R2060" s="3" t="n">
        <v>5</v>
      </c>
      <c r="S2060" s="1"/>
      <c r="T2060" s="1"/>
      <c r="U2060" s="1"/>
      <c r="V2060" s="1"/>
      <c r="W2060" s="1"/>
      <c r="X2060" s="1"/>
      <c r="Y2060" s="5"/>
      <c r="Z2060" s="1"/>
    </row>
    <row r="2061" customFormat="false" ht="15" hidden="false" customHeight="false" outlineLevel="0" collapsed="false">
      <c r="A2061" s="0" t="s">
        <v>118</v>
      </c>
      <c r="B2061" s="0" t="s">
        <v>119</v>
      </c>
      <c r="C2061" s="0" t="s">
        <v>106</v>
      </c>
      <c r="D2061" s="0" t="s">
        <v>170</v>
      </c>
      <c r="E2061" s="0" t="n">
        <v>43</v>
      </c>
      <c r="F2061" s="0" t="n">
        <v>1</v>
      </c>
      <c r="G2061" s="0" t="n">
        <v>8</v>
      </c>
      <c r="H2061" s="0" t="n">
        <v>55</v>
      </c>
      <c r="I2061" s="1"/>
      <c r="J2061" s="1"/>
      <c r="K2061" s="1"/>
      <c r="L2061" s="1"/>
      <c r="M2061" s="1"/>
      <c r="N2061" s="1"/>
      <c r="O2061" s="1"/>
      <c r="P2061" s="1"/>
      <c r="Q2061" s="1"/>
      <c r="R2061" s="3" t="n">
        <v>8</v>
      </c>
      <c r="S2061" s="1"/>
      <c r="T2061" s="1"/>
      <c r="U2061" s="1"/>
      <c r="V2061" s="1"/>
      <c r="W2061" s="1"/>
      <c r="X2061" s="1"/>
      <c r="Y2061" s="5"/>
      <c r="Z2061" s="1"/>
    </row>
    <row r="2062" customFormat="false" ht="15" hidden="false" customHeight="false" outlineLevel="0" collapsed="false">
      <c r="A2062" s="0" t="s">
        <v>120</v>
      </c>
      <c r="B2062" s="0" t="s">
        <v>121</v>
      </c>
      <c r="C2062" s="0" t="s">
        <v>106</v>
      </c>
      <c r="D2062" s="0" t="s">
        <v>170</v>
      </c>
      <c r="E2062" s="0" t="n">
        <v>43</v>
      </c>
      <c r="F2062" s="0" t="n">
        <v>1</v>
      </c>
      <c r="G2062" s="0" t="n">
        <v>7</v>
      </c>
      <c r="H2062" s="0" t="n">
        <v>59</v>
      </c>
      <c r="I2062" s="1"/>
      <c r="J2062" s="1"/>
      <c r="K2062" s="1"/>
      <c r="L2062" s="1"/>
      <c r="M2062" s="1"/>
      <c r="N2062" s="1"/>
      <c r="O2062" s="1"/>
      <c r="P2062" s="1"/>
      <c r="Q2062" s="1"/>
      <c r="R2062" s="3" t="n">
        <v>6</v>
      </c>
      <c r="S2062" s="1"/>
      <c r="T2062" s="1"/>
      <c r="U2062" s="1"/>
      <c r="V2062" s="1"/>
      <c r="W2062" s="1"/>
      <c r="X2062" s="1"/>
      <c r="Y2062" s="5"/>
      <c r="Z2062" s="1"/>
    </row>
    <row r="2063" customFormat="false" ht="15" hidden="false" customHeight="false" outlineLevel="0" collapsed="false">
      <c r="A2063" s="0" t="s">
        <v>122</v>
      </c>
      <c r="B2063" s="0" t="s">
        <v>123</v>
      </c>
      <c r="C2063" s="0" t="s">
        <v>106</v>
      </c>
      <c r="D2063" s="0" t="s">
        <v>170</v>
      </c>
      <c r="E2063" s="0" t="n">
        <v>43</v>
      </c>
      <c r="F2063" s="0" t="n">
        <v>0</v>
      </c>
      <c r="G2063" s="0" t="n">
        <v>3</v>
      </c>
      <c r="H2063" s="0" t="n">
        <v>35</v>
      </c>
      <c r="I2063" s="1"/>
      <c r="J2063" s="1"/>
      <c r="K2063" s="1"/>
      <c r="L2063" s="1"/>
      <c r="M2063" s="1"/>
      <c r="N2063" s="1"/>
      <c r="O2063" s="1"/>
      <c r="P2063" s="1"/>
      <c r="Q2063" s="1"/>
      <c r="R2063" s="3" t="n">
        <v>5</v>
      </c>
      <c r="S2063" s="1"/>
      <c r="T2063" s="1"/>
      <c r="U2063" s="1"/>
      <c r="V2063" s="1"/>
      <c r="W2063" s="1"/>
      <c r="X2063" s="1"/>
      <c r="Y2063" s="5"/>
      <c r="Z2063" s="1"/>
    </row>
    <row r="2064" customFormat="false" ht="15" hidden="false" customHeight="false" outlineLevel="0" collapsed="false">
      <c r="A2064" s="0" t="s">
        <v>124</v>
      </c>
      <c r="B2064" s="0" t="s">
        <v>125</v>
      </c>
      <c r="C2064" s="0" t="s">
        <v>106</v>
      </c>
      <c r="D2064" s="0" t="s">
        <v>170</v>
      </c>
      <c r="E2064" s="0" t="n">
        <v>43</v>
      </c>
      <c r="F2064" s="0" t="n">
        <v>1</v>
      </c>
      <c r="G2064" s="0" t="n">
        <v>6</v>
      </c>
      <c r="H2064" s="0" t="n">
        <v>56</v>
      </c>
      <c r="I2064" s="1"/>
      <c r="J2064" s="1"/>
      <c r="K2064" s="1"/>
      <c r="L2064" s="1"/>
      <c r="M2064" s="1"/>
      <c r="N2064" s="1"/>
      <c r="O2064" s="1"/>
      <c r="P2064" s="1"/>
      <c r="Q2064" s="1"/>
      <c r="R2064" s="3" t="n">
        <v>4</v>
      </c>
      <c r="S2064" s="1"/>
      <c r="T2064" s="1"/>
      <c r="U2064" s="1"/>
      <c r="V2064" s="1"/>
      <c r="W2064" s="1"/>
      <c r="X2064" s="1"/>
      <c r="Y2064" s="5"/>
      <c r="Z2064" s="1"/>
    </row>
    <row r="2065" customFormat="false" ht="15" hidden="false" customHeight="false" outlineLevel="0" collapsed="false">
      <c r="A2065" s="0" t="s">
        <v>126</v>
      </c>
      <c r="B2065" s="0" t="s">
        <v>127</v>
      </c>
      <c r="C2065" s="0" t="s">
        <v>106</v>
      </c>
      <c r="D2065" s="0" t="s">
        <v>170</v>
      </c>
      <c r="E2065" s="0" t="n">
        <v>43</v>
      </c>
      <c r="F2065" s="0" t="n">
        <v>0</v>
      </c>
      <c r="G2065" s="0" t="n">
        <v>4</v>
      </c>
      <c r="H2065" s="0" t="n">
        <v>42</v>
      </c>
      <c r="I2065" s="1"/>
      <c r="J2065" s="1"/>
      <c r="K2065" s="1"/>
      <c r="L2065" s="1"/>
      <c r="M2065" s="1"/>
      <c r="N2065" s="1"/>
      <c r="O2065" s="1"/>
      <c r="P2065" s="1"/>
      <c r="Q2065" s="1"/>
      <c r="R2065" s="3" t="n">
        <v>10</v>
      </c>
      <c r="S2065" s="1"/>
      <c r="T2065" s="1"/>
      <c r="U2065" s="1"/>
      <c r="V2065" s="1"/>
      <c r="W2065" s="1"/>
      <c r="X2065" s="1"/>
      <c r="Y2065" s="5"/>
      <c r="Z2065" s="1"/>
    </row>
    <row r="2066" customFormat="false" ht="15" hidden="false" customHeight="false" outlineLevel="0" collapsed="false">
      <c r="A2066" s="0" t="s">
        <v>26</v>
      </c>
      <c r="B2066" s="0" t="s">
        <v>27</v>
      </c>
      <c r="C2066" s="0" t="s">
        <v>28</v>
      </c>
      <c r="D2066" s="0" t="s">
        <v>171</v>
      </c>
      <c r="E2066" s="0" t="n">
        <v>44</v>
      </c>
      <c r="F2066" s="0" t="n">
        <v>1</v>
      </c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3" t="n">
        <v>4</v>
      </c>
      <c r="S2066" s="0" t="n">
        <v>20.8</v>
      </c>
      <c r="T2066" s="0" t="n">
        <f aca="false">(S2066/32)*5</f>
        <v>3.25</v>
      </c>
      <c r="V2066" s="0" t="n">
        <v>28.5</v>
      </c>
      <c r="W2066" s="0" t="n">
        <v>4</v>
      </c>
      <c r="X2066" s="3" t="n">
        <f aca="false">LOOKUP(V2066,$AB$3:$AC$123)</f>
        <v>1.119875</v>
      </c>
      <c r="Y2066" s="2" t="n">
        <f aca="false">(V2066*((W2066+T2066)/1000)*X2066)/((((W2066+T2066)/1000)*X2066)-((W2066/1000)*0.9982))</f>
        <v>56.0779687279899</v>
      </c>
      <c r="Z2066" s="3" t="n">
        <f aca="false">(X2066*(V2066/100)*((W2066+T2066)/1000))*1000</f>
        <v>2.31394171875</v>
      </c>
    </row>
    <row r="2067" customFormat="false" ht="15" hidden="false" customHeight="false" outlineLevel="0" collapsed="false">
      <c r="A2067" s="0" t="s">
        <v>32</v>
      </c>
      <c r="B2067" s="0" t="s">
        <v>33</v>
      </c>
      <c r="C2067" s="0" t="s">
        <v>28</v>
      </c>
      <c r="D2067" s="0" t="s">
        <v>171</v>
      </c>
      <c r="E2067" s="0" t="n">
        <v>44</v>
      </c>
      <c r="F2067" s="0" t="n">
        <v>2</v>
      </c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3" t="n">
        <v>6</v>
      </c>
      <c r="S2067" s="0" t="n">
        <v>18.4</v>
      </c>
      <c r="T2067" s="0" t="n">
        <f aca="false">(S2067/32)*5</f>
        <v>2.875</v>
      </c>
      <c r="V2067" s="0" t="n">
        <v>32.5</v>
      </c>
      <c r="W2067" s="0" t="n">
        <v>4</v>
      </c>
      <c r="X2067" s="3" t="n">
        <f aca="false">LOOKUP(V2067,$AB$3:$AC$123)</f>
        <v>1.13905</v>
      </c>
      <c r="Y2067" s="2" t="n">
        <f aca="false">(V2067*((W2067+T2067)/1000)*X2067)/((((W2067+T2067)/1000)*X2067)-((W2067/1000)*0.9982))</f>
        <v>66.3093524418383</v>
      </c>
      <c r="Z2067" s="3" t="n">
        <f aca="false">(X2067*(V2067/100)*((W2067+T2067)/1000))*1000</f>
        <v>2.54506484375</v>
      </c>
    </row>
    <row r="2068" customFormat="false" ht="15" hidden="false" customHeight="false" outlineLevel="0" collapsed="false">
      <c r="A2068" s="0" t="s">
        <v>34</v>
      </c>
      <c r="B2068" s="0" t="s">
        <v>35</v>
      </c>
      <c r="C2068" s="0" t="s">
        <v>28</v>
      </c>
      <c r="D2068" s="0" t="s">
        <v>171</v>
      </c>
      <c r="E2068" s="0" t="n">
        <v>44</v>
      </c>
      <c r="F2068" s="0" t="n">
        <v>1</v>
      </c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3" t="n">
        <v>5</v>
      </c>
      <c r="S2068" s="0" t="n">
        <v>18.3</v>
      </c>
      <c r="T2068" s="0" t="n">
        <f aca="false">(S2068/32)*5</f>
        <v>2.859375</v>
      </c>
      <c r="V2068" s="0" t="n">
        <v>29.5</v>
      </c>
      <c r="W2068" s="0" t="n">
        <v>4</v>
      </c>
      <c r="X2068" s="3" t="n">
        <f aca="false">LOOKUP(V2068,$AB$3:$AC$123)</f>
        <v>1.124625</v>
      </c>
      <c r="Y2068" s="2" t="n">
        <f aca="false">(V2068*((W2068+T2068)/1000)*X2068)/((((W2068+T2068)/1000)*X2068)-((W2068/1000)*0.9982))</f>
        <v>61.1512122006368</v>
      </c>
      <c r="Z2068" s="3" t="n">
        <f aca="false">(X2068*(V2068/100)*((W2068+T2068)/1000))*1000</f>
        <v>2.27569625976562</v>
      </c>
    </row>
    <row r="2069" customFormat="false" ht="15" hidden="false" customHeight="false" outlineLevel="0" collapsed="false">
      <c r="A2069" s="0" t="s">
        <v>36</v>
      </c>
      <c r="B2069" s="0" t="s">
        <v>37</v>
      </c>
      <c r="C2069" s="0" t="s">
        <v>28</v>
      </c>
      <c r="D2069" s="0" t="s">
        <v>171</v>
      </c>
      <c r="E2069" s="0" t="n">
        <v>44</v>
      </c>
      <c r="F2069" s="0" t="n">
        <v>1</v>
      </c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3" t="n">
        <v>3</v>
      </c>
      <c r="S2069" s="0" t="n">
        <v>12.7</v>
      </c>
      <c r="T2069" s="0" t="n">
        <f aca="false">(S2069/32)*5</f>
        <v>1.984375</v>
      </c>
      <c r="V2069" s="0" t="n">
        <v>22</v>
      </c>
      <c r="W2069" s="0" t="n">
        <v>4</v>
      </c>
      <c r="X2069" s="3" t="n">
        <f aca="false">LOOKUP(V2069,$AB$3:$AC$123)</f>
        <v>1.0899</v>
      </c>
      <c r="Y2069" s="2" t="n">
        <f aca="false">(V2069*((W2069+T2069)/1000)*X2069)/((((W2069+T2069)/1000)*X2069)-((W2069/1000)*0.9982))</f>
        <v>56.7258977407848</v>
      </c>
      <c r="Z2069" s="3" t="n">
        <f aca="false">(X2069*(V2069/100)*((W2069+T2069)/1000))*1000</f>
        <v>1.43492146875</v>
      </c>
    </row>
    <row r="2070" customFormat="false" ht="15" hidden="false" customHeight="false" outlineLevel="0" collapsed="false">
      <c r="A2070" s="0" t="s">
        <v>38</v>
      </c>
      <c r="B2070" s="0" t="s">
        <v>39</v>
      </c>
      <c r="C2070" s="0" t="s">
        <v>28</v>
      </c>
      <c r="D2070" s="0" t="s">
        <v>171</v>
      </c>
      <c r="E2070" s="0" t="n">
        <v>44</v>
      </c>
      <c r="F2070" s="0" t="n">
        <v>1</v>
      </c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3" t="n">
        <v>4</v>
      </c>
      <c r="S2070" s="0" t="n">
        <v>12.4</v>
      </c>
      <c r="T2070" s="0" t="n">
        <f aca="false">(S2070/32)*5</f>
        <v>1.9375</v>
      </c>
      <c r="V2070" s="0" t="n">
        <v>19</v>
      </c>
      <c r="W2070" s="0" t="n">
        <v>4</v>
      </c>
      <c r="X2070" s="3" t="n">
        <f aca="false">LOOKUP(V2070,$AB$3:$AC$123)</f>
        <v>1.0765</v>
      </c>
      <c r="Y2070" s="2" t="n">
        <f aca="false">(V2070*((W2070+T2070)/1000)*X2070)/((((W2070+T2070)/1000)*X2070)-((W2070/1000)*0.9982))</f>
        <v>50.6239138987096</v>
      </c>
      <c r="Z2070" s="3" t="n">
        <f aca="false">(X2070*(V2070/100)*((W2070+T2070)/1000))*1000</f>
        <v>1.2144265625</v>
      </c>
    </row>
    <row r="2071" customFormat="false" ht="15" hidden="false" customHeight="false" outlineLevel="0" collapsed="false">
      <c r="A2071" s="0" t="s">
        <v>40</v>
      </c>
      <c r="B2071" s="0" t="s">
        <v>41</v>
      </c>
      <c r="C2071" s="0" t="s">
        <v>28</v>
      </c>
      <c r="D2071" s="0" t="s">
        <v>171</v>
      </c>
      <c r="E2071" s="0" t="n">
        <v>44</v>
      </c>
      <c r="F2071" s="0" t="n">
        <v>0</v>
      </c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3" t="n">
        <v>5</v>
      </c>
      <c r="S2071" s="0" t="n">
        <v>14.8</v>
      </c>
      <c r="T2071" s="0" t="n">
        <f aca="false">(S2071/32)*5</f>
        <v>2.3125</v>
      </c>
      <c r="V2071" s="0" t="n">
        <v>21.5</v>
      </c>
      <c r="W2071" s="0" t="n">
        <v>4</v>
      </c>
      <c r="X2071" s="3" t="n">
        <f aca="false">LOOKUP(V2071,$AB$3:$AC$123)</f>
        <v>1.087675</v>
      </c>
      <c r="Y2071" s="2" t="n">
        <f aca="false">(V2071*((W2071+T2071)/1000)*X2071)/((((W2071+T2071)/1000)*X2071)-((W2071/1000)*0.9982))</f>
        <v>51.3784423664153</v>
      </c>
      <c r="Z2071" s="3" t="n">
        <f aca="false">(X2071*(V2071/100)*((W2071+T2071)/1000))*1000</f>
        <v>1.4761789140625</v>
      </c>
    </row>
    <row r="2072" customFormat="false" ht="15" hidden="false" customHeight="false" outlineLevel="0" collapsed="false">
      <c r="A2072" s="0" t="s">
        <v>42</v>
      </c>
      <c r="B2072" s="0" t="s">
        <v>43</v>
      </c>
      <c r="C2072" s="0" t="s">
        <v>28</v>
      </c>
      <c r="D2072" s="0" t="s">
        <v>171</v>
      </c>
      <c r="E2072" s="0" t="n">
        <v>44</v>
      </c>
      <c r="F2072" s="0" t="n">
        <v>0</v>
      </c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3" t="n">
        <v>4</v>
      </c>
      <c r="S2072" s="0" t="n">
        <v>9.9</v>
      </c>
      <c r="T2072" s="0" t="n">
        <f aca="false">(S2072/32)*5</f>
        <v>1.546875</v>
      </c>
      <c r="V2072" s="0" t="n">
        <v>15.5</v>
      </c>
      <c r="W2072" s="0" t="n">
        <v>4</v>
      </c>
      <c r="X2072" s="3" t="n">
        <f aca="false">LOOKUP(V2072,$AB$3:$AC$123)</f>
        <v>1.06135</v>
      </c>
      <c r="Y2072" s="2" t="n">
        <f aca="false">(V2072*((W2072+T2072)/1000)*X2072)/((((W2072+T2072)/1000)*X2072)-((W2072/1000)*0.9982))</f>
        <v>48.1695477278342</v>
      </c>
      <c r="Z2072" s="3" t="n">
        <f aca="false">(X2072*(V2072/100)*((W2072+T2072)/1000))*1000</f>
        <v>0.91251224609375</v>
      </c>
    </row>
    <row r="2073" customFormat="false" ht="15" hidden="false" customHeight="false" outlineLevel="0" collapsed="false">
      <c r="A2073" s="0" t="s">
        <v>44</v>
      </c>
      <c r="B2073" s="0" t="s">
        <v>45</v>
      </c>
      <c r="C2073" s="0" t="s">
        <v>28</v>
      </c>
      <c r="D2073" s="0" t="s">
        <v>171</v>
      </c>
      <c r="E2073" s="0" t="n">
        <v>44</v>
      </c>
      <c r="F2073" s="0" t="n">
        <v>0</v>
      </c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3" t="n">
        <v>4</v>
      </c>
      <c r="S2073" s="0" t="n">
        <v>9.4</v>
      </c>
      <c r="T2073" s="0" t="n">
        <f aca="false">(S2073/32)*5</f>
        <v>1.46875</v>
      </c>
      <c r="V2073" s="0" t="n">
        <v>21.5</v>
      </c>
      <c r="W2073" s="0" t="n">
        <v>4</v>
      </c>
      <c r="X2073" s="3" t="n">
        <f aca="false">LOOKUP(V2073,$AB$3:$AC$123)</f>
        <v>1.087675</v>
      </c>
      <c r="Y2073" s="2" t="n">
        <f aca="false">(V2073*((W2073+T2073)/1000)*X2073)/((((W2073+T2073)/1000)*X2073)-((W2073/1000)*0.9982))</f>
        <v>65.4010971493136</v>
      </c>
      <c r="Z2073" s="3" t="n">
        <f aca="false">(X2073*(V2073/100)*((W2073+T2073)/1000))*1000</f>
        <v>1.27886787109375</v>
      </c>
    </row>
    <row r="2074" customFormat="false" ht="15" hidden="false" customHeight="false" outlineLevel="0" collapsed="false">
      <c r="A2074" s="0" t="s">
        <v>46</v>
      </c>
      <c r="B2074" s="0" t="s">
        <v>47</v>
      </c>
      <c r="C2074" s="0" t="s">
        <v>28</v>
      </c>
      <c r="D2074" s="0" t="s">
        <v>171</v>
      </c>
      <c r="E2074" s="0" t="n">
        <v>44</v>
      </c>
      <c r="F2074" s="0" t="n">
        <v>1</v>
      </c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3" t="n">
        <v>4</v>
      </c>
      <c r="S2074" s="0" t="n">
        <v>4.7</v>
      </c>
      <c r="T2074" s="0" t="n">
        <f aca="false">(S2074/32)*5</f>
        <v>0.734375</v>
      </c>
      <c r="V2074" s="0" t="n">
        <v>14.5</v>
      </c>
      <c r="W2074" s="0" t="n">
        <v>4</v>
      </c>
      <c r="X2074" s="3" t="n">
        <f aca="false">LOOKUP(V2074,$AB$3:$AC$123)</f>
        <v>1.05705</v>
      </c>
      <c r="Y2074" s="2" t="n">
        <f aca="false">(V2074*((W2074+T2074)/1000)*X2074)/((((W2074+T2074)/1000)*X2074)-((W2074/1000)*0.9982))</f>
        <v>71.7276902618579</v>
      </c>
      <c r="Z2074" s="3" t="n">
        <f aca="false">(X2074*(V2074/100)*((W2074+T2074)/1000))*1000</f>
        <v>0.72564830859375</v>
      </c>
    </row>
    <row r="2075" customFormat="false" ht="15" hidden="false" customHeight="false" outlineLevel="0" collapsed="false">
      <c r="A2075" s="0" t="s">
        <v>48</v>
      </c>
      <c r="B2075" s="0" t="s">
        <v>49</v>
      </c>
      <c r="C2075" s="0" t="s">
        <v>28</v>
      </c>
      <c r="D2075" s="0" t="s">
        <v>171</v>
      </c>
      <c r="E2075" s="0" t="n">
        <v>44</v>
      </c>
      <c r="F2075" s="0" t="n">
        <v>1</v>
      </c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3" t="n">
        <v>4</v>
      </c>
      <c r="S2075" s="0" t="n">
        <v>4.4</v>
      </c>
      <c r="T2075" s="0" t="n">
        <f aca="false">(S2075/32)*5</f>
        <v>0.6875</v>
      </c>
      <c r="V2075" s="0" t="n">
        <v>21.5</v>
      </c>
      <c r="W2075" s="0" t="n">
        <v>4</v>
      </c>
      <c r="X2075" s="3" t="n">
        <f aca="false">LOOKUP(V2075,$AB$3:$AC$123)</f>
        <v>1.087675</v>
      </c>
      <c r="Y2075" s="2" t="n">
        <f aca="false">(V2075*((W2075+T2075)/1000)*X2075)/((((W2075+T2075)/1000)*X2075)-((W2075/1000)*0.9982))</f>
        <v>99.1404266053166</v>
      </c>
      <c r="Z2075" s="3" t="n">
        <f aca="false">(X2075*(V2075/100)*((W2075+T2075)/1000))*1000</f>
        <v>1.0961724609375</v>
      </c>
    </row>
    <row r="2076" customFormat="false" ht="15" hidden="false" customHeight="false" outlineLevel="0" collapsed="false">
      <c r="A2076" s="0" t="s">
        <v>50</v>
      </c>
      <c r="B2076" s="0" t="s">
        <v>51</v>
      </c>
      <c r="C2076" s="0" t="s">
        <v>28</v>
      </c>
      <c r="D2076" s="0" t="s">
        <v>171</v>
      </c>
      <c r="E2076" s="0" t="n">
        <v>44</v>
      </c>
      <c r="F2076" s="0" t="n">
        <v>0</v>
      </c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3" t="n">
        <v>4</v>
      </c>
      <c r="S2076" s="0" t="n">
        <v>5.5</v>
      </c>
      <c r="T2076" s="0" t="n">
        <f aca="false">(S2076/32)*5</f>
        <v>0.859375</v>
      </c>
      <c r="V2076" s="0" t="n">
        <v>0</v>
      </c>
      <c r="W2076" s="0" t="n">
        <v>4</v>
      </c>
      <c r="X2076" s="3" t="n">
        <f aca="false">LOOKUP(V2076,$AB$3:$AC$123)</f>
        <v>0.9982</v>
      </c>
      <c r="Y2076" s="2" t="n">
        <f aca="false">(V2076*((W2076+T2076)/1000)*X2076)/((((W2076+T2076)/1000)*X2076)-((W2076/1000)*0.9982))</f>
        <v>0</v>
      </c>
      <c r="Z2076" s="3" t="n">
        <f aca="false">(X2076*(V2076/100)*((W2076+T2076)/1000))*1000</f>
        <v>0</v>
      </c>
    </row>
    <row r="2077" customFormat="false" ht="15" hidden="false" customHeight="false" outlineLevel="0" collapsed="false">
      <c r="A2077" s="0" t="s">
        <v>52</v>
      </c>
      <c r="B2077" s="0" t="s">
        <v>53</v>
      </c>
      <c r="C2077" s="0" t="s">
        <v>28</v>
      </c>
      <c r="D2077" s="0" t="s">
        <v>171</v>
      </c>
      <c r="E2077" s="0" t="n">
        <v>44</v>
      </c>
      <c r="F2077" s="0" t="n">
        <v>0</v>
      </c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3" t="n">
        <v>3</v>
      </c>
      <c r="S2077" s="0" t="n">
        <v>0.8</v>
      </c>
      <c r="T2077" s="0" t="n">
        <f aca="false">(S2077/32)*5</f>
        <v>0.125</v>
      </c>
      <c r="V2077" s="0" t="n">
        <v>10.5</v>
      </c>
      <c r="W2077" s="0" t="n">
        <v>4</v>
      </c>
      <c r="X2077" s="3" t="n">
        <f aca="false">LOOKUP(V2077,$AB$3:$AC$123)</f>
        <v>1.0402</v>
      </c>
      <c r="Y2077" s="2" t="n">
        <f aca="false">(V2077*((W2077+T2077)/1000)*X2077)/((((W2077+T2077)/1000)*X2077)-((W2077/1000)*0.9982))</f>
        <v>151.174104521433</v>
      </c>
      <c r="Z2077" s="3" t="n">
        <f aca="false">(X2077*(V2077/100)*((W2077+T2077)/1000))*1000</f>
        <v>0.450536625</v>
      </c>
    </row>
    <row r="2078" customFormat="false" ht="15" hidden="false" customHeight="false" outlineLevel="0" collapsed="false">
      <c r="A2078" s="0" t="s">
        <v>54</v>
      </c>
      <c r="B2078" s="0" t="s">
        <v>55</v>
      </c>
      <c r="C2078" s="0" t="s">
        <v>56</v>
      </c>
      <c r="D2078" s="0" t="s">
        <v>171</v>
      </c>
      <c r="E2078" s="0" t="n">
        <v>44</v>
      </c>
      <c r="F2078" s="0" t="n">
        <v>1</v>
      </c>
      <c r="G2078" s="1"/>
      <c r="H2078" s="1"/>
      <c r="I2078" s="0" t="n">
        <v>52.8</v>
      </c>
      <c r="J2078" s="0" t="n">
        <f aca="false">(I2078/32)*5</f>
        <v>8.25</v>
      </c>
      <c r="L2078" s="0" t="n">
        <v>23.5</v>
      </c>
      <c r="M2078" s="0" t="n">
        <v>0</v>
      </c>
      <c r="N2078" s="0" t="n">
        <f aca="false">L2078</f>
        <v>23.5</v>
      </c>
      <c r="O2078" s="3" t="n">
        <f aca="false">LOOKUP(L2078,$AB$3:$AC$123)</f>
        <v>1.096725</v>
      </c>
      <c r="P2078" s="3" t="n">
        <f aca="false">(O2078*(N2078/100)*(J2078/1000))*1000</f>
        <v>2.12627559375</v>
      </c>
      <c r="Q2078" s="3"/>
      <c r="R2078" s="1"/>
      <c r="S2078" s="1"/>
      <c r="T2078" s="1"/>
      <c r="U2078" s="1"/>
      <c r="V2078" s="1"/>
      <c r="W2078" s="1"/>
      <c r="X2078" s="1"/>
      <c r="Y2078" s="5"/>
      <c r="Z2078" s="1"/>
    </row>
    <row r="2079" customFormat="false" ht="15" hidden="false" customHeight="false" outlineLevel="0" collapsed="false">
      <c r="A2079" s="0" t="s">
        <v>57</v>
      </c>
      <c r="B2079" s="0" t="s">
        <v>58</v>
      </c>
      <c r="C2079" s="0" t="s">
        <v>56</v>
      </c>
      <c r="D2079" s="0" t="s">
        <v>171</v>
      </c>
      <c r="E2079" s="0" t="n">
        <v>44</v>
      </c>
      <c r="F2079" s="0" t="n">
        <v>1</v>
      </c>
      <c r="G2079" s="1"/>
      <c r="H2079" s="1"/>
      <c r="I2079" s="0" t="n">
        <v>24.6</v>
      </c>
      <c r="J2079" s="0" t="n">
        <f aca="false">(I2079/32)*5</f>
        <v>3.84375</v>
      </c>
      <c r="L2079" s="0" t="n">
        <v>11.5</v>
      </c>
      <c r="M2079" s="0" t="n">
        <v>0</v>
      </c>
      <c r="N2079" s="0" t="n">
        <f aca="false">L2079</f>
        <v>11.5</v>
      </c>
      <c r="O2079" s="3" t="n">
        <f aca="false">LOOKUP(L2079,$AB$3:$AC$123)</f>
        <v>1.0444</v>
      </c>
      <c r="P2079" s="3" t="n">
        <f aca="false">(O2079*(N2079/100)*(J2079/1000))*1000</f>
        <v>0.4616574375</v>
      </c>
      <c r="Q2079" s="3"/>
      <c r="R2079" s="1"/>
      <c r="S2079" s="1"/>
      <c r="T2079" s="1"/>
      <c r="U2079" s="1"/>
      <c r="V2079" s="1"/>
      <c r="W2079" s="1"/>
      <c r="X2079" s="1"/>
      <c r="Y2079" s="5"/>
      <c r="Z2079" s="1"/>
    </row>
    <row r="2080" customFormat="false" ht="15" hidden="false" customHeight="false" outlineLevel="0" collapsed="false">
      <c r="A2080" s="0" t="s">
        <v>59</v>
      </c>
      <c r="B2080" s="0" t="s">
        <v>60</v>
      </c>
      <c r="C2080" s="0" t="s">
        <v>56</v>
      </c>
      <c r="D2080" s="0" t="s">
        <v>171</v>
      </c>
      <c r="E2080" s="0" t="n">
        <v>44</v>
      </c>
      <c r="F2080" s="0" t="n">
        <v>1</v>
      </c>
      <c r="G2080" s="1"/>
      <c r="H2080" s="1"/>
      <c r="I2080" s="0" t="n">
        <v>49.6</v>
      </c>
      <c r="J2080" s="0" t="n">
        <f aca="false">(I2080/32)*5</f>
        <v>7.75</v>
      </c>
      <c r="L2080" s="0" t="n">
        <v>21.5</v>
      </c>
      <c r="M2080" s="0" t="n">
        <v>0</v>
      </c>
      <c r="N2080" s="0" t="n">
        <f aca="false">L2080</f>
        <v>21.5</v>
      </c>
      <c r="O2080" s="3" t="n">
        <f aca="false">LOOKUP(L2080,$AB$3:$AC$123)</f>
        <v>1.087675</v>
      </c>
      <c r="P2080" s="3" t="n">
        <f aca="false">(O2080*(N2080/100)*(J2080/1000))*1000</f>
        <v>1.81233846875</v>
      </c>
      <c r="Q2080" s="3"/>
      <c r="R2080" s="1"/>
      <c r="S2080" s="1"/>
      <c r="T2080" s="1"/>
      <c r="U2080" s="1"/>
      <c r="V2080" s="1"/>
      <c r="W2080" s="1"/>
      <c r="X2080" s="1"/>
      <c r="Y2080" s="5"/>
      <c r="Z2080" s="1"/>
    </row>
    <row r="2081" customFormat="false" ht="15" hidden="false" customHeight="false" outlineLevel="0" collapsed="false">
      <c r="A2081" s="0" t="s">
        <v>61</v>
      </c>
      <c r="B2081" s="0" t="s">
        <v>62</v>
      </c>
      <c r="C2081" s="0" t="s">
        <v>56</v>
      </c>
      <c r="D2081" s="0" t="s">
        <v>171</v>
      </c>
      <c r="E2081" s="0" t="n">
        <v>44</v>
      </c>
      <c r="F2081" s="0" t="n">
        <v>1</v>
      </c>
      <c r="G2081" s="1"/>
      <c r="H2081" s="1"/>
      <c r="I2081" s="0" t="n">
        <v>54.3</v>
      </c>
      <c r="J2081" s="0" t="n">
        <f aca="false">(I2081/32)*5</f>
        <v>8.484375</v>
      </c>
      <c r="L2081" s="0" t="n">
        <v>23</v>
      </c>
      <c r="M2081" s="0" t="n">
        <v>0</v>
      </c>
      <c r="N2081" s="0" t="n">
        <f aca="false">L2081</f>
        <v>23</v>
      </c>
      <c r="O2081" s="3" t="n">
        <f aca="false">LOOKUP(L2081,$AB$3:$AC$123)</f>
        <v>1.09445</v>
      </c>
      <c r="P2081" s="3" t="n">
        <f aca="false">(O2081*(N2081/100)*(J2081/1000))*1000</f>
        <v>2.1357165703125</v>
      </c>
      <c r="Q2081" s="3"/>
      <c r="R2081" s="1"/>
      <c r="S2081" s="1"/>
      <c r="T2081" s="1"/>
      <c r="U2081" s="1"/>
      <c r="V2081" s="1"/>
      <c r="W2081" s="1"/>
      <c r="X2081" s="1"/>
      <c r="Y2081" s="5"/>
      <c r="Z2081" s="1"/>
    </row>
    <row r="2082" customFormat="false" ht="15" hidden="false" customHeight="false" outlineLevel="0" collapsed="false">
      <c r="A2082" s="0" t="s">
        <v>63</v>
      </c>
      <c r="B2082" s="0" t="s">
        <v>64</v>
      </c>
      <c r="C2082" s="0" t="s">
        <v>56</v>
      </c>
      <c r="D2082" s="0" t="s">
        <v>171</v>
      </c>
      <c r="E2082" s="0" t="n">
        <v>44</v>
      </c>
      <c r="F2082" s="0" t="n">
        <v>1</v>
      </c>
      <c r="G2082" s="1"/>
      <c r="H2082" s="1"/>
      <c r="I2082" s="0" t="n">
        <v>20.8</v>
      </c>
      <c r="J2082" s="0" t="n">
        <f aca="false">(I2082/32)*5</f>
        <v>3.25</v>
      </c>
      <c r="L2082" s="0" t="n">
        <v>25.5</v>
      </c>
      <c r="M2082" s="0" t="n">
        <v>0</v>
      </c>
      <c r="N2082" s="0" t="n">
        <f aca="false">L2082</f>
        <v>25.5</v>
      </c>
      <c r="O2082" s="3" t="n">
        <f aca="false">LOOKUP(L2082,$AB$3:$AC$123)</f>
        <v>1.105825</v>
      </c>
      <c r="P2082" s="3" t="n">
        <f aca="false">(O2082*(N2082/100)*(J2082/1000))*1000</f>
        <v>0.91645246875</v>
      </c>
      <c r="Q2082" s="3"/>
      <c r="R2082" s="1"/>
      <c r="S2082" s="1"/>
      <c r="T2082" s="1"/>
      <c r="U2082" s="1"/>
      <c r="V2082" s="1"/>
      <c r="W2082" s="1"/>
      <c r="X2082" s="1"/>
      <c r="Y2082" s="5"/>
      <c r="Z2082" s="1"/>
    </row>
    <row r="2083" customFormat="false" ht="15" hidden="false" customHeight="false" outlineLevel="0" collapsed="false">
      <c r="A2083" s="0" t="s">
        <v>65</v>
      </c>
      <c r="B2083" s="0" t="s">
        <v>66</v>
      </c>
      <c r="C2083" s="0" t="s">
        <v>56</v>
      </c>
      <c r="D2083" s="0" t="s">
        <v>171</v>
      </c>
      <c r="E2083" s="0" t="n">
        <v>44</v>
      </c>
      <c r="F2083" s="0" t="n">
        <v>0</v>
      </c>
      <c r="G2083" s="1"/>
      <c r="H2083" s="1"/>
      <c r="I2083" s="0" t="n">
        <v>0</v>
      </c>
      <c r="J2083" s="0" t="n">
        <f aca="false">(I2083/32)*5</f>
        <v>0</v>
      </c>
      <c r="L2083" s="0" t="n">
        <v>0</v>
      </c>
      <c r="M2083" s="0" t="n">
        <v>0</v>
      </c>
      <c r="N2083" s="0" t="n">
        <f aca="false">L2083</f>
        <v>0</v>
      </c>
      <c r="O2083" s="3" t="n">
        <f aca="false">LOOKUP(L2083,$AB$3:$AC$123)</f>
        <v>0.9982</v>
      </c>
      <c r="P2083" s="3" t="n">
        <f aca="false">(O2083*(N2083/100)*(J2083/1000))*1000</f>
        <v>0</v>
      </c>
      <c r="Q2083" s="3"/>
      <c r="R2083" s="1"/>
      <c r="S2083" s="1"/>
      <c r="T2083" s="1"/>
      <c r="U2083" s="1"/>
      <c r="V2083" s="1"/>
      <c r="W2083" s="1"/>
      <c r="X2083" s="1"/>
      <c r="Y2083" s="5"/>
      <c r="Z2083" s="1"/>
    </row>
    <row r="2084" customFormat="false" ht="15" hidden="false" customHeight="false" outlineLevel="0" collapsed="false">
      <c r="A2084" s="0" t="s">
        <v>67</v>
      </c>
      <c r="B2084" s="0" t="s">
        <v>68</v>
      </c>
      <c r="C2084" s="0" t="s">
        <v>56</v>
      </c>
      <c r="D2084" s="0" t="s">
        <v>171</v>
      </c>
      <c r="E2084" s="0" t="n">
        <v>44</v>
      </c>
      <c r="F2084" s="0" t="n">
        <v>0</v>
      </c>
      <c r="G2084" s="1"/>
      <c r="H2084" s="1"/>
      <c r="I2084" s="0" t="n">
        <v>0</v>
      </c>
      <c r="J2084" s="0" t="n">
        <f aca="false">(I2084/32)*5</f>
        <v>0</v>
      </c>
      <c r="L2084" s="0" t="n">
        <v>0</v>
      </c>
      <c r="M2084" s="0" t="n">
        <v>0</v>
      </c>
      <c r="N2084" s="0" t="n">
        <f aca="false">L2084</f>
        <v>0</v>
      </c>
      <c r="O2084" s="3" t="n">
        <f aca="false">LOOKUP(L2084,$AB$3:$AC$123)</f>
        <v>0.9982</v>
      </c>
      <c r="P2084" s="3" t="n">
        <f aca="false">(O2084*(N2084/100)*(J2084/1000))*1000</f>
        <v>0</v>
      </c>
      <c r="Q2084" s="3"/>
      <c r="R2084" s="1"/>
      <c r="S2084" s="1"/>
      <c r="T2084" s="1"/>
      <c r="U2084" s="1"/>
      <c r="V2084" s="1"/>
      <c r="W2084" s="1"/>
      <c r="X2084" s="1"/>
      <c r="Y2084" s="5"/>
      <c r="Z2084" s="1"/>
    </row>
    <row r="2085" customFormat="false" ht="15" hidden="false" customHeight="false" outlineLevel="0" collapsed="false">
      <c r="A2085" s="0" t="s">
        <v>69</v>
      </c>
      <c r="B2085" s="0" t="s">
        <v>70</v>
      </c>
      <c r="C2085" s="0" t="s">
        <v>56</v>
      </c>
      <c r="D2085" s="0" t="s">
        <v>171</v>
      </c>
      <c r="E2085" s="0" t="n">
        <v>44</v>
      </c>
      <c r="F2085" s="0" t="n">
        <v>1</v>
      </c>
      <c r="G2085" s="1"/>
      <c r="H2085" s="1"/>
      <c r="I2085" s="0" t="n">
        <v>23.5</v>
      </c>
      <c r="J2085" s="0" t="n">
        <f aca="false">(I2085/32)*5</f>
        <v>3.671875</v>
      </c>
      <c r="L2085" s="0" t="n">
        <v>29</v>
      </c>
      <c r="M2085" s="0" t="n">
        <v>0</v>
      </c>
      <c r="N2085" s="0" t="n">
        <f aca="false">L2085</f>
        <v>29</v>
      </c>
      <c r="O2085" s="3" t="n">
        <f aca="false">LOOKUP(L2085,$AB$3:$AC$123)</f>
        <v>1.12225</v>
      </c>
      <c r="P2085" s="3" t="n">
        <f aca="false">(O2085*(N2085/100)*(J2085/1000))*1000</f>
        <v>1.1950208984375</v>
      </c>
      <c r="Q2085" s="3"/>
      <c r="R2085" s="1"/>
      <c r="S2085" s="1"/>
      <c r="T2085" s="1"/>
      <c r="U2085" s="1"/>
      <c r="V2085" s="1"/>
      <c r="W2085" s="1"/>
      <c r="X2085" s="1"/>
      <c r="Y2085" s="5"/>
      <c r="Z2085" s="1"/>
    </row>
    <row r="2086" customFormat="false" ht="15" hidden="false" customHeight="false" outlineLevel="0" collapsed="false">
      <c r="A2086" s="0" t="s">
        <v>71</v>
      </c>
      <c r="B2086" s="0" t="s">
        <v>72</v>
      </c>
      <c r="C2086" s="0" t="s">
        <v>56</v>
      </c>
      <c r="D2086" s="0" t="s">
        <v>171</v>
      </c>
      <c r="E2086" s="0" t="n">
        <v>44</v>
      </c>
      <c r="F2086" s="0" t="n">
        <v>0</v>
      </c>
      <c r="G2086" s="1"/>
      <c r="H2086" s="1"/>
      <c r="I2086" s="0" t="n">
        <v>0</v>
      </c>
      <c r="J2086" s="0" t="n">
        <f aca="false">(I2086/32)*5</f>
        <v>0</v>
      </c>
      <c r="L2086" s="0" t="n">
        <v>0</v>
      </c>
      <c r="M2086" s="0" t="n">
        <v>0</v>
      </c>
      <c r="N2086" s="0" t="n">
        <f aca="false">L2086</f>
        <v>0</v>
      </c>
      <c r="O2086" s="3" t="n">
        <f aca="false">LOOKUP(L2086,$AB$3:$AC$123)</f>
        <v>0.9982</v>
      </c>
      <c r="P2086" s="3" t="n">
        <f aca="false">(O2086*(N2086/100)*(J2086/1000))*1000</f>
        <v>0</v>
      </c>
      <c r="Q2086" s="3"/>
      <c r="R2086" s="1"/>
      <c r="S2086" s="1"/>
      <c r="T2086" s="1"/>
      <c r="U2086" s="1"/>
      <c r="V2086" s="1"/>
      <c r="W2086" s="1"/>
      <c r="X2086" s="1"/>
      <c r="Y2086" s="5"/>
      <c r="Z2086" s="1"/>
    </row>
    <row r="2087" customFormat="false" ht="15" hidden="false" customHeight="false" outlineLevel="0" collapsed="false">
      <c r="A2087" s="0" t="s">
        <v>73</v>
      </c>
      <c r="B2087" s="0" t="s">
        <v>74</v>
      </c>
      <c r="C2087" s="0" t="s">
        <v>56</v>
      </c>
      <c r="D2087" s="0" t="s">
        <v>171</v>
      </c>
      <c r="E2087" s="0" t="n">
        <v>44</v>
      </c>
      <c r="F2087" s="0" t="n">
        <v>2</v>
      </c>
      <c r="G2087" s="1"/>
      <c r="H2087" s="1"/>
      <c r="I2087" s="0" t="n">
        <f aca="false">24.8+24.7</f>
        <v>49.5</v>
      </c>
      <c r="J2087" s="0" t="n">
        <f aca="false">(I2087/32)*5</f>
        <v>7.734375</v>
      </c>
      <c r="L2087" s="0" t="n">
        <v>29.5</v>
      </c>
      <c r="M2087" s="0" t="n">
        <v>0</v>
      </c>
      <c r="N2087" s="0" t="n">
        <f aca="false">L2087</f>
        <v>29.5</v>
      </c>
      <c r="O2087" s="3" t="n">
        <f aca="false">LOOKUP(L2087,$AB$3:$AC$123)</f>
        <v>1.124625</v>
      </c>
      <c r="P2087" s="3" t="n">
        <f aca="false">(O2087*(N2087/100)*(J2087/1000))*1000</f>
        <v>2.56599008789063</v>
      </c>
      <c r="Q2087" s="3"/>
      <c r="R2087" s="1"/>
      <c r="S2087" s="1"/>
      <c r="T2087" s="1"/>
      <c r="U2087" s="1"/>
      <c r="V2087" s="1"/>
      <c r="W2087" s="1"/>
      <c r="X2087" s="1"/>
      <c r="Y2087" s="5"/>
      <c r="Z2087" s="1"/>
    </row>
    <row r="2088" customFormat="false" ht="15" hidden="false" customHeight="false" outlineLevel="0" collapsed="false">
      <c r="A2088" s="0" t="s">
        <v>75</v>
      </c>
      <c r="B2088" s="0" t="s">
        <v>76</v>
      </c>
      <c r="C2088" s="0" t="s">
        <v>56</v>
      </c>
      <c r="D2088" s="0" t="s">
        <v>171</v>
      </c>
      <c r="E2088" s="0" t="n">
        <v>44</v>
      </c>
      <c r="F2088" s="0" t="n">
        <v>1</v>
      </c>
      <c r="G2088" s="1"/>
      <c r="H2088" s="1"/>
      <c r="I2088" s="0" t="n">
        <f aca="false">24.6+20+24.6+17.4</f>
        <v>86.6</v>
      </c>
      <c r="J2088" s="0" t="n">
        <f aca="false">(I2088/32)*5</f>
        <v>13.53125</v>
      </c>
      <c r="L2088" s="0" t="n">
        <v>30.5</v>
      </c>
      <c r="M2088" s="0" t="n">
        <v>0</v>
      </c>
      <c r="N2088" s="0" t="n">
        <f aca="false">L2088</f>
        <v>30.5</v>
      </c>
      <c r="O2088" s="3" t="n">
        <f aca="false">LOOKUP(L2088,$AB$3:$AC$123)</f>
        <v>1.1294</v>
      </c>
      <c r="P2088" s="3" t="n">
        <f aca="false">(O2088*(N2088/100)*(J2088/1000))*1000</f>
        <v>4.66106909375</v>
      </c>
      <c r="Q2088" s="3"/>
      <c r="R2088" s="1"/>
      <c r="S2088" s="1"/>
      <c r="T2088" s="1"/>
      <c r="U2088" s="1"/>
      <c r="V2088" s="1"/>
      <c r="W2088" s="1"/>
      <c r="X2088" s="1"/>
      <c r="Y2088" s="5"/>
      <c r="Z2088" s="1"/>
    </row>
    <row r="2089" customFormat="false" ht="15" hidden="false" customHeight="false" outlineLevel="0" collapsed="false">
      <c r="A2089" s="0" t="s">
        <v>77</v>
      </c>
      <c r="B2089" s="0" t="s">
        <v>78</v>
      </c>
      <c r="C2089" s="0" t="s">
        <v>56</v>
      </c>
      <c r="D2089" s="0" t="s">
        <v>171</v>
      </c>
      <c r="E2089" s="0" t="n">
        <v>44</v>
      </c>
      <c r="F2089" s="0" t="n">
        <v>1</v>
      </c>
      <c r="G2089" s="1"/>
      <c r="H2089" s="1"/>
      <c r="I2089" s="0" t="n">
        <f aca="false">1.5+23.7+29</f>
        <v>54.2</v>
      </c>
      <c r="J2089" s="0" t="n">
        <f aca="false">(I2089/32)*5</f>
        <v>8.46875</v>
      </c>
      <c r="L2089" s="0" t="n">
        <v>14</v>
      </c>
      <c r="M2089" s="0" t="n">
        <v>0</v>
      </c>
      <c r="N2089" s="0" t="n">
        <f aca="false">L2089</f>
        <v>14</v>
      </c>
      <c r="O2089" s="3" t="n">
        <f aca="false">LOOKUP(L2089,$AB$3:$AC$123)</f>
        <v>1.0549</v>
      </c>
      <c r="P2089" s="3" t="n">
        <f aca="false">(O2089*(N2089/100)*(J2089/1000))*1000</f>
        <v>1.2507158125</v>
      </c>
      <c r="Q2089" s="3"/>
      <c r="R2089" s="1"/>
      <c r="S2089" s="1"/>
      <c r="T2089" s="1"/>
      <c r="U2089" s="1"/>
      <c r="V2089" s="1"/>
      <c r="W2089" s="1"/>
      <c r="X2089" s="1"/>
      <c r="Y2089" s="5"/>
      <c r="Z2089" s="1"/>
    </row>
    <row r="2090" customFormat="false" ht="15" hidden="false" customHeight="false" outlineLevel="0" collapsed="false">
      <c r="A2090" s="0" t="s">
        <v>79</v>
      </c>
      <c r="B2090" s="0" t="s">
        <v>80</v>
      </c>
      <c r="C2090" s="0" t="s">
        <v>81</v>
      </c>
      <c r="D2090" s="0" t="s">
        <v>171</v>
      </c>
      <c r="E2090" s="0" t="n">
        <v>44</v>
      </c>
      <c r="F2090" s="0" t="n">
        <v>0</v>
      </c>
      <c r="G2090" s="1"/>
      <c r="H2090" s="1"/>
      <c r="I2090" s="0" t="n">
        <v>0</v>
      </c>
      <c r="J2090" s="0" t="n">
        <f aca="false">(I2090/32)*5</f>
        <v>0</v>
      </c>
      <c r="L2090" s="0" t="n">
        <v>0</v>
      </c>
      <c r="M2090" s="0" t="n">
        <v>0</v>
      </c>
      <c r="N2090" s="0" t="n">
        <f aca="false">L2090</f>
        <v>0</v>
      </c>
      <c r="O2090" s="3" t="n">
        <f aca="false">LOOKUP(L2090,$AB$3:$AC$123)</f>
        <v>0.9982</v>
      </c>
      <c r="P2090" s="3" t="n">
        <f aca="false">(O2090*(N2090/100)*(J2090/1000))*1000</f>
        <v>0</v>
      </c>
      <c r="Q2090" s="3"/>
      <c r="R2090" s="0" t="n">
        <v>3</v>
      </c>
      <c r="S2090" s="0" t="n">
        <v>10.8</v>
      </c>
      <c r="T2090" s="0" t="n">
        <f aca="false">(S2090/32)*5</f>
        <v>1.6875</v>
      </c>
      <c r="V2090" s="0" t="n">
        <v>12.5</v>
      </c>
      <c r="W2090" s="0" t="n">
        <v>4</v>
      </c>
      <c r="X2090" s="3" t="n">
        <f aca="false">LOOKUP(V2090,$AB$3:$AC$123)</f>
        <v>1.0486</v>
      </c>
      <c r="Y2090" s="2" t="n">
        <f aca="false">(V2090*((W2090+T2090)/1000)*X2090)/((((W2090+T2090)/1000)*X2090)-((W2090/1000)*0.9982))</f>
        <v>37.8207262396236</v>
      </c>
      <c r="Z2090" s="3" t="n">
        <f aca="false">(X2090*(V2090/100)*((W2090+T2090)/1000))*1000</f>
        <v>0.7454890625</v>
      </c>
    </row>
    <row r="2091" customFormat="false" ht="15" hidden="false" customHeight="false" outlineLevel="0" collapsed="false">
      <c r="A2091" s="0" t="s">
        <v>82</v>
      </c>
      <c r="B2091" s="0" t="s">
        <v>83</v>
      </c>
      <c r="C2091" s="0" t="s">
        <v>81</v>
      </c>
      <c r="D2091" s="0" t="s">
        <v>171</v>
      </c>
      <c r="E2091" s="0" t="n">
        <v>44</v>
      </c>
      <c r="F2091" s="0" t="n">
        <v>2</v>
      </c>
      <c r="G2091" s="1"/>
      <c r="H2091" s="1"/>
      <c r="I2091" s="0" t="n">
        <f aca="false">30.9+15.4+10.7+29.6</f>
        <v>86.6</v>
      </c>
      <c r="J2091" s="0" t="n">
        <f aca="false">(I2091/32)*5</f>
        <v>13.53125</v>
      </c>
      <c r="L2091" s="0" t="n">
        <v>29</v>
      </c>
      <c r="M2091" s="0" t="n">
        <v>0</v>
      </c>
      <c r="N2091" s="0" t="n">
        <f aca="false">L2091</f>
        <v>29</v>
      </c>
      <c r="O2091" s="3" t="n">
        <f aca="false">LOOKUP(L2091,$AB$3:$AC$123)</f>
        <v>1.12225</v>
      </c>
      <c r="P2091" s="3" t="n">
        <f aca="false">(O2091*(N2091/100)*(J2091/1000))*1000</f>
        <v>4.403779140625</v>
      </c>
      <c r="Q2091" s="3"/>
      <c r="R2091" s="0" t="n">
        <v>2</v>
      </c>
      <c r="S2091" s="0" t="n">
        <v>9.2</v>
      </c>
      <c r="T2091" s="0" t="n">
        <f aca="false">(S2091/32)*5</f>
        <v>1.4375</v>
      </c>
      <c r="V2091" s="0" t="n">
        <v>15.5</v>
      </c>
      <c r="W2091" s="0" t="n">
        <v>4</v>
      </c>
      <c r="X2091" s="3" t="n">
        <f aca="false">LOOKUP(V2091,$AB$3:$AC$123)</f>
        <v>1.06135</v>
      </c>
      <c r="Y2091" s="2" t="n">
        <f aca="false">(V2091*((W2091+T2091)/1000)*X2091)/((((W2091+T2091)/1000)*X2091)-((W2091/1000)*0.9982))</f>
        <v>50.3021853851926</v>
      </c>
      <c r="Z2091" s="3" t="n">
        <f aca="false">(X2091*(V2091/100)*((W2091+T2091)/1000))*1000</f>
        <v>0.894519046875</v>
      </c>
    </row>
    <row r="2092" customFormat="false" ht="15" hidden="false" customHeight="false" outlineLevel="0" collapsed="false">
      <c r="A2092" s="0" t="s">
        <v>84</v>
      </c>
      <c r="B2092" s="0" t="s">
        <v>85</v>
      </c>
      <c r="C2092" s="0" t="s">
        <v>81</v>
      </c>
      <c r="D2092" s="0" t="s">
        <v>171</v>
      </c>
      <c r="E2092" s="0" t="n">
        <v>44</v>
      </c>
      <c r="F2092" s="0" t="n">
        <v>1</v>
      </c>
      <c r="G2092" s="1"/>
      <c r="H2092" s="1"/>
      <c r="I2092" s="0" t="n">
        <v>26.8</v>
      </c>
      <c r="J2092" s="0" t="n">
        <f aca="false">(I2092/32)*5</f>
        <v>4.1875</v>
      </c>
      <c r="L2092" s="0" t="n">
        <v>21.5</v>
      </c>
      <c r="M2092" s="0" t="n">
        <v>0</v>
      </c>
      <c r="N2092" s="0" t="n">
        <f aca="false">L2092</f>
        <v>21.5</v>
      </c>
      <c r="O2092" s="3" t="n">
        <f aca="false">LOOKUP(L2092,$AB$3:$AC$123)</f>
        <v>1.087675</v>
      </c>
      <c r="P2092" s="3" t="n">
        <f aca="false">(O2092*(N2092/100)*(J2092/1000))*1000</f>
        <v>0.9792473984375</v>
      </c>
      <c r="Q2092" s="3"/>
      <c r="R2092" s="0" t="n">
        <v>3</v>
      </c>
      <c r="S2092" s="0" t="n">
        <v>8.6</v>
      </c>
      <c r="T2092" s="0" t="n">
        <f aca="false">(S2092/32)*5</f>
        <v>1.34375</v>
      </c>
      <c r="V2092" s="0" t="n">
        <v>19</v>
      </c>
      <c r="W2092" s="0" t="n">
        <v>4</v>
      </c>
      <c r="X2092" s="3" t="n">
        <f aca="false">LOOKUP(V2092,$AB$3:$AC$123)</f>
        <v>1.0765</v>
      </c>
      <c r="Y2092" s="2" t="n">
        <f aca="false">(V2092*((W2092+T2092)/1000)*X2092)/((((W2092+T2092)/1000)*X2092)-((W2092/1000)*0.9982))</f>
        <v>62.1102910752434</v>
      </c>
      <c r="Z2092" s="3" t="n">
        <f aca="false">(X2092*(V2092/100)*((W2092+T2092)/1000))*1000</f>
        <v>1.09298390625</v>
      </c>
    </row>
    <row r="2093" customFormat="false" ht="15" hidden="false" customHeight="false" outlineLevel="0" collapsed="false">
      <c r="A2093" s="0" t="s">
        <v>86</v>
      </c>
      <c r="B2093" s="0" t="s">
        <v>87</v>
      </c>
      <c r="C2093" s="0" t="s">
        <v>81</v>
      </c>
      <c r="D2093" s="0" t="s">
        <v>171</v>
      </c>
      <c r="E2093" s="0" t="n">
        <v>44</v>
      </c>
      <c r="F2093" s="0" t="n">
        <v>1</v>
      </c>
      <c r="G2093" s="1"/>
      <c r="H2093" s="1"/>
      <c r="I2093" s="0" t="n">
        <v>15.1</v>
      </c>
      <c r="J2093" s="0" t="n">
        <f aca="false">(I2093/32)*5</f>
        <v>2.359375</v>
      </c>
      <c r="L2093" s="0" t="n">
        <v>15</v>
      </c>
      <c r="M2093" s="0" t="n">
        <v>0</v>
      </c>
      <c r="N2093" s="0" t="n">
        <f aca="false">L2093</f>
        <v>15</v>
      </c>
      <c r="O2093" s="3" t="n">
        <f aca="false">LOOKUP(L2093,$AB$3:$AC$123)</f>
        <v>1.0592</v>
      </c>
      <c r="P2093" s="3" t="n">
        <f aca="false">(O2093*(N2093/100)*(J2093/1000))*1000</f>
        <v>0.3748575</v>
      </c>
      <c r="Q2093" s="3"/>
      <c r="R2093" s="0" t="n">
        <v>3</v>
      </c>
      <c r="S2093" s="0" t="n">
        <v>9.4</v>
      </c>
      <c r="T2093" s="0" t="n">
        <f aca="false">(S2093/32)*5</f>
        <v>1.46875</v>
      </c>
      <c r="V2093" s="0" t="n">
        <v>17.5</v>
      </c>
      <c r="W2093" s="0" t="n">
        <v>4</v>
      </c>
      <c r="X2093" s="3" t="n">
        <f aca="false">LOOKUP(V2093,$AB$3:$AC$123)</f>
        <v>1.07</v>
      </c>
      <c r="Y2093" s="2" t="n">
        <f aca="false">(V2093*((W2093+T2093)/1000)*X2093)/((((W2093+T2093)/1000)*X2093)-((W2093/1000)*0.9982))</f>
        <v>55.091677258391</v>
      </c>
      <c r="Z2093" s="3" t="n">
        <f aca="false">(X2093*(V2093/100)*((W2093+T2093)/1000))*1000</f>
        <v>1.0240234375</v>
      </c>
    </row>
    <row r="2094" customFormat="false" ht="15" hidden="false" customHeight="false" outlineLevel="0" collapsed="false">
      <c r="A2094" s="0" t="s">
        <v>88</v>
      </c>
      <c r="B2094" s="0" t="s">
        <v>89</v>
      </c>
      <c r="C2094" s="0" t="s">
        <v>81</v>
      </c>
      <c r="D2094" s="0" t="s">
        <v>171</v>
      </c>
      <c r="E2094" s="0" t="n">
        <v>44</v>
      </c>
      <c r="F2094" s="0" t="n">
        <v>0</v>
      </c>
      <c r="G2094" s="1"/>
      <c r="H2094" s="1"/>
      <c r="I2094" s="0" t="n">
        <v>0</v>
      </c>
      <c r="J2094" s="0" t="n">
        <f aca="false">(I2094/32)*5</f>
        <v>0</v>
      </c>
      <c r="L2094" s="0" t="n">
        <v>0</v>
      </c>
      <c r="M2094" s="0" t="n">
        <v>0</v>
      </c>
      <c r="N2094" s="0" t="n">
        <f aca="false">L2094</f>
        <v>0</v>
      </c>
      <c r="O2094" s="3" t="n">
        <f aca="false">LOOKUP(L2094,$AB$3:$AC$123)</f>
        <v>0.9982</v>
      </c>
      <c r="P2094" s="3" t="n">
        <f aca="false">(O2094*(N2094/100)*(J2094/1000))*1000</f>
        <v>0</v>
      </c>
      <c r="Q2094" s="3"/>
      <c r="R2094" s="0" t="n">
        <v>2</v>
      </c>
      <c r="S2094" s="0" t="n">
        <v>6.9</v>
      </c>
      <c r="T2094" s="0" t="n">
        <f aca="false">(S2094/32)*5</f>
        <v>1.078125</v>
      </c>
      <c r="V2094" s="0" t="n">
        <v>14</v>
      </c>
      <c r="W2094" s="0" t="n">
        <v>4</v>
      </c>
      <c r="X2094" s="3" t="n">
        <f aca="false">LOOKUP(V2094,$AB$3:$AC$123)</f>
        <v>1.0549</v>
      </c>
      <c r="Y2094" s="2" t="n">
        <f aca="false">(V2094*((W2094+T2094)/1000)*X2094)/((((W2094+T2094)/1000)*X2094)-((W2094/1000)*0.9982))</f>
        <v>54.978391423921</v>
      </c>
      <c r="Z2094" s="3" t="n">
        <f aca="false">(X2094*(V2094/100)*((W2094+T2094)/1000))*1000</f>
        <v>0.74996796875</v>
      </c>
    </row>
    <row r="2095" customFormat="false" ht="15" hidden="false" customHeight="false" outlineLevel="0" collapsed="false">
      <c r="A2095" s="0" t="s">
        <v>90</v>
      </c>
      <c r="B2095" s="0" t="s">
        <v>91</v>
      </c>
      <c r="C2095" s="0" t="s">
        <v>81</v>
      </c>
      <c r="D2095" s="0" t="s">
        <v>171</v>
      </c>
      <c r="E2095" s="0" t="n">
        <v>44</v>
      </c>
      <c r="F2095" s="0" t="n">
        <v>1</v>
      </c>
      <c r="G2095" s="1"/>
      <c r="H2095" s="1"/>
      <c r="I2095" s="0" t="n">
        <f aca="false">30.2+29.9+15.8</f>
        <v>75.9</v>
      </c>
      <c r="J2095" s="0" t="n">
        <f aca="false">(I2095/32)*5</f>
        <v>11.859375</v>
      </c>
      <c r="L2095" s="0" t="n">
        <v>30.5</v>
      </c>
      <c r="M2095" s="0" t="n">
        <v>0</v>
      </c>
      <c r="N2095" s="0" t="n">
        <f aca="false">L2095</f>
        <v>30.5</v>
      </c>
      <c r="O2095" s="3" t="n">
        <f aca="false">LOOKUP(L2095,$AB$3:$AC$123)</f>
        <v>1.1294</v>
      </c>
      <c r="P2095" s="3" t="n">
        <f aca="false">(O2095*(N2095/100)*(J2095/1000))*1000</f>
        <v>4.085163328125</v>
      </c>
      <c r="Q2095" s="3"/>
      <c r="R2095" s="0" t="n">
        <v>3</v>
      </c>
      <c r="S2095" s="0" t="n">
        <v>8.3</v>
      </c>
      <c r="T2095" s="0" t="n">
        <f aca="false">(S2095/32)*5</f>
        <v>1.296875</v>
      </c>
      <c r="V2095" s="0" t="n">
        <v>16.5</v>
      </c>
      <c r="W2095" s="0" t="n">
        <v>4</v>
      </c>
      <c r="X2095" s="3" t="n">
        <f aca="false">LOOKUP(V2095,$AB$3:$AC$123)</f>
        <v>1.06565</v>
      </c>
      <c r="Y2095" s="2" t="n">
        <f aca="false">(V2095*((W2095+T2095)/1000)*X2095)/((((W2095+T2095)/1000)*X2095)-((W2095/1000)*0.9982))</f>
        <v>56.3841312325506</v>
      </c>
      <c r="Z2095" s="3" t="n">
        <f aca="false">(X2095*(V2095/100)*((W2095+T2095)/1000))*1000</f>
        <v>0.93136144921875</v>
      </c>
    </row>
    <row r="2096" customFormat="false" ht="15" hidden="false" customHeight="false" outlineLevel="0" collapsed="false">
      <c r="A2096" s="0" t="s">
        <v>92</v>
      </c>
      <c r="B2096" s="0" t="s">
        <v>93</v>
      </c>
      <c r="C2096" s="0" t="s">
        <v>81</v>
      </c>
      <c r="D2096" s="0" t="s">
        <v>171</v>
      </c>
      <c r="E2096" s="0" t="n">
        <v>44</v>
      </c>
      <c r="F2096" s="0" t="n">
        <v>0</v>
      </c>
      <c r="G2096" s="1"/>
      <c r="H2096" s="1"/>
      <c r="I2096" s="0" t="n">
        <v>0</v>
      </c>
      <c r="J2096" s="0" t="n">
        <f aca="false">(I2096/32)*5</f>
        <v>0</v>
      </c>
      <c r="L2096" s="0" t="n">
        <v>0</v>
      </c>
      <c r="M2096" s="0" t="n">
        <v>0</v>
      </c>
      <c r="N2096" s="0" t="n">
        <f aca="false">L2096</f>
        <v>0</v>
      </c>
      <c r="O2096" s="3" t="n">
        <f aca="false">LOOKUP(L2096,$AB$3:$AC$123)</f>
        <v>0.9982</v>
      </c>
      <c r="P2096" s="3" t="n">
        <f aca="false">(O2096*(N2096/100)*(J2096/1000))*1000</f>
        <v>0</v>
      </c>
      <c r="Q2096" s="3"/>
      <c r="R2096" s="0" t="n">
        <v>2</v>
      </c>
      <c r="S2096" s="0" t="n">
        <v>4.2</v>
      </c>
      <c r="T2096" s="0" t="n">
        <f aca="false">(S2096/32)*5</f>
        <v>0.65625</v>
      </c>
      <c r="V2096" s="0" t="n">
        <v>9</v>
      </c>
      <c r="W2096" s="0" t="n">
        <v>4</v>
      </c>
      <c r="X2096" s="3" t="n">
        <f aca="false">LOOKUP(V2096,$AB$3:$AC$123)</f>
        <v>1.0341</v>
      </c>
      <c r="Y2096" s="2" t="n">
        <f aca="false">(V2096*((W2096+T2096)/1000)*X2096)/((((W2096+T2096)/1000)*X2096)-((W2096/1000)*0.9982))</f>
        <v>52.7046592148621</v>
      </c>
      <c r="Z2096" s="3" t="n">
        <f aca="false">(X2096*(V2096/100)*((W2096+T2096)/1000))*1000</f>
        <v>0.43335253125</v>
      </c>
    </row>
    <row r="2097" customFormat="false" ht="15" hidden="false" customHeight="false" outlineLevel="0" collapsed="false">
      <c r="A2097" s="0" t="s">
        <v>94</v>
      </c>
      <c r="B2097" s="0" t="s">
        <v>95</v>
      </c>
      <c r="C2097" s="0" t="s">
        <v>81</v>
      </c>
      <c r="D2097" s="0" t="s">
        <v>171</v>
      </c>
      <c r="E2097" s="0" t="n">
        <v>44</v>
      </c>
      <c r="F2097" s="0" t="n">
        <v>0</v>
      </c>
      <c r="G2097" s="1"/>
      <c r="H2097" s="1"/>
      <c r="I2097" s="0" t="n">
        <v>0</v>
      </c>
      <c r="J2097" s="0" t="n">
        <f aca="false">(I2097/32)*5</f>
        <v>0</v>
      </c>
      <c r="L2097" s="0" t="n">
        <v>0</v>
      </c>
      <c r="M2097" s="0" t="n">
        <v>0</v>
      </c>
      <c r="N2097" s="0" t="n">
        <f aca="false">L2097</f>
        <v>0</v>
      </c>
      <c r="O2097" s="3" t="n">
        <f aca="false">LOOKUP(L2097,$AB$3:$AC$123)</f>
        <v>0.9982</v>
      </c>
      <c r="P2097" s="3" t="n">
        <f aca="false">(O2097*(N2097/100)*(J2097/1000))*1000</f>
        <v>0</v>
      </c>
      <c r="Q2097" s="3"/>
      <c r="R2097" s="0" t="n">
        <v>5</v>
      </c>
      <c r="S2097" s="0" t="n">
        <v>16.5</v>
      </c>
      <c r="T2097" s="0" t="n">
        <f aca="false">(S2097/32)*5</f>
        <v>2.578125</v>
      </c>
      <c r="V2097" s="0" t="n">
        <v>22.5</v>
      </c>
      <c r="W2097" s="0" t="n">
        <v>4</v>
      </c>
      <c r="X2097" s="3" t="n">
        <f aca="false">LOOKUP(V2097,$AB$3:$AC$123)</f>
        <v>1.092175</v>
      </c>
      <c r="Y2097" s="2" t="n">
        <f aca="false">(V2097*((W2097+T2097)/1000)*X2097)/((((W2097+T2097)/1000)*X2097)-((W2097/1000)*0.9982))</f>
        <v>50.6477026516466</v>
      </c>
      <c r="Z2097" s="3" t="n">
        <f aca="false">(X2097*(V2097/100)*((W2097+T2097)/1000))*1000</f>
        <v>1.61650432617188</v>
      </c>
    </row>
    <row r="2098" customFormat="false" ht="15" hidden="false" customHeight="false" outlineLevel="0" collapsed="false">
      <c r="A2098" s="0" t="s">
        <v>96</v>
      </c>
      <c r="B2098" s="0" t="s">
        <v>97</v>
      </c>
      <c r="C2098" s="0" t="s">
        <v>81</v>
      </c>
      <c r="D2098" s="0" t="s">
        <v>171</v>
      </c>
      <c r="E2098" s="0" t="n">
        <v>44</v>
      </c>
      <c r="F2098" s="0" t="n">
        <v>0</v>
      </c>
      <c r="G2098" s="1"/>
      <c r="H2098" s="1"/>
      <c r="I2098" s="0" t="n">
        <v>0</v>
      </c>
      <c r="J2098" s="0" t="n">
        <f aca="false">(I2098/32)*5</f>
        <v>0</v>
      </c>
      <c r="L2098" s="0" t="n">
        <v>0</v>
      </c>
      <c r="M2098" s="0" t="n">
        <v>0</v>
      </c>
      <c r="N2098" s="0" t="n">
        <f aca="false">L2098</f>
        <v>0</v>
      </c>
      <c r="O2098" s="3" t="n">
        <f aca="false">LOOKUP(L2098,$AB$3:$AC$123)</f>
        <v>0.9982</v>
      </c>
      <c r="P2098" s="3" t="n">
        <f aca="false">(O2098*(N2098/100)*(J2098/1000))*1000</f>
        <v>0</v>
      </c>
      <c r="Q2098" s="3"/>
      <c r="R2098" s="0" t="n">
        <v>3</v>
      </c>
      <c r="S2098" s="0" t="n">
        <v>6.7</v>
      </c>
      <c r="T2098" s="0" t="n">
        <f aca="false">(S2098/32)*5</f>
        <v>1.046875</v>
      </c>
      <c r="V2098" s="0" t="n">
        <v>0</v>
      </c>
      <c r="W2098" s="0" t="n">
        <v>4</v>
      </c>
      <c r="X2098" s="3" t="n">
        <f aca="false">LOOKUP(V2098,$AB$3:$AC$123)</f>
        <v>0.9982</v>
      </c>
      <c r="Y2098" s="2" t="n">
        <f aca="false">(V2098*((W2098+T2098)/1000)*X2098)/((((W2098+T2098)/1000)*X2098)-((W2098/1000)*0.9982))</f>
        <v>0</v>
      </c>
      <c r="Z2098" s="3" t="n">
        <f aca="false">(X2098*(V2098/100)*((W2098+T2098)/1000))*1000</f>
        <v>0</v>
      </c>
    </row>
    <row r="2099" customFormat="false" ht="15" hidden="false" customHeight="false" outlineLevel="0" collapsed="false">
      <c r="A2099" s="0" t="s">
        <v>98</v>
      </c>
      <c r="B2099" s="0" t="s">
        <v>99</v>
      </c>
      <c r="C2099" s="0" t="s">
        <v>81</v>
      </c>
      <c r="D2099" s="0" t="s">
        <v>171</v>
      </c>
      <c r="E2099" s="0" t="n">
        <v>44</v>
      </c>
      <c r="F2099" s="0" t="n">
        <v>0</v>
      </c>
      <c r="G2099" s="1"/>
      <c r="H2099" s="1"/>
      <c r="I2099" s="0" t="n">
        <v>0</v>
      </c>
      <c r="J2099" s="0" t="n">
        <f aca="false">(I2099/32)*5</f>
        <v>0</v>
      </c>
      <c r="L2099" s="0" t="n">
        <v>0</v>
      </c>
      <c r="M2099" s="0" t="n">
        <v>0</v>
      </c>
      <c r="N2099" s="0" t="n">
        <f aca="false">L2099</f>
        <v>0</v>
      </c>
      <c r="O2099" s="3" t="n">
        <f aca="false">LOOKUP(L2099,$AB$3:$AC$123)</f>
        <v>0.9982</v>
      </c>
      <c r="P2099" s="3" t="n">
        <f aca="false">(O2099*(N2099/100)*(J2099/1000))*1000</f>
        <v>0</v>
      </c>
      <c r="Q2099" s="3"/>
      <c r="R2099" s="0" t="n">
        <v>1</v>
      </c>
      <c r="S2099" s="0" t="n">
        <v>2.6</v>
      </c>
      <c r="T2099" s="0" t="n">
        <f aca="false">(S2099/32)*5</f>
        <v>0.40625</v>
      </c>
      <c r="V2099" s="0" t="n">
        <v>8.5</v>
      </c>
      <c r="W2099" s="0" t="n">
        <v>4</v>
      </c>
      <c r="X2099" s="3" t="n">
        <f aca="false">LOOKUP(V2099,$AB$3:$AC$123)</f>
        <v>1.032</v>
      </c>
      <c r="Y2099" s="2" t="n">
        <f aca="false">(V2099*((W2099+T2099)/1000)*X2099)/((((W2099+T2099)/1000)*X2099)-((W2099/1000)*0.9982))</f>
        <v>69.7116511858599</v>
      </c>
      <c r="Z2099" s="3" t="n">
        <f aca="false">(X2099*(V2099/100)*((W2099+T2099)/1000))*1000</f>
        <v>0.38651625</v>
      </c>
    </row>
    <row r="2100" customFormat="false" ht="15" hidden="false" customHeight="false" outlineLevel="0" collapsed="false">
      <c r="A2100" s="0" t="s">
        <v>100</v>
      </c>
      <c r="B2100" s="0" t="s">
        <v>101</v>
      </c>
      <c r="C2100" s="0" t="s">
        <v>81</v>
      </c>
      <c r="D2100" s="0" t="s">
        <v>171</v>
      </c>
      <c r="E2100" s="0" t="n">
        <v>44</v>
      </c>
      <c r="F2100" s="0" t="n">
        <v>0</v>
      </c>
      <c r="G2100" s="1"/>
      <c r="H2100" s="1"/>
      <c r="I2100" s="0" t="n">
        <v>0</v>
      </c>
      <c r="J2100" s="0" t="n">
        <f aca="false">(I2100/32)*5</f>
        <v>0</v>
      </c>
      <c r="L2100" s="0" t="n">
        <v>0</v>
      </c>
      <c r="M2100" s="0" t="n">
        <v>0</v>
      </c>
      <c r="N2100" s="0" t="n">
        <f aca="false">L2100</f>
        <v>0</v>
      </c>
      <c r="O2100" s="3" t="n">
        <f aca="false">LOOKUP(L2100,$AB$3:$AC$123)</f>
        <v>0.9982</v>
      </c>
      <c r="P2100" s="3" t="n">
        <f aca="false">(O2100*(N2100/100)*(J2100/1000))*1000</f>
        <v>0</v>
      </c>
      <c r="Q2100" s="3"/>
      <c r="R2100" s="0" t="n">
        <v>5</v>
      </c>
      <c r="S2100" s="0" t="n">
        <v>9</v>
      </c>
      <c r="T2100" s="0" t="n">
        <f aca="false">(S2100/32)*5</f>
        <v>1.40625</v>
      </c>
      <c r="V2100" s="0" t="n">
        <v>20</v>
      </c>
      <c r="W2100" s="0" t="n">
        <v>4</v>
      </c>
      <c r="X2100" s="3" t="n">
        <f aca="false">LOOKUP(V2100,$AB$3:$AC$123)</f>
        <v>1.081</v>
      </c>
      <c r="Y2100" s="2" t="n">
        <f aca="false">(V2100*((W2100+T2100)/1000)*X2100)/((((W2100+T2100)/1000)*X2100)-((W2100/1000)*0.9982))</f>
        <v>63.1337836788571</v>
      </c>
      <c r="Z2100" s="3" t="n">
        <f aca="false">(X2100*(V2100/100)*((W2100+T2100)/1000))*1000</f>
        <v>1.16883125</v>
      </c>
    </row>
    <row r="2101" customFormat="false" ht="15" hidden="false" customHeight="false" outlineLevel="0" collapsed="false">
      <c r="A2101" s="0" t="s">
        <v>102</v>
      </c>
      <c r="B2101" s="0" t="s">
        <v>103</v>
      </c>
      <c r="C2101" s="0" t="s">
        <v>81</v>
      </c>
      <c r="D2101" s="0" t="s">
        <v>171</v>
      </c>
      <c r="E2101" s="0" t="n">
        <v>44</v>
      </c>
      <c r="F2101" s="0" t="n">
        <v>1</v>
      </c>
      <c r="G2101" s="1"/>
      <c r="H2101" s="1"/>
      <c r="I2101" s="0" t="n">
        <f aca="false">31.4+13.7+8.5</f>
        <v>53.6</v>
      </c>
      <c r="J2101" s="0" t="n">
        <f aca="false">(I2101/32)*5</f>
        <v>8.375</v>
      </c>
      <c r="L2101" s="0" t="n">
        <v>18</v>
      </c>
      <c r="M2101" s="0" t="n">
        <v>0</v>
      </c>
      <c r="N2101" s="0" t="n">
        <f aca="false">L2101</f>
        <v>18</v>
      </c>
      <c r="O2101" s="3" t="n">
        <f aca="false">LOOKUP(L2101,$AB$3:$AC$123)</f>
        <v>1.0722</v>
      </c>
      <c r="P2101" s="3" t="n">
        <f aca="false">(O2101*(N2101/100)*(J2101/1000))*1000</f>
        <v>1.6163415</v>
      </c>
      <c r="Q2101" s="3"/>
      <c r="R2101" s="0" t="n">
        <v>6</v>
      </c>
      <c r="S2101" s="0" t="n">
        <v>2.5</v>
      </c>
      <c r="T2101" s="0" t="n">
        <f aca="false">(S2101/32)*5</f>
        <v>0.390625</v>
      </c>
      <c r="V2101" s="0" t="n">
        <v>8</v>
      </c>
      <c r="W2101" s="0" t="n">
        <v>4</v>
      </c>
      <c r="X2101" s="3" t="n">
        <f aca="false">LOOKUP(V2101,$AB$3:$AC$123)</f>
        <v>1.0299</v>
      </c>
      <c r="Y2101" s="2" t="n">
        <f aca="false">(V2101*((W2101+T2101)/1000)*X2101)/((((W2101+T2101)/1000)*X2101)-((W2101/1000)*0.9982))</f>
        <v>68.3706615243321</v>
      </c>
      <c r="Z2101" s="3" t="n">
        <f aca="false">(X2101*(V2101/100)*((W2101+T2101)/1000))*1000</f>
        <v>0.361752375</v>
      </c>
    </row>
    <row r="2102" customFormat="false" ht="15" hidden="false" customHeight="false" outlineLevel="0" collapsed="false">
      <c r="A2102" s="0" t="s">
        <v>104</v>
      </c>
      <c r="B2102" s="0" t="s">
        <v>105</v>
      </c>
      <c r="C2102" s="0" t="s">
        <v>106</v>
      </c>
      <c r="D2102" s="0" t="s">
        <v>171</v>
      </c>
      <c r="E2102" s="0" t="n">
        <v>44</v>
      </c>
      <c r="F2102" s="0" t="n">
        <v>0</v>
      </c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0" t="n">
        <v>9</v>
      </c>
      <c r="S2102" s="1"/>
      <c r="T2102" s="1"/>
      <c r="U2102" s="1"/>
      <c r="V2102" s="1"/>
      <c r="W2102" s="1"/>
      <c r="X2102" s="1"/>
      <c r="Y2102" s="5"/>
      <c r="Z2102" s="1"/>
    </row>
    <row r="2103" customFormat="false" ht="15" hidden="false" customHeight="false" outlineLevel="0" collapsed="false">
      <c r="A2103" s="0" t="s">
        <v>107</v>
      </c>
      <c r="B2103" s="0" t="s">
        <v>37</v>
      </c>
      <c r="C2103" s="0" t="s">
        <v>106</v>
      </c>
      <c r="D2103" s="0" t="s">
        <v>171</v>
      </c>
      <c r="E2103" s="0" t="n">
        <v>44</v>
      </c>
      <c r="F2103" s="0" t="n">
        <v>0</v>
      </c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0" t="n">
        <v>6</v>
      </c>
      <c r="S2103" s="1"/>
      <c r="T2103" s="1"/>
      <c r="U2103" s="1"/>
      <c r="V2103" s="1"/>
      <c r="W2103" s="1"/>
      <c r="X2103" s="1"/>
      <c r="Y2103" s="5"/>
      <c r="Z2103" s="1"/>
    </row>
    <row r="2104" customFormat="false" ht="15" hidden="false" customHeight="false" outlineLevel="0" collapsed="false">
      <c r="A2104" s="0" t="s">
        <v>108</v>
      </c>
      <c r="B2104" s="0" t="s">
        <v>109</v>
      </c>
      <c r="C2104" s="0" t="s">
        <v>106</v>
      </c>
      <c r="D2104" s="0" t="s">
        <v>171</v>
      </c>
      <c r="E2104" s="0" t="n">
        <v>44</v>
      </c>
      <c r="F2104" s="0" t="n">
        <v>1</v>
      </c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0" t="n">
        <v>9</v>
      </c>
      <c r="S2104" s="1"/>
      <c r="T2104" s="1"/>
      <c r="U2104" s="1"/>
      <c r="V2104" s="1"/>
      <c r="W2104" s="1"/>
      <c r="X2104" s="1"/>
      <c r="Y2104" s="5"/>
      <c r="Z2104" s="1"/>
    </row>
    <row r="2105" customFormat="false" ht="15" hidden="false" customHeight="false" outlineLevel="0" collapsed="false">
      <c r="A2105" s="0" t="s">
        <v>110</v>
      </c>
      <c r="B2105" s="0" t="s">
        <v>111</v>
      </c>
      <c r="C2105" s="0" t="s">
        <v>106</v>
      </c>
      <c r="D2105" s="0" t="s">
        <v>171</v>
      </c>
      <c r="E2105" s="0" t="n">
        <v>44</v>
      </c>
      <c r="F2105" s="0" t="n">
        <v>1</v>
      </c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0" t="n">
        <v>11</v>
      </c>
      <c r="S2105" s="1"/>
      <c r="T2105" s="1"/>
      <c r="U2105" s="1"/>
      <c r="V2105" s="1"/>
      <c r="W2105" s="1"/>
      <c r="X2105" s="1"/>
      <c r="Y2105" s="5"/>
      <c r="Z2105" s="1"/>
    </row>
    <row r="2106" customFormat="false" ht="15" hidden="false" customHeight="false" outlineLevel="0" collapsed="false">
      <c r="A2106" s="0" t="s">
        <v>112</v>
      </c>
      <c r="B2106" s="0" t="s">
        <v>113</v>
      </c>
      <c r="C2106" s="0" t="s">
        <v>106</v>
      </c>
      <c r="D2106" s="0" t="s">
        <v>171</v>
      </c>
      <c r="E2106" s="0" t="n">
        <v>44</v>
      </c>
      <c r="F2106" s="0" t="n">
        <v>2</v>
      </c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0" t="n">
        <v>10</v>
      </c>
      <c r="S2106" s="1"/>
      <c r="T2106" s="1"/>
      <c r="U2106" s="1"/>
      <c r="V2106" s="1"/>
      <c r="W2106" s="1"/>
      <c r="X2106" s="1"/>
      <c r="Y2106" s="5"/>
      <c r="Z2106" s="1"/>
    </row>
    <row r="2107" customFormat="false" ht="15" hidden="false" customHeight="false" outlineLevel="0" collapsed="false">
      <c r="A2107" s="0" t="s">
        <v>114</v>
      </c>
      <c r="B2107" s="0" t="s">
        <v>115</v>
      </c>
      <c r="C2107" s="0" t="s">
        <v>106</v>
      </c>
      <c r="D2107" s="0" t="s">
        <v>171</v>
      </c>
      <c r="E2107" s="0" t="n">
        <v>44</v>
      </c>
      <c r="F2107" s="0" t="n">
        <v>3</v>
      </c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0" t="n">
        <v>4</v>
      </c>
      <c r="S2107" s="1"/>
      <c r="T2107" s="1"/>
      <c r="U2107" s="1"/>
      <c r="V2107" s="1"/>
      <c r="W2107" s="1"/>
      <c r="X2107" s="1"/>
      <c r="Y2107" s="5"/>
      <c r="Z2107" s="1"/>
    </row>
    <row r="2108" customFormat="false" ht="15" hidden="false" customHeight="false" outlineLevel="0" collapsed="false">
      <c r="A2108" s="0" t="s">
        <v>116</v>
      </c>
      <c r="B2108" s="0" t="s">
        <v>117</v>
      </c>
      <c r="C2108" s="0" t="s">
        <v>106</v>
      </c>
      <c r="D2108" s="0" t="s">
        <v>171</v>
      </c>
      <c r="E2108" s="0" t="n">
        <v>44</v>
      </c>
      <c r="F2108" s="0" t="n">
        <v>1</v>
      </c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0" t="n">
        <v>6</v>
      </c>
      <c r="S2108" s="1"/>
      <c r="T2108" s="1"/>
      <c r="U2108" s="1"/>
      <c r="V2108" s="1"/>
      <c r="W2108" s="1"/>
      <c r="X2108" s="1"/>
      <c r="Y2108" s="5"/>
      <c r="Z2108" s="1"/>
    </row>
    <row r="2109" customFormat="false" ht="15" hidden="false" customHeight="false" outlineLevel="0" collapsed="false">
      <c r="A2109" s="0" t="s">
        <v>118</v>
      </c>
      <c r="B2109" s="0" t="s">
        <v>119</v>
      </c>
      <c r="C2109" s="0" t="s">
        <v>106</v>
      </c>
      <c r="D2109" s="0" t="s">
        <v>171</v>
      </c>
      <c r="E2109" s="0" t="n">
        <v>44</v>
      </c>
      <c r="F2109" s="0" t="n">
        <v>0</v>
      </c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0" t="n">
        <v>6</v>
      </c>
      <c r="S2109" s="1"/>
      <c r="T2109" s="1"/>
      <c r="U2109" s="1"/>
      <c r="V2109" s="1"/>
      <c r="W2109" s="1"/>
      <c r="X2109" s="1"/>
      <c r="Y2109" s="5"/>
      <c r="Z2109" s="1"/>
    </row>
    <row r="2110" customFormat="false" ht="15" hidden="false" customHeight="false" outlineLevel="0" collapsed="false">
      <c r="A2110" s="0" t="s">
        <v>120</v>
      </c>
      <c r="B2110" s="0" t="s">
        <v>121</v>
      </c>
      <c r="C2110" s="0" t="s">
        <v>106</v>
      </c>
      <c r="D2110" s="0" t="s">
        <v>171</v>
      </c>
      <c r="E2110" s="0" t="n">
        <v>44</v>
      </c>
      <c r="F2110" s="0" t="n">
        <v>1</v>
      </c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0" t="n">
        <v>3</v>
      </c>
      <c r="S2110" s="1"/>
      <c r="T2110" s="1"/>
      <c r="U2110" s="1"/>
      <c r="V2110" s="1"/>
      <c r="W2110" s="1"/>
      <c r="X2110" s="1"/>
      <c r="Y2110" s="5"/>
      <c r="Z2110" s="1"/>
    </row>
    <row r="2111" customFormat="false" ht="15" hidden="false" customHeight="false" outlineLevel="0" collapsed="false">
      <c r="A2111" s="0" t="s">
        <v>122</v>
      </c>
      <c r="B2111" s="0" t="s">
        <v>123</v>
      </c>
      <c r="C2111" s="0" t="s">
        <v>106</v>
      </c>
      <c r="D2111" s="0" t="s">
        <v>171</v>
      </c>
      <c r="E2111" s="0" t="n">
        <v>44</v>
      </c>
      <c r="F2111" s="0" t="n">
        <v>0</v>
      </c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0" t="n">
        <v>7</v>
      </c>
      <c r="S2111" s="1"/>
      <c r="T2111" s="1"/>
      <c r="U2111" s="1"/>
      <c r="V2111" s="1"/>
      <c r="W2111" s="1"/>
      <c r="X2111" s="1"/>
      <c r="Y2111" s="5"/>
      <c r="Z2111" s="1"/>
    </row>
    <row r="2112" customFormat="false" ht="15" hidden="false" customHeight="false" outlineLevel="0" collapsed="false">
      <c r="A2112" s="0" t="s">
        <v>124</v>
      </c>
      <c r="B2112" s="0" t="s">
        <v>125</v>
      </c>
      <c r="C2112" s="0" t="s">
        <v>106</v>
      </c>
      <c r="D2112" s="0" t="s">
        <v>171</v>
      </c>
      <c r="E2112" s="0" t="n">
        <v>44</v>
      </c>
      <c r="F2112" s="0" t="n">
        <v>1</v>
      </c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0" t="n">
        <v>11</v>
      </c>
      <c r="S2112" s="1"/>
      <c r="T2112" s="1"/>
      <c r="U2112" s="1"/>
      <c r="V2112" s="1"/>
      <c r="W2112" s="1"/>
      <c r="X2112" s="1"/>
      <c r="Y2112" s="5"/>
      <c r="Z2112" s="1"/>
    </row>
    <row r="2113" customFormat="false" ht="15" hidden="false" customHeight="false" outlineLevel="0" collapsed="false">
      <c r="A2113" s="0" t="s">
        <v>126</v>
      </c>
      <c r="B2113" s="0" t="s">
        <v>127</v>
      </c>
      <c r="C2113" s="0" t="s">
        <v>106</v>
      </c>
      <c r="D2113" s="0" t="s">
        <v>171</v>
      </c>
      <c r="E2113" s="0" t="n">
        <v>44</v>
      </c>
      <c r="F2113" s="0" t="n">
        <v>0</v>
      </c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0" t="n">
        <v>10</v>
      </c>
      <c r="S2113" s="1"/>
      <c r="T2113" s="1"/>
      <c r="U2113" s="1"/>
      <c r="V2113" s="1"/>
      <c r="W2113" s="1"/>
      <c r="X2113" s="1"/>
      <c r="Y2113" s="5"/>
      <c r="Z2113" s="1"/>
    </row>
    <row r="2114" customFormat="false" ht="15" hidden="false" customHeight="false" outlineLevel="0" collapsed="false">
      <c r="A2114" s="0" t="s">
        <v>26</v>
      </c>
      <c r="B2114" s="0" t="s">
        <v>27</v>
      </c>
      <c r="C2114" s="0" t="s">
        <v>28</v>
      </c>
      <c r="D2114" s="0" t="s">
        <v>172</v>
      </c>
      <c r="E2114" s="0" t="n">
        <v>45</v>
      </c>
      <c r="F2114" s="0" t="n">
        <v>1</v>
      </c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0" t="n">
        <v>2</v>
      </c>
      <c r="S2114" s="0" t="n">
        <v>3.9</v>
      </c>
      <c r="T2114" s="0" t="n">
        <f aca="false">(S2114/32)*5</f>
        <v>0.609375</v>
      </c>
      <c r="V2114" s="0" t="n">
        <v>14.5</v>
      </c>
      <c r="W2114" s="0" t="n">
        <v>4</v>
      </c>
      <c r="X2114" s="3" t="n">
        <f aca="false">LOOKUP(V2114,$AB$3:$AC$123)</f>
        <v>1.05705</v>
      </c>
      <c r="Y2114" s="2" t="n">
        <f aca="false">(V2114*((W2114+T2114)/1000)*X2114)/((((W2114+T2114)/1000)*X2114)-((W2114/1000)*0.9982))</f>
        <v>80.3248746903343</v>
      </c>
      <c r="Z2114" s="3" t="n">
        <f aca="false">(X2114*(V2114/100)*((W2114+T2114)/1000))*1000</f>
        <v>0.70648927734375</v>
      </c>
    </row>
    <row r="2115" customFormat="false" ht="15" hidden="false" customHeight="false" outlineLevel="0" collapsed="false">
      <c r="A2115" s="0" t="s">
        <v>32</v>
      </c>
      <c r="B2115" s="0" t="s">
        <v>33</v>
      </c>
      <c r="C2115" s="0" t="s">
        <v>28</v>
      </c>
      <c r="D2115" s="0" t="s">
        <v>172</v>
      </c>
      <c r="E2115" s="0" t="n">
        <v>45</v>
      </c>
      <c r="F2115" s="0" t="n">
        <v>0</v>
      </c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0" t="n">
        <v>8</v>
      </c>
      <c r="S2115" s="0" t="n">
        <f aca="false">6.2+12.1</f>
        <v>18.3</v>
      </c>
      <c r="T2115" s="0" t="n">
        <f aca="false">(S2115/32)*5</f>
        <v>2.859375</v>
      </c>
      <c r="V2115" s="0" t="n">
        <v>43</v>
      </c>
      <c r="W2115" s="0" t="n">
        <v>6</v>
      </c>
      <c r="X2115" s="3" t="n">
        <f aca="false">LOOKUP(V2115,$AB$3:$AC$123)</f>
        <v>1.192</v>
      </c>
      <c r="Y2115" s="2" t="n">
        <f aca="false">(V2115*((W2115+T2115)/1000)*X2115)/((((W2115+T2115)/1000)*X2115)-((W2115/1000)*0.9982))</f>
        <v>99.3390375559895</v>
      </c>
      <c r="Z2115" s="3" t="n">
        <f aca="false">(X2115*(V2115/100)*((W2115+T2115)/1000))*1000</f>
        <v>4.54096125</v>
      </c>
    </row>
    <row r="2116" customFormat="false" ht="15" hidden="false" customHeight="false" outlineLevel="0" collapsed="false">
      <c r="A2116" s="0" t="s">
        <v>34</v>
      </c>
      <c r="B2116" s="0" t="s">
        <v>35</v>
      </c>
      <c r="C2116" s="0" t="s">
        <v>28</v>
      </c>
      <c r="D2116" s="0" t="s">
        <v>172</v>
      </c>
      <c r="E2116" s="0" t="n">
        <v>45</v>
      </c>
      <c r="F2116" s="0" t="n">
        <v>1</v>
      </c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0" t="n">
        <v>6</v>
      </c>
      <c r="S2116" s="0" t="n">
        <v>19.6</v>
      </c>
      <c r="T2116" s="0" t="n">
        <f aca="false">(S2116/32)*5</f>
        <v>3.0625</v>
      </c>
      <c r="V2116" s="0" t="n">
        <v>29.5</v>
      </c>
      <c r="W2116" s="0" t="n">
        <v>4</v>
      </c>
      <c r="X2116" s="3" t="n">
        <f aca="false">LOOKUP(V2116,$AB$3:$AC$123)</f>
        <v>1.124625</v>
      </c>
      <c r="Y2116" s="2" t="n">
        <f aca="false">(V2116*((W2116+T2116)/1000)*X2116)/((((W2116+T2116)/1000)*X2116)-((W2116/1000)*0.9982))</f>
        <v>59.3206718348298</v>
      </c>
      <c r="Z2116" s="3" t="n">
        <f aca="false">(X2116*(V2116/100)*((W2116+T2116)/1000))*1000</f>
        <v>2.3430858984375</v>
      </c>
    </row>
    <row r="2117" customFormat="false" ht="15" hidden="false" customHeight="false" outlineLevel="0" collapsed="false">
      <c r="A2117" s="0" t="s">
        <v>36</v>
      </c>
      <c r="B2117" s="0" t="s">
        <v>37</v>
      </c>
      <c r="C2117" s="0" t="s">
        <v>28</v>
      </c>
      <c r="D2117" s="0" t="s">
        <v>172</v>
      </c>
      <c r="E2117" s="0" t="n">
        <v>45</v>
      </c>
      <c r="F2117" s="0" t="n">
        <v>0</v>
      </c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0" t="n">
        <v>3</v>
      </c>
      <c r="S2117" s="0" t="n">
        <v>7.8</v>
      </c>
      <c r="T2117" s="0" t="n">
        <f aca="false">(S2117/32)*5</f>
        <v>1.21875</v>
      </c>
      <c r="V2117" s="0" t="n">
        <v>18.5</v>
      </c>
      <c r="W2117" s="0" t="n">
        <v>4</v>
      </c>
      <c r="X2117" s="3" t="n">
        <f aca="false">LOOKUP(V2117,$AB$3:$AC$123)</f>
        <v>1.07435</v>
      </c>
      <c r="Y2117" s="2" t="n">
        <f aca="false">(V2117*((W2117+T2117)/1000)*X2117)/((((W2117+T2117)/1000)*X2117)-((W2117/1000)*0.9982))</f>
        <v>64.2673139794586</v>
      </c>
      <c r="Z2117" s="3" t="n">
        <f aca="false">(X2117*(V2117/100)*((W2117+T2117)/1000))*1000</f>
        <v>1.0372513515625</v>
      </c>
    </row>
    <row r="2118" customFormat="false" ht="15" hidden="false" customHeight="false" outlineLevel="0" collapsed="false">
      <c r="A2118" s="0" t="s">
        <v>38</v>
      </c>
      <c r="B2118" s="0" t="s">
        <v>39</v>
      </c>
      <c r="C2118" s="0" t="s">
        <v>28</v>
      </c>
      <c r="D2118" s="0" t="s">
        <v>172</v>
      </c>
      <c r="E2118" s="0" t="n">
        <v>45</v>
      </c>
      <c r="F2118" s="0" t="n">
        <v>0</v>
      </c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0" t="n">
        <v>6</v>
      </c>
      <c r="S2118" s="0" t="n">
        <v>18.8</v>
      </c>
      <c r="T2118" s="0" t="n">
        <f aca="false">(S2118/32)*5</f>
        <v>2.9375</v>
      </c>
      <c r="V2118" s="0" t="n">
        <v>38</v>
      </c>
      <c r="W2118" s="0" t="n">
        <v>4</v>
      </c>
      <c r="X2118" s="3" t="n">
        <f aca="false">LOOKUP(V2118,$AB$3:$AC$123)</f>
        <v>1.1663</v>
      </c>
      <c r="Y2118" s="2" t="n">
        <f aca="false">(V2118*((W2118+T2118)/1000)*X2118)/((((W2118+T2118)/1000)*X2118)-((W2118/1000)*0.9982))</f>
        <v>75.0208297432691</v>
      </c>
      <c r="Z2118" s="3" t="n">
        <f aca="false">(X2118*(V2118/100)*((W2118+T2118)/1000))*1000</f>
        <v>3.074658375</v>
      </c>
    </row>
    <row r="2119" customFormat="false" ht="15" hidden="false" customHeight="false" outlineLevel="0" collapsed="false">
      <c r="A2119" s="0" t="s">
        <v>40</v>
      </c>
      <c r="B2119" s="0" t="s">
        <v>41</v>
      </c>
      <c r="C2119" s="0" t="s">
        <v>28</v>
      </c>
      <c r="D2119" s="0" t="s">
        <v>172</v>
      </c>
      <c r="E2119" s="0" t="n">
        <v>45</v>
      </c>
      <c r="F2119" s="0" t="n">
        <v>1</v>
      </c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0" t="n">
        <v>4</v>
      </c>
      <c r="S2119" s="0" t="n">
        <v>1.3</v>
      </c>
      <c r="T2119" s="0" t="n">
        <f aca="false">(S2119/32)*5</f>
        <v>0.203125</v>
      </c>
      <c r="V2119" s="0" t="n">
        <v>17</v>
      </c>
      <c r="W2119" s="0" t="n">
        <v>4</v>
      </c>
      <c r="X2119" s="3" t="n">
        <f aca="false">LOOKUP(V2119,$AB$3:$AC$123)</f>
        <v>1.0678</v>
      </c>
      <c r="Y2119" s="2" t="n">
        <f aca="false">(V2119*((W2119+T2119)/1000)*X2119)/((((W2119+T2119)/1000)*X2119)-((W2119/1000)*0.9982))</f>
        <v>154.04427268999</v>
      </c>
      <c r="Z2119" s="3" t="n">
        <f aca="false">(X2119*(V2119/100)*((W2119+T2119)/1000))*1000</f>
        <v>0.76297646875</v>
      </c>
    </row>
    <row r="2120" customFormat="false" ht="15" hidden="false" customHeight="false" outlineLevel="0" collapsed="false">
      <c r="A2120" s="0" t="s">
        <v>42</v>
      </c>
      <c r="B2120" s="0" t="s">
        <v>43</v>
      </c>
      <c r="C2120" s="0" t="s">
        <v>28</v>
      </c>
      <c r="D2120" s="0" t="s">
        <v>172</v>
      </c>
      <c r="E2120" s="0" t="n">
        <v>45</v>
      </c>
      <c r="F2120" s="0" t="n">
        <v>2</v>
      </c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0" t="n">
        <v>1</v>
      </c>
      <c r="S2120" s="0" t="n">
        <v>5.1</v>
      </c>
      <c r="T2120" s="0" t="n">
        <f aca="false">(S2120/32)*5</f>
        <v>0.796875</v>
      </c>
      <c r="V2120" s="0" t="n">
        <v>19</v>
      </c>
      <c r="W2120" s="0" t="n">
        <v>4</v>
      </c>
      <c r="X2120" s="3" t="n">
        <f aca="false">LOOKUP(V2120,$AB$3:$AC$123)</f>
        <v>1.0765</v>
      </c>
      <c r="Y2120" s="2" t="n">
        <f aca="false">(V2120*((W2120+T2120)/1000)*X2120)/((((W2120+T2120)/1000)*X2120)-((W2120/1000)*0.9982))</f>
        <v>83.7829819484084</v>
      </c>
      <c r="Z2120" s="3" t="n">
        <f aca="false">(X2120*(V2120/100)*((W2120+T2120)/1000))*1000</f>
        <v>0.981128828125</v>
      </c>
    </row>
    <row r="2121" customFormat="false" ht="15" hidden="false" customHeight="false" outlineLevel="0" collapsed="false">
      <c r="A2121" s="0" t="s">
        <v>44</v>
      </c>
      <c r="B2121" s="0" t="s">
        <v>45</v>
      </c>
      <c r="C2121" s="0" t="s">
        <v>28</v>
      </c>
      <c r="D2121" s="0" t="s">
        <v>172</v>
      </c>
      <c r="E2121" s="0" t="n">
        <v>45</v>
      </c>
      <c r="F2121" s="0" t="n">
        <v>0</v>
      </c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0" t="n">
        <v>2</v>
      </c>
      <c r="S2121" s="0" t="n">
        <v>4.5</v>
      </c>
      <c r="T2121" s="0" t="n">
        <f aca="false">(S2121/32)*5</f>
        <v>0.703125</v>
      </c>
      <c r="V2121" s="0" t="n">
        <v>15</v>
      </c>
      <c r="W2121" s="0" t="n">
        <v>4</v>
      </c>
      <c r="X2121" s="3" t="n">
        <f aca="false">LOOKUP(V2121,$AB$3:$AC$123)</f>
        <v>1.0592</v>
      </c>
      <c r="Y2121" s="2" t="n">
        <f aca="false">(V2121*((W2121+T2121)/1000)*X2121)/((((W2121+T2121)/1000)*X2121)-((W2121/1000)*0.9982))</f>
        <v>75.5734513274336</v>
      </c>
      <c r="Z2121" s="3" t="n">
        <f aca="false">(X2121*(V2121/100)*((W2121+T2121)/1000))*1000</f>
        <v>0.7472325</v>
      </c>
    </row>
    <row r="2122" customFormat="false" ht="15" hidden="false" customHeight="false" outlineLevel="0" collapsed="false">
      <c r="A2122" s="0" t="s">
        <v>46</v>
      </c>
      <c r="B2122" s="0" t="s">
        <v>47</v>
      </c>
      <c r="C2122" s="0" t="s">
        <v>28</v>
      </c>
      <c r="D2122" s="0" t="s">
        <v>172</v>
      </c>
      <c r="E2122" s="0" t="n">
        <v>45</v>
      </c>
      <c r="F2122" s="0" t="n">
        <v>2</v>
      </c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0" t="n">
        <v>2</v>
      </c>
      <c r="S2122" s="0" t="n">
        <v>2.6</v>
      </c>
      <c r="T2122" s="0" t="n">
        <f aca="false">(S2122/32)*5</f>
        <v>0.40625</v>
      </c>
      <c r="V2122" s="0" t="n">
        <v>6</v>
      </c>
      <c r="W2122" s="0" t="n">
        <v>4</v>
      </c>
      <c r="X2122" s="3" t="n">
        <f aca="false">LOOKUP(V2122,$AB$3:$AC$123)</f>
        <v>1.0218</v>
      </c>
      <c r="Y2122" s="2" t="n">
        <f aca="false">(V2122*((W2122+T2122)/1000)*X2122)/((((W2122+T2122)/1000)*X2122)-((W2122/1000)*0.9982))</f>
        <v>53.0196391113946</v>
      </c>
      <c r="Z2122" s="3" t="n">
        <f aca="false">(X2122*(V2122/100)*((W2122+T2122)/1000))*1000</f>
        <v>0.270138375</v>
      </c>
    </row>
    <row r="2123" customFormat="false" ht="15" hidden="false" customHeight="false" outlineLevel="0" collapsed="false">
      <c r="A2123" s="0" t="s">
        <v>48</v>
      </c>
      <c r="B2123" s="0" t="s">
        <v>49</v>
      </c>
      <c r="C2123" s="0" t="s">
        <v>28</v>
      </c>
      <c r="D2123" s="0" t="s">
        <v>172</v>
      </c>
      <c r="E2123" s="0" t="n">
        <v>45</v>
      </c>
      <c r="F2123" s="0" t="n">
        <v>0</v>
      </c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0" t="n">
        <v>5</v>
      </c>
      <c r="S2123" s="0" t="n">
        <v>11.9</v>
      </c>
      <c r="T2123" s="0" t="n">
        <f aca="false">(S2123/32)*5</f>
        <v>1.859375</v>
      </c>
      <c r="V2123" s="0" t="n">
        <v>10.5</v>
      </c>
      <c r="W2123" s="0" t="n">
        <v>4</v>
      </c>
      <c r="X2123" s="3" t="n">
        <f aca="false">LOOKUP(V2123,$AB$3:$AC$123)</f>
        <v>1.0402</v>
      </c>
      <c r="Y2123" s="2" t="n">
        <f aca="false">(V2123*((W2123+T2123)/1000)*X2123)/((((W2123+T2123)/1000)*X2123)-((W2123/1000)*0.9982))</f>
        <v>30.443848403176</v>
      </c>
      <c r="Z2123" s="3" t="n">
        <f aca="false">(X2123*(V2123/100)*((W2123+T2123)/1000))*1000</f>
        <v>0.639966796875</v>
      </c>
    </row>
    <row r="2124" customFormat="false" ht="15" hidden="false" customHeight="false" outlineLevel="0" collapsed="false">
      <c r="A2124" s="0" t="s">
        <v>50</v>
      </c>
      <c r="B2124" s="0" t="s">
        <v>51</v>
      </c>
      <c r="C2124" s="0" t="s">
        <v>28</v>
      </c>
      <c r="D2124" s="0" t="s">
        <v>172</v>
      </c>
      <c r="E2124" s="0" t="n">
        <v>45</v>
      </c>
      <c r="F2124" s="0" t="n">
        <v>0</v>
      </c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0" t="n">
        <v>3</v>
      </c>
      <c r="S2124" s="0" t="n">
        <v>4</v>
      </c>
      <c r="T2124" s="0" t="n">
        <f aca="false">(S2124/32)*5</f>
        <v>0.625</v>
      </c>
      <c r="V2124" s="0" t="n">
        <v>17</v>
      </c>
      <c r="W2124" s="0" t="n">
        <v>4</v>
      </c>
      <c r="X2124" s="3" t="n">
        <f aca="false">LOOKUP(V2124,$AB$3:$AC$123)</f>
        <v>1.0678</v>
      </c>
      <c r="Y2124" s="2" t="n">
        <f aca="false">(V2124*((W2124+T2124)/1000)*X2124)/((((W2124+T2124)/1000)*X2124)-((W2124/1000)*0.9982))</f>
        <v>88.769289735931</v>
      </c>
      <c r="Z2124" s="3" t="n">
        <f aca="false">(X2124*(V2124/100)*((W2124+T2124)/1000))*1000</f>
        <v>0.83955775</v>
      </c>
    </row>
    <row r="2125" customFormat="false" ht="15" hidden="false" customHeight="false" outlineLevel="0" collapsed="false">
      <c r="A2125" s="0" t="s">
        <v>52</v>
      </c>
      <c r="B2125" s="0" t="s">
        <v>53</v>
      </c>
      <c r="C2125" s="0" t="s">
        <v>28</v>
      </c>
      <c r="D2125" s="0" t="s">
        <v>172</v>
      </c>
      <c r="E2125" s="0" t="n">
        <v>45</v>
      </c>
      <c r="F2125" s="0" t="n">
        <v>1</v>
      </c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0" t="n">
        <v>1</v>
      </c>
      <c r="S2125" s="0" t="n">
        <v>0.6</v>
      </c>
      <c r="T2125" s="0" t="n">
        <f aca="false">(S2125/32)*5</f>
        <v>0.09375</v>
      </c>
      <c r="V2125" s="0" t="n">
        <v>1.5</v>
      </c>
      <c r="W2125" s="0" t="n">
        <v>4</v>
      </c>
      <c r="X2125" s="3" t="n">
        <f aca="false">LOOKUP(V2125,$AB$3:$AC$123)</f>
        <v>1.00405</v>
      </c>
      <c r="Y2125" s="2" t="n">
        <f aca="false">(V2125*((W2125+T2125)/1000)*X2125)/((((W2125+T2125)/1000)*X2125)-((W2125/1000)*0.9982))</f>
        <v>52.4590396043555</v>
      </c>
      <c r="Z2125" s="3" t="n">
        <f aca="false">(X2125*(V2125/100)*((W2125+T2125)/1000))*1000</f>
        <v>0.0616549453125</v>
      </c>
    </row>
    <row r="2126" customFormat="false" ht="15" hidden="false" customHeight="false" outlineLevel="0" collapsed="false">
      <c r="A2126" s="0" t="s">
        <v>54</v>
      </c>
      <c r="B2126" s="0" t="s">
        <v>55</v>
      </c>
      <c r="C2126" s="0" t="s">
        <v>56</v>
      </c>
      <c r="D2126" s="0" t="s">
        <v>172</v>
      </c>
      <c r="E2126" s="0" t="n">
        <v>45</v>
      </c>
      <c r="F2126" s="0" t="n">
        <v>0</v>
      </c>
      <c r="G2126" s="1"/>
      <c r="H2126" s="1"/>
      <c r="I2126" s="0" t="n">
        <v>0</v>
      </c>
      <c r="J2126" s="0" t="n">
        <f aca="false">(I2126/32)*5</f>
        <v>0</v>
      </c>
      <c r="L2126" s="0" t="n">
        <v>0</v>
      </c>
      <c r="M2126" s="0" t="n">
        <v>0</v>
      </c>
      <c r="N2126" s="0" t="n">
        <f aca="false">L2126</f>
        <v>0</v>
      </c>
      <c r="O2126" s="3" t="n">
        <f aca="false">LOOKUP(L2126,$AB$3:$AC$123)</f>
        <v>0.9982</v>
      </c>
      <c r="P2126" s="3" t="n">
        <f aca="false">(O2126*(N2126/100)*(J2126/1000))*1000</f>
        <v>0</v>
      </c>
      <c r="Q2126" s="3"/>
      <c r="R2126" s="1"/>
      <c r="S2126" s="1"/>
      <c r="T2126" s="1"/>
      <c r="U2126" s="1"/>
      <c r="V2126" s="1"/>
      <c r="W2126" s="1"/>
      <c r="X2126" s="1"/>
      <c r="Y2126" s="5"/>
      <c r="Z2126" s="1"/>
    </row>
    <row r="2127" customFormat="false" ht="15" hidden="false" customHeight="false" outlineLevel="0" collapsed="false">
      <c r="A2127" s="0" t="s">
        <v>57</v>
      </c>
      <c r="B2127" s="0" t="s">
        <v>58</v>
      </c>
      <c r="C2127" s="0" t="s">
        <v>56</v>
      </c>
      <c r="D2127" s="0" t="s">
        <v>172</v>
      </c>
      <c r="E2127" s="0" t="n">
        <v>45</v>
      </c>
      <c r="F2127" s="0" t="n">
        <v>1</v>
      </c>
      <c r="G2127" s="1"/>
      <c r="H2127" s="1"/>
      <c r="I2127" s="0" t="n">
        <f aca="false">31.5+21.3+0.4</f>
        <v>53.2</v>
      </c>
      <c r="J2127" s="0" t="n">
        <f aca="false">(I2127/32)*5</f>
        <v>8.3125</v>
      </c>
      <c r="L2127" s="0" t="n">
        <v>25.5</v>
      </c>
      <c r="M2127" s="0" t="n">
        <v>0</v>
      </c>
      <c r="N2127" s="0" t="n">
        <f aca="false">L2127</f>
        <v>25.5</v>
      </c>
      <c r="O2127" s="3" t="n">
        <f aca="false">LOOKUP(L2127,$AB$3:$AC$123)</f>
        <v>1.105825</v>
      </c>
      <c r="P2127" s="3" t="n">
        <f aca="false">(O2127*(N2127/100)*(J2127/1000))*1000</f>
        <v>2.3440034296875</v>
      </c>
      <c r="Q2127" s="3"/>
      <c r="R2127" s="1"/>
      <c r="S2127" s="1"/>
      <c r="T2127" s="1"/>
      <c r="U2127" s="1"/>
      <c r="V2127" s="1"/>
      <c r="W2127" s="1"/>
      <c r="X2127" s="1"/>
      <c r="Y2127" s="5"/>
      <c r="Z2127" s="1"/>
    </row>
    <row r="2128" customFormat="false" ht="15" hidden="false" customHeight="false" outlineLevel="0" collapsed="false">
      <c r="A2128" s="0" t="s">
        <v>59</v>
      </c>
      <c r="B2128" s="0" t="s">
        <v>60</v>
      </c>
      <c r="C2128" s="0" t="s">
        <v>56</v>
      </c>
      <c r="D2128" s="0" t="s">
        <v>172</v>
      </c>
      <c r="E2128" s="0" t="n">
        <v>45</v>
      </c>
      <c r="F2128" s="0" t="n">
        <v>1</v>
      </c>
      <c r="G2128" s="1"/>
      <c r="H2128" s="1"/>
      <c r="I2128" s="0" t="n">
        <f aca="false">7.5+3.7+2.7</f>
        <v>13.9</v>
      </c>
      <c r="J2128" s="0" t="n">
        <f aca="false">(I2128/32)*5</f>
        <v>2.171875</v>
      </c>
      <c r="L2128" s="0" t="n">
        <v>26</v>
      </c>
      <c r="M2128" s="0" t="n">
        <v>0</v>
      </c>
      <c r="N2128" s="0" t="n">
        <f aca="false">L2128</f>
        <v>26</v>
      </c>
      <c r="O2128" s="3" t="n">
        <f aca="false">LOOKUP(L2128,$AB$3:$AC$123)</f>
        <v>1.1081</v>
      </c>
      <c r="P2128" s="3" t="n">
        <f aca="false">(O2128*(N2128/100)*(J2128/1000))*1000</f>
        <v>0.62573021875</v>
      </c>
      <c r="Q2128" s="3"/>
      <c r="R2128" s="1"/>
      <c r="S2128" s="1"/>
      <c r="T2128" s="1"/>
      <c r="U2128" s="1"/>
      <c r="V2128" s="1"/>
      <c r="W2128" s="1"/>
      <c r="X2128" s="1"/>
      <c r="Y2128" s="5"/>
      <c r="Z2128" s="1"/>
    </row>
    <row r="2129" customFormat="false" ht="15" hidden="false" customHeight="false" outlineLevel="0" collapsed="false">
      <c r="A2129" s="0" t="s">
        <v>61</v>
      </c>
      <c r="B2129" s="0" t="s">
        <v>62</v>
      </c>
      <c r="C2129" s="0" t="s">
        <v>56</v>
      </c>
      <c r="D2129" s="0" t="s">
        <v>172</v>
      </c>
      <c r="E2129" s="0" t="n">
        <v>45</v>
      </c>
      <c r="F2129" s="0" t="n">
        <v>2</v>
      </c>
      <c r="G2129" s="1"/>
      <c r="H2129" s="1"/>
      <c r="I2129" s="0" t="n">
        <f aca="false">31.2+20.9+17+30.1</f>
        <v>99.2</v>
      </c>
      <c r="J2129" s="0" t="n">
        <f aca="false">(I2129/32)*5</f>
        <v>15.5</v>
      </c>
      <c r="L2129" s="0" t="n">
        <v>26.5</v>
      </c>
      <c r="M2129" s="0" t="n">
        <v>0</v>
      </c>
      <c r="N2129" s="0" t="n">
        <f aca="false">L2129</f>
        <v>26.5</v>
      </c>
      <c r="O2129" s="3" t="n">
        <f aca="false">LOOKUP(L2129,$AB$3:$AC$123)</f>
        <v>1.11045</v>
      </c>
      <c r="P2129" s="3" t="n">
        <f aca="false">(O2129*(N2129/100)*(J2129/1000))*1000</f>
        <v>4.561173375</v>
      </c>
      <c r="Q2129" s="3"/>
      <c r="R2129" s="1"/>
      <c r="S2129" s="1"/>
      <c r="T2129" s="1"/>
      <c r="U2129" s="1"/>
      <c r="V2129" s="1"/>
      <c r="W2129" s="1"/>
      <c r="X2129" s="1"/>
      <c r="Y2129" s="5"/>
      <c r="Z2129" s="1"/>
    </row>
    <row r="2130" customFormat="false" ht="15" hidden="false" customHeight="false" outlineLevel="0" collapsed="false">
      <c r="A2130" s="0" t="s">
        <v>63</v>
      </c>
      <c r="B2130" s="0" t="s">
        <v>64</v>
      </c>
      <c r="C2130" s="0" t="s">
        <v>56</v>
      </c>
      <c r="D2130" s="0" t="s">
        <v>172</v>
      </c>
      <c r="E2130" s="0" t="n">
        <v>45</v>
      </c>
      <c r="F2130" s="0" t="n">
        <v>0</v>
      </c>
      <c r="G2130" s="1"/>
      <c r="H2130" s="1"/>
      <c r="I2130" s="0" t="n">
        <v>0</v>
      </c>
      <c r="J2130" s="0" t="n">
        <f aca="false">(I2130/32)*5</f>
        <v>0</v>
      </c>
      <c r="L2130" s="0" t="n">
        <v>0</v>
      </c>
      <c r="M2130" s="0" t="n">
        <v>0</v>
      </c>
      <c r="N2130" s="0" t="n">
        <f aca="false">L2130</f>
        <v>0</v>
      </c>
      <c r="O2130" s="3" t="n">
        <f aca="false">LOOKUP(L2130,$AB$3:$AC$123)</f>
        <v>0.9982</v>
      </c>
      <c r="P2130" s="3" t="n">
        <f aca="false">(O2130*(N2130/100)*(J2130/1000))*1000</f>
        <v>0</v>
      </c>
      <c r="Q2130" s="3"/>
      <c r="R2130" s="1"/>
      <c r="S2130" s="1"/>
      <c r="T2130" s="1"/>
      <c r="U2130" s="1"/>
      <c r="V2130" s="1"/>
      <c r="W2130" s="1"/>
      <c r="X2130" s="1"/>
      <c r="Y2130" s="5"/>
      <c r="Z2130" s="1"/>
    </row>
    <row r="2131" customFormat="false" ht="15" hidden="false" customHeight="false" outlineLevel="0" collapsed="false">
      <c r="A2131" s="0" t="s">
        <v>65</v>
      </c>
      <c r="B2131" s="0" t="s">
        <v>66</v>
      </c>
      <c r="C2131" s="0" t="s">
        <v>56</v>
      </c>
      <c r="D2131" s="0" t="s">
        <v>172</v>
      </c>
      <c r="E2131" s="0" t="n">
        <v>45</v>
      </c>
      <c r="F2131" s="0" t="n">
        <v>3</v>
      </c>
      <c r="G2131" s="1"/>
      <c r="H2131" s="1"/>
      <c r="I2131" s="0" t="n">
        <f aca="false">22.4+11.1+27+26.1</f>
        <v>86.6</v>
      </c>
      <c r="J2131" s="0" t="n">
        <f aca="false">(I2131/32)*5</f>
        <v>13.53125</v>
      </c>
      <c r="L2131" s="0" t="n">
        <v>15.5</v>
      </c>
      <c r="M2131" s="0" t="n">
        <v>0</v>
      </c>
      <c r="N2131" s="0" t="n">
        <f aca="false">L2131</f>
        <v>15.5</v>
      </c>
      <c r="O2131" s="3" t="n">
        <f aca="false">LOOKUP(L2131,$AB$3:$AC$123)</f>
        <v>1.06135</v>
      </c>
      <c r="P2131" s="3" t="n">
        <f aca="false">(O2131*(N2131/100)*(J2131/1000))*1000</f>
        <v>2.2260157890625</v>
      </c>
      <c r="Q2131" s="3"/>
      <c r="R2131" s="1"/>
      <c r="S2131" s="1"/>
      <c r="T2131" s="1"/>
      <c r="U2131" s="1"/>
      <c r="V2131" s="1"/>
      <c r="W2131" s="1"/>
      <c r="X2131" s="1"/>
      <c r="Y2131" s="5"/>
      <c r="Z2131" s="1"/>
    </row>
    <row r="2132" customFormat="false" ht="15" hidden="false" customHeight="false" outlineLevel="0" collapsed="false">
      <c r="A2132" s="0" t="s">
        <v>67</v>
      </c>
      <c r="B2132" s="0" t="s">
        <v>68</v>
      </c>
      <c r="C2132" s="0" t="s">
        <v>56</v>
      </c>
      <c r="D2132" s="0" t="s">
        <v>172</v>
      </c>
      <c r="E2132" s="0" t="n">
        <v>45</v>
      </c>
      <c r="F2132" s="0" t="n">
        <v>2</v>
      </c>
      <c r="G2132" s="1"/>
      <c r="H2132" s="1"/>
      <c r="I2132" s="0" t="n">
        <f aca="false">30.1+29.3+16.8+29.8</f>
        <v>106</v>
      </c>
      <c r="J2132" s="0" t="n">
        <f aca="false">(I2132/32)*5</f>
        <v>16.5625</v>
      </c>
      <c r="L2132" s="0" t="n">
        <v>26</v>
      </c>
      <c r="M2132" s="0" t="n">
        <v>0</v>
      </c>
      <c r="N2132" s="0" t="n">
        <f aca="false">L2132</f>
        <v>26</v>
      </c>
      <c r="O2132" s="3" t="n">
        <f aca="false">LOOKUP(L2132,$AB$3:$AC$123)</f>
        <v>1.1081</v>
      </c>
      <c r="P2132" s="3" t="n">
        <f aca="false">(O2132*(N2132/100)*(J2132/1000))*1000</f>
        <v>4.771755625</v>
      </c>
      <c r="Q2132" s="3"/>
      <c r="R2132" s="1"/>
      <c r="S2132" s="1"/>
      <c r="T2132" s="1"/>
      <c r="U2132" s="1"/>
      <c r="V2132" s="1"/>
      <c r="W2132" s="1"/>
      <c r="X2132" s="1"/>
      <c r="Y2132" s="5"/>
      <c r="Z2132" s="1"/>
    </row>
    <row r="2133" customFormat="false" ht="15" hidden="false" customHeight="false" outlineLevel="0" collapsed="false">
      <c r="A2133" s="0" t="s">
        <v>69</v>
      </c>
      <c r="B2133" s="0" t="s">
        <v>70</v>
      </c>
      <c r="C2133" s="0" t="s">
        <v>56</v>
      </c>
      <c r="D2133" s="0" t="s">
        <v>172</v>
      </c>
      <c r="E2133" s="0" t="n">
        <v>45</v>
      </c>
      <c r="F2133" s="0" t="n">
        <v>0</v>
      </c>
      <c r="G2133" s="1"/>
      <c r="H2133" s="1"/>
      <c r="I2133" s="0" t="n">
        <v>0</v>
      </c>
      <c r="J2133" s="0" t="n">
        <f aca="false">(I2133/32)*5</f>
        <v>0</v>
      </c>
      <c r="L2133" s="0" t="n">
        <v>0</v>
      </c>
      <c r="M2133" s="0" t="n">
        <v>0</v>
      </c>
      <c r="N2133" s="0" t="n">
        <f aca="false">L2133</f>
        <v>0</v>
      </c>
      <c r="O2133" s="3" t="n">
        <f aca="false">LOOKUP(L2133,$AB$3:$AC$123)</f>
        <v>0.9982</v>
      </c>
      <c r="P2133" s="3" t="n">
        <f aca="false">(O2133*(N2133/100)*(J2133/1000))*1000</f>
        <v>0</v>
      </c>
      <c r="Q2133" s="3"/>
      <c r="R2133" s="1"/>
      <c r="S2133" s="1"/>
      <c r="T2133" s="1"/>
      <c r="U2133" s="1"/>
      <c r="V2133" s="1"/>
      <c r="W2133" s="1"/>
      <c r="X2133" s="1"/>
      <c r="Y2133" s="5"/>
      <c r="Z2133" s="1"/>
    </row>
    <row r="2134" customFormat="false" ht="15" hidden="false" customHeight="false" outlineLevel="0" collapsed="false">
      <c r="A2134" s="0" t="s">
        <v>71</v>
      </c>
      <c r="B2134" s="0" t="s">
        <v>72</v>
      </c>
      <c r="C2134" s="0" t="s">
        <v>56</v>
      </c>
      <c r="D2134" s="0" t="s">
        <v>172</v>
      </c>
      <c r="E2134" s="0" t="n">
        <v>45</v>
      </c>
      <c r="F2134" s="0" t="n">
        <v>1</v>
      </c>
      <c r="G2134" s="1"/>
      <c r="H2134" s="1"/>
      <c r="I2134" s="0" t="n">
        <f aca="false">28.2+13.8</f>
        <v>42</v>
      </c>
      <c r="J2134" s="0" t="n">
        <f aca="false">(I2134/32)*5</f>
        <v>6.5625</v>
      </c>
      <c r="L2134" s="0" t="n">
        <v>21.5</v>
      </c>
      <c r="M2134" s="0" t="n">
        <v>0</v>
      </c>
      <c r="N2134" s="0" t="n">
        <f aca="false">L2134</f>
        <v>21.5</v>
      </c>
      <c r="O2134" s="3" t="n">
        <f aca="false">LOOKUP(L2134,$AB$3:$AC$123)</f>
        <v>1.087675</v>
      </c>
      <c r="P2134" s="3" t="n">
        <f aca="false">(O2134*(N2134/100)*(J2134/1000))*1000</f>
        <v>1.5346414453125</v>
      </c>
      <c r="Q2134" s="3"/>
      <c r="R2134" s="1"/>
      <c r="S2134" s="1"/>
      <c r="T2134" s="1"/>
      <c r="U2134" s="1"/>
      <c r="V2134" s="1"/>
      <c r="W2134" s="1"/>
      <c r="X2134" s="1"/>
      <c r="Y2134" s="5"/>
      <c r="Z2134" s="1"/>
    </row>
    <row r="2135" customFormat="false" ht="15" hidden="false" customHeight="false" outlineLevel="0" collapsed="false">
      <c r="A2135" s="0" t="s">
        <v>73</v>
      </c>
      <c r="B2135" s="0" t="s">
        <v>74</v>
      </c>
      <c r="C2135" s="0" t="s">
        <v>56</v>
      </c>
      <c r="D2135" s="0" t="s">
        <v>172</v>
      </c>
      <c r="E2135" s="0" t="n">
        <v>45</v>
      </c>
      <c r="F2135" s="0" t="n">
        <v>0</v>
      </c>
      <c r="G2135" s="1"/>
      <c r="H2135" s="1"/>
      <c r="I2135" s="0" t="n">
        <v>0</v>
      </c>
      <c r="J2135" s="0" t="n">
        <f aca="false">(I2135/32)*5</f>
        <v>0</v>
      </c>
      <c r="L2135" s="0" t="n">
        <v>0</v>
      </c>
      <c r="M2135" s="0" t="n">
        <v>0</v>
      </c>
      <c r="N2135" s="0" t="n">
        <f aca="false">L2135</f>
        <v>0</v>
      </c>
      <c r="O2135" s="3" t="n">
        <f aca="false">LOOKUP(L2135,$AB$3:$AC$123)</f>
        <v>0.9982</v>
      </c>
      <c r="P2135" s="3" t="n">
        <f aca="false">(O2135*(N2135/100)*(J2135/1000))*1000</f>
        <v>0</v>
      </c>
      <c r="Q2135" s="3"/>
      <c r="R2135" s="1"/>
      <c r="S2135" s="1"/>
      <c r="T2135" s="1"/>
      <c r="U2135" s="1"/>
      <c r="V2135" s="1"/>
      <c r="W2135" s="1"/>
      <c r="X2135" s="1"/>
      <c r="Y2135" s="5"/>
      <c r="Z2135" s="1"/>
    </row>
    <row r="2136" customFormat="false" ht="15" hidden="false" customHeight="false" outlineLevel="0" collapsed="false">
      <c r="A2136" s="0" t="s">
        <v>75</v>
      </c>
      <c r="B2136" s="0" t="s">
        <v>76</v>
      </c>
      <c r="C2136" s="0" t="s">
        <v>56</v>
      </c>
      <c r="D2136" s="0" t="s">
        <v>172</v>
      </c>
      <c r="E2136" s="0" t="n">
        <v>45</v>
      </c>
      <c r="F2136" s="0" t="n">
        <v>1</v>
      </c>
      <c r="G2136" s="1"/>
      <c r="H2136" s="1"/>
      <c r="I2136" s="0" t="n">
        <v>20.1</v>
      </c>
      <c r="J2136" s="0" t="n">
        <f aca="false">(I2136/32)*5</f>
        <v>3.140625</v>
      </c>
      <c r="L2136" s="0" t="n">
        <v>30</v>
      </c>
      <c r="M2136" s="0" t="n">
        <v>0</v>
      </c>
      <c r="N2136" s="0" t="n">
        <f aca="false">L2136</f>
        <v>30</v>
      </c>
      <c r="O2136" s="3" t="n">
        <f aca="false">LOOKUP(L2136,$AB$3:$AC$123)</f>
        <v>1.127</v>
      </c>
      <c r="P2136" s="3" t="n">
        <f aca="false">(O2136*(N2136/100)*(J2136/1000))*1000</f>
        <v>1.0618453125</v>
      </c>
      <c r="Q2136" s="3"/>
      <c r="R2136" s="1"/>
      <c r="S2136" s="1"/>
      <c r="T2136" s="1"/>
      <c r="U2136" s="1"/>
      <c r="V2136" s="1"/>
      <c r="W2136" s="1"/>
      <c r="X2136" s="1"/>
      <c r="Y2136" s="5"/>
      <c r="Z2136" s="1"/>
    </row>
    <row r="2137" customFormat="false" ht="15" hidden="false" customHeight="false" outlineLevel="0" collapsed="false">
      <c r="A2137" s="0" t="s">
        <v>77</v>
      </c>
      <c r="B2137" s="0" t="s">
        <v>78</v>
      </c>
      <c r="C2137" s="0" t="s">
        <v>56</v>
      </c>
      <c r="D2137" s="0" t="s">
        <v>172</v>
      </c>
      <c r="E2137" s="0" t="n">
        <v>45</v>
      </c>
      <c r="F2137" s="0" t="n">
        <v>1</v>
      </c>
      <c r="G2137" s="1"/>
      <c r="H2137" s="1"/>
      <c r="I2137" s="0" t="n">
        <f aca="false">10.1+25.8</f>
        <v>35.9</v>
      </c>
      <c r="J2137" s="0" t="n">
        <f aca="false">(I2137/32)*5</f>
        <v>5.609375</v>
      </c>
      <c r="L2137" s="0" t="n">
        <v>15.5</v>
      </c>
      <c r="M2137" s="0" t="n">
        <v>0</v>
      </c>
      <c r="N2137" s="0" t="n">
        <f aca="false">L2137</f>
        <v>15.5</v>
      </c>
      <c r="O2137" s="3" t="n">
        <f aca="false">LOOKUP(L2137,$AB$3:$AC$123)</f>
        <v>1.06135</v>
      </c>
      <c r="P2137" s="3" t="n">
        <f aca="false">(O2137*(N2137/100)*(J2137/1000))*1000</f>
        <v>0.92279407421875</v>
      </c>
      <c r="Q2137" s="3"/>
      <c r="R2137" s="1"/>
      <c r="S2137" s="1"/>
      <c r="T2137" s="1"/>
      <c r="U2137" s="1"/>
      <c r="V2137" s="1"/>
      <c r="W2137" s="1"/>
      <c r="X2137" s="1"/>
      <c r="Y2137" s="5"/>
      <c r="Z2137" s="1"/>
    </row>
    <row r="2138" customFormat="false" ht="15" hidden="false" customHeight="false" outlineLevel="0" collapsed="false">
      <c r="A2138" s="0" t="s">
        <v>79</v>
      </c>
      <c r="B2138" s="0" t="s">
        <v>80</v>
      </c>
      <c r="C2138" s="0" t="s">
        <v>81</v>
      </c>
      <c r="D2138" s="0" t="s">
        <v>172</v>
      </c>
      <c r="E2138" s="0" t="n">
        <v>45</v>
      </c>
      <c r="F2138" s="0" t="n">
        <v>2</v>
      </c>
      <c r="G2138" s="1"/>
      <c r="H2138" s="1"/>
      <c r="I2138" s="0" t="n">
        <f aca="false">13.9+30.1+26.1+20.9</f>
        <v>91</v>
      </c>
      <c r="J2138" s="0" t="n">
        <f aca="false">(I2138/32)*5</f>
        <v>14.21875</v>
      </c>
      <c r="L2138" s="0" t="n">
        <v>27.5</v>
      </c>
      <c r="M2138" s="0" t="n">
        <v>0</v>
      </c>
      <c r="N2138" s="0" t="n">
        <f aca="false">L2138</f>
        <v>27.5</v>
      </c>
      <c r="O2138" s="3" t="n">
        <f aca="false">LOOKUP(L2138,$AB$3:$AC$123)</f>
        <v>1.11515</v>
      </c>
      <c r="P2138" s="3" t="n">
        <f aca="false">(O2138*(N2138/100)*(J2138/1000))*1000</f>
        <v>4.3604107421875</v>
      </c>
      <c r="Q2138" s="3"/>
      <c r="R2138" s="0" t="n">
        <v>4</v>
      </c>
      <c r="S2138" s="0" t="n">
        <v>5.7</v>
      </c>
      <c r="T2138" s="0" t="n">
        <f aca="false">(S2138/32)*5</f>
        <v>0.890625</v>
      </c>
      <c r="V2138" s="0" t="n">
        <v>10</v>
      </c>
      <c r="W2138" s="0" t="n">
        <v>4</v>
      </c>
      <c r="X2138" s="3" t="n">
        <f aca="false">LOOKUP(V2138,$AB$3:$AC$123)</f>
        <v>1.0381</v>
      </c>
      <c r="Y2138" s="2" t="n">
        <f aca="false">(V2138*((W2138+T2138)/1000)*X2138)/((((W2138+T2138)/1000)*X2138)-((W2138/1000)*0.9982))</f>
        <v>46.8285867054065</v>
      </c>
      <c r="Z2138" s="3" t="n">
        <f aca="false">(X2138*(V2138/100)*((W2138+T2138)/1000))*1000</f>
        <v>0.50769578125</v>
      </c>
    </row>
    <row r="2139" customFormat="false" ht="15" hidden="false" customHeight="false" outlineLevel="0" collapsed="false">
      <c r="A2139" s="0" t="s">
        <v>82</v>
      </c>
      <c r="B2139" s="0" t="s">
        <v>83</v>
      </c>
      <c r="C2139" s="0" t="s">
        <v>81</v>
      </c>
      <c r="D2139" s="0" t="s">
        <v>172</v>
      </c>
      <c r="E2139" s="0" t="n">
        <v>45</v>
      </c>
      <c r="F2139" s="0" t="n">
        <v>0</v>
      </c>
      <c r="G2139" s="1"/>
      <c r="H2139" s="1"/>
      <c r="I2139" s="0" t="n">
        <v>0</v>
      </c>
      <c r="J2139" s="0" t="n">
        <f aca="false">(I2139/32)*5</f>
        <v>0</v>
      </c>
      <c r="L2139" s="0" t="n">
        <v>0</v>
      </c>
      <c r="M2139" s="0" t="n">
        <v>0</v>
      </c>
      <c r="N2139" s="0" t="n">
        <f aca="false">L2139</f>
        <v>0</v>
      </c>
      <c r="O2139" s="3" t="n">
        <f aca="false">LOOKUP(L2139,$AB$3:$AC$123)</f>
        <v>0.9982</v>
      </c>
      <c r="P2139" s="3" t="n">
        <f aca="false">(O2139*(N2139/100)*(J2139/1000))*1000</f>
        <v>0</v>
      </c>
      <c r="Q2139" s="3"/>
      <c r="R2139" s="0" t="n">
        <v>3</v>
      </c>
      <c r="S2139" s="0" t="n">
        <v>4.6</v>
      </c>
      <c r="T2139" s="0" t="n">
        <f aca="false">(S2139/32)*5</f>
        <v>0.71875</v>
      </c>
      <c r="V2139" s="0" t="n">
        <v>11.5</v>
      </c>
      <c r="W2139" s="0" t="n">
        <v>4</v>
      </c>
      <c r="X2139" s="3" t="n">
        <f aca="false">LOOKUP(V2139,$AB$3:$AC$123)</f>
        <v>1.0444</v>
      </c>
      <c r="Y2139" s="2" t="n">
        <f aca="false">(V2139*((W2139+T2139)/1000)*X2139)/((((W2139+T2139)/1000)*X2139)-((W2139/1000)*0.9982))</f>
        <v>60.5850247872042</v>
      </c>
      <c r="Z2139" s="3" t="n">
        <f aca="false">(X2139*(V2139/100)*((W2139+T2139)/1000))*1000</f>
        <v>0.5667501875</v>
      </c>
    </row>
    <row r="2140" customFormat="false" ht="15" hidden="false" customHeight="false" outlineLevel="0" collapsed="false">
      <c r="A2140" s="0" t="s">
        <v>84</v>
      </c>
      <c r="B2140" s="0" t="s">
        <v>85</v>
      </c>
      <c r="C2140" s="0" t="s">
        <v>81</v>
      </c>
      <c r="D2140" s="0" t="s">
        <v>172</v>
      </c>
      <c r="E2140" s="0" t="n">
        <v>45</v>
      </c>
      <c r="F2140" s="0" t="n">
        <v>0</v>
      </c>
      <c r="G2140" s="1"/>
      <c r="H2140" s="1"/>
      <c r="I2140" s="0" t="n">
        <v>0</v>
      </c>
      <c r="J2140" s="0" t="n">
        <f aca="false">(I2140/32)*5</f>
        <v>0</v>
      </c>
      <c r="L2140" s="0" t="n">
        <v>0</v>
      </c>
      <c r="M2140" s="0" t="n">
        <v>0</v>
      </c>
      <c r="N2140" s="0" t="n">
        <f aca="false">L2140</f>
        <v>0</v>
      </c>
      <c r="O2140" s="3" t="n">
        <f aca="false">LOOKUP(L2140,$AB$3:$AC$123)</f>
        <v>0.9982</v>
      </c>
      <c r="P2140" s="3" t="n">
        <f aca="false">(O2140*(N2140/100)*(J2140/1000))*1000</f>
        <v>0</v>
      </c>
      <c r="Q2140" s="3"/>
      <c r="R2140" s="0" t="n">
        <v>4</v>
      </c>
      <c r="S2140" s="0" t="n">
        <v>6.9</v>
      </c>
      <c r="T2140" s="0" t="n">
        <f aca="false">(S2140/32)*5</f>
        <v>1.078125</v>
      </c>
      <c r="V2140" s="0" t="n">
        <v>15</v>
      </c>
      <c r="W2140" s="0" t="n">
        <v>4</v>
      </c>
      <c r="X2140" s="3" t="n">
        <f aca="false">LOOKUP(V2140,$AB$3:$AC$123)</f>
        <v>1.0592</v>
      </c>
      <c r="Y2140" s="2" t="n">
        <f aca="false">(V2140*((W2140+T2140)/1000)*X2140)/((((W2140+T2140)/1000)*X2140)-((W2140/1000)*0.9982))</f>
        <v>58.2136801471914</v>
      </c>
      <c r="Z2140" s="3" t="n">
        <f aca="false">(X2140*(V2140/100)*((W2140+T2140)/1000))*1000</f>
        <v>0.8068125</v>
      </c>
    </row>
    <row r="2141" customFormat="false" ht="15" hidden="false" customHeight="false" outlineLevel="0" collapsed="false">
      <c r="A2141" s="0" t="s">
        <v>86</v>
      </c>
      <c r="B2141" s="0" t="s">
        <v>87</v>
      </c>
      <c r="C2141" s="0" t="s">
        <v>81</v>
      </c>
      <c r="D2141" s="0" t="s">
        <v>172</v>
      </c>
      <c r="E2141" s="0" t="n">
        <v>45</v>
      </c>
      <c r="F2141" s="0" t="n">
        <v>1</v>
      </c>
      <c r="G2141" s="1"/>
      <c r="H2141" s="1"/>
      <c r="I2141" s="0" t="n">
        <f aca="false">11.9+5.8+30.2</f>
        <v>47.9</v>
      </c>
      <c r="J2141" s="0" t="n">
        <f aca="false">(I2141/32)*5</f>
        <v>7.484375</v>
      </c>
      <c r="L2141" s="0" t="n">
        <v>24</v>
      </c>
      <c r="M2141" s="0" t="n">
        <v>0</v>
      </c>
      <c r="N2141" s="0" t="n">
        <f aca="false">L2141</f>
        <v>24</v>
      </c>
      <c r="O2141" s="3" t="n">
        <f aca="false">LOOKUP(L2141,$AB$3:$AC$123)</f>
        <v>1.099</v>
      </c>
      <c r="P2141" s="3" t="n">
        <f aca="false">(O2141*(N2141/100)*(J2141/1000))*1000</f>
        <v>1.97407875</v>
      </c>
      <c r="Q2141" s="3"/>
      <c r="R2141" s="0" t="n">
        <v>3</v>
      </c>
      <c r="S2141" s="0" t="n">
        <v>6.1</v>
      </c>
      <c r="T2141" s="0" t="n">
        <f aca="false">(S2141/32)*5</f>
        <v>0.953125</v>
      </c>
      <c r="V2141" s="0" t="n">
        <v>14.5</v>
      </c>
      <c r="W2141" s="0" t="n">
        <v>4</v>
      </c>
      <c r="X2141" s="3" t="n">
        <f aca="false">LOOKUP(V2141,$AB$3:$AC$123)</f>
        <v>1.05705</v>
      </c>
      <c r="Y2141" s="2" t="n">
        <f aca="false">(V2141*((W2141+T2141)/1000)*X2141)/((((W2141+T2141)/1000)*X2141)-((W2141/1000)*0.9982))</f>
        <v>61.081031143752</v>
      </c>
      <c r="Z2141" s="3" t="n">
        <f aca="false">(X2141*(V2141/100)*((W2141+T2141)/1000))*1000</f>
        <v>0.75917661328125</v>
      </c>
    </row>
    <row r="2142" customFormat="false" ht="15" hidden="false" customHeight="false" outlineLevel="0" collapsed="false">
      <c r="A2142" s="0" t="s">
        <v>88</v>
      </c>
      <c r="B2142" s="0" t="s">
        <v>89</v>
      </c>
      <c r="C2142" s="0" t="s">
        <v>81</v>
      </c>
      <c r="D2142" s="0" t="s">
        <v>172</v>
      </c>
      <c r="E2142" s="0" t="n">
        <v>45</v>
      </c>
      <c r="F2142" s="0" t="n">
        <v>2</v>
      </c>
      <c r="G2142" s="1"/>
      <c r="H2142" s="1"/>
      <c r="I2142" s="0" t="n">
        <f aca="false">29.9+30+7.7</f>
        <v>67.6</v>
      </c>
      <c r="J2142" s="0" t="n">
        <f aca="false">(I2142/32)*5</f>
        <v>10.5625</v>
      </c>
      <c r="L2142" s="0" t="n">
        <v>16.5</v>
      </c>
      <c r="M2142" s="0" t="n">
        <v>0</v>
      </c>
      <c r="N2142" s="0" t="n">
        <f aca="false">L2142</f>
        <v>16.5</v>
      </c>
      <c r="O2142" s="3" t="n">
        <f aca="false">LOOKUP(L2142,$AB$3:$AC$123)</f>
        <v>1.06565</v>
      </c>
      <c r="P2142" s="3" t="n">
        <f aca="false">(O2142*(N2142/100)*(J2142/1000))*1000</f>
        <v>1.857228140625</v>
      </c>
      <c r="Q2142" s="3"/>
      <c r="R2142" s="0" t="n">
        <v>4</v>
      </c>
      <c r="S2142" s="0" t="n">
        <v>7.7</v>
      </c>
      <c r="T2142" s="0" t="n">
        <f aca="false">(S2142/32)*5</f>
        <v>1.203125</v>
      </c>
      <c r="V2142" s="0" t="n">
        <v>6.5</v>
      </c>
      <c r="W2142" s="0" t="n">
        <v>4</v>
      </c>
      <c r="X2142" s="3" t="n">
        <f aca="false">LOOKUP(V2142,$AB$3:$AC$123)</f>
        <v>1.02385</v>
      </c>
      <c r="Y2142" s="2" t="n">
        <f aca="false">(V2142*((W2142+T2142)/1000)*X2142)/((((W2142+T2142)/1000)*X2142)-((W2142/1000)*0.9982))</f>
        <v>25.9490558570352</v>
      </c>
      <c r="Z2142" s="3" t="n">
        <f aca="false">(X2142*(V2142/100)*((W2142+T2142)/1000))*1000</f>
        <v>0.34626926953125</v>
      </c>
    </row>
    <row r="2143" customFormat="false" ht="15" hidden="false" customHeight="false" outlineLevel="0" collapsed="false">
      <c r="A2143" s="0" t="s">
        <v>90</v>
      </c>
      <c r="B2143" s="0" t="s">
        <v>91</v>
      </c>
      <c r="C2143" s="0" t="s">
        <v>81</v>
      </c>
      <c r="D2143" s="0" t="s">
        <v>172</v>
      </c>
      <c r="E2143" s="0" t="n">
        <v>45</v>
      </c>
      <c r="F2143" s="0" t="n">
        <v>3</v>
      </c>
      <c r="G2143" s="1"/>
      <c r="H2143" s="1"/>
      <c r="I2143" s="0" t="n">
        <f aca="false">13+29.2+28.4+24.4+30.8</f>
        <v>125.8</v>
      </c>
      <c r="J2143" s="0" t="n">
        <f aca="false">(I2143/32)*5</f>
        <v>19.65625</v>
      </c>
      <c r="L2143" s="0" t="n">
        <v>23</v>
      </c>
      <c r="M2143" s="0" t="n">
        <v>0</v>
      </c>
      <c r="N2143" s="0" t="n">
        <f aca="false">L2143</f>
        <v>23</v>
      </c>
      <c r="O2143" s="3" t="n">
        <f aca="false">LOOKUP(L2143,$AB$3:$AC$123)</f>
        <v>1.09445</v>
      </c>
      <c r="P2143" s="3" t="n">
        <f aca="false">(O2143*(N2143/100)*(J2143/1000))*1000</f>
        <v>4.947940046875</v>
      </c>
      <c r="Q2143" s="3"/>
      <c r="R2143" s="0" t="n">
        <v>5</v>
      </c>
      <c r="S2143" s="0" t="n">
        <v>12.4</v>
      </c>
      <c r="T2143" s="0" t="n">
        <f aca="false">(S2143/32)*5</f>
        <v>1.9375</v>
      </c>
      <c r="V2143" s="0" t="n">
        <v>17</v>
      </c>
      <c r="W2143" s="0" t="n">
        <v>4</v>
      </c>
      <c r="X2143" s="3" t="n">
        <f aca="false">LOOKUP(V2143,$AB$3:$AC$123)</f>
        <v>1.0678</v>
      </c>
      <c r="Y2143" s="2" t="n">
        <f aca="false">(V2143*((W2143+T2143)/1000)*X2143)/((((W2143+T2143)/1000)*X2143)-((W2143/1000)*0.9982))</f>
        <v>45.9177712335114</v>
      </c>
      <c r="Z2143" s="3" t="n">
        <f aca="false">(X2143*(V2143/100)*((W2143+T2143)/1000))*1000</f>
        <v>1.077810625</v>
      </c>
    </row>
    <row r="2144" customFormat="false" ht="15" hidden="false" customHeight="false" outlineLevel="0" collapsed="false">
      <c r="A2144" s="0" t="s">
        <v>92</v>
      </c>
      <c r="B2144" s="0" t="s">
        <v>93</v>
      </c>
      <c r="C2144" s="0" t="s">
        <v>81</v>
      </c>
      <c r="D2144" s="0" t="s">
        <v>172</v>
      </c>
      <c r="E2144" s="0" t="n">
        <v>45</v>
      </c>
      <c r="F2144" s="0" t="n">
        <v>0</v>
      </c>
      <c r="G2144" s="1"/>
      <c r="H2144" s="1"/>
      <c r="I2144" s="0" t="n">
        <v>0</v>
      </c>
      <c r="J2144" s="0" t="n">
        <f aca="false">(I2144/32)*5</f>
        <v>0</v>
      </c>
      <c r="L2144" s="0" t="n">
        <v>0</v>
      </c>
      <c r="M2144" s="0" t="n">
        <v>0</v>
      </c>
      <c r="N2144" s="0" t="n">
        <f aca="false">L2144</f>
        <v>0</v>
      </c>
      <c r="O2144" s="3" t="n">
        <f aca="false">LOOKUP(L2144,$AB$3:$AC$123)</f>
        <v>0.9982</v>
      </c>
      <c r="P2144" s="3" t="n">
        <f aca="false">(O2144*(N2144/100)*(J2144/1000))*1000</f>
        <v>0</v>
      </c>
      <c r="Q2144" s="3"/>
      <c r="R2144" s="0" t="n">
        <v>3</v>
      </c>
      <c r="S2144" s="0" t="n">
        <v>3.6</v>
      </c>
      <c r="T2144" s="0" t="n">
        <f aca="false">(S2144/32)*5</f>
        <v>0.5625</v>
      </c>
      <c r="V2144" s="0" t="n">
        <v>9</v>
      </c>
      <c r="W2144" s="0" t="n">
        <v>4</v>
      </c>
      <c r="X2144" s="3" t="n">
        <f aca="false">LOOKUP(V2144,$AB$3:$AC$123)</f>
        <v>1.0341</v>
      </c>
      <c r="Y2144" s="2" t="n">
        <f aca="false">(V2144*((W2144+T2144)/1000)*X2144)/((((W2144+T2144)/1000)*X2144)-((W2144/1000)*0.9982))</f>
        <v>58.5465724503426</v>
      </c>
      <c r="Z2144" s="3" t="n">
        <f aca="false">(X2144*(V2144/100)*((W2144+T2144)/1000))*1000</f>
        <v>0.4246273125</v>
      </c>
    </row>
    <row r="2145" customFormat="false" ht="15" hidden="false" customHeight="false" outlineLevel="0" collapsed="false">
      <c r="A2145" s="0" t="s">
        <v>94</v>
      </c>
      <c r="B2145" s="0" t="s">
        <v>95</v>
      </c>
      <c r="C2145" s="0" t="s">
        <v>81</v>
      </c>
      <c r="D2145" s="0" t="s">
        <v>172</v>
      </c>
      <c r="E2145" s="0" t="n">
        <v>45</v>
      </c>
      <c r="F2145" s="0" t="n">
        <v>1</v>
      </c>
      <c r="G2145" s="1"/>
      <c r="H2145" s="1"/>
      <c r="I2145" s="0" t="n">
        <f aca="false">20.1+29.8</f>
        <v>49.9</v>
      </c>
      <c r="J2145" s="0" t="n">
        <f aca="false">(I2145/32)*5</f>
        <v>7.796875</v>
      </c>
      <c r="L2145" s="0" t="n">
        <v>18</v>
      </c>
      <c r="M2145" s="0" t="n">
        <v>0</v>
      </c>
      <c r="N2145" s="0" t="n">
        <f aca="false">L2145</f>
        <v>18</v>
      </c>
      <c r="O2145" s="3" t="n">
        <f aca="false">LOOKUP(L2145,$AB$3:$AC$123)</f>
        <v>1.0722</v>
      </c>
      <c r="P2145" s="3" t="n">
        <f aca="false">(O2145*(N2145/100)*(J2145/1000))*1000</f>
        <v>1.5047656875</v>
      </c>
      <c r="Q2145" s="3"/>
      <c r="R2145" s="0" t="n">
        <v>5</v>
      </c>
      <c r="S2145" s="0" t="n">
        <v>7.2</v>
      </c>
      <c r="T2145" s="0" t="n">
        <f aca="false">(S2145/32)*5</f>
        <v>1.125</v>
      </c>
      <c r="V2145" s="0" t="n">
        <v>14</v>
      </c>
      <c r="W2145" s="0" t="n">
        <v>4</v>
      </c>
      <c r="X2145" s="3" t="n">
        <f aca="false">LOOKUP(V2145,$AB$3:$AC$123)</f>
        <v>1.0549</v>
      </c>
      <c r="Y2145" s="2" t="n">
        <f aca="false">(V2145*((W2145+T2145)/1000)*X2145)/((((W2145+T2145)/1000)*X2145)-((W2145/1000)*0.9982))</f>
        <v>53.5449086969978</v>
      </c>
      <c r="Z2145" s="3" t="n">
        <f aca="false">(X2145*(V2145/100)*((W2145+T2145)/1000))*1000</f>
        <v>0.75689075</v>
      </c>
    </row>
    <row r="2146" customFormat="false" ht="15" hidden="false" customHeight="false" outlineLevel="0" collapsed="false">
      <c r="A2146" s="0" t="s">
        <v>96</v>
      </c>
      <c r="B2146" s="0" t="s">
        <v>97</v>
      </c>
      <c r="C2146" s="0" t="s">
        <v>81</v>
      </c>
      <c r="D2146" s="0" t="s">
        <v>172</v>
      </c>
      <c r="E2146" s="0" t="n">
        <v>45</v>
      </c>
      <c r="F2146" s="0" t="n">
        <v>0</v>
      </c>
      <c r="G2146" s="1"/>
      <c r="H2146" s="1"/>
      <c r="I2146" s="0" t="n">
        <v>0</v>
      </c>
      <c r="J2146" s="0" t="n">
        <f aca="false">(I2146/32)*5</f>
        <v>0</v>
      </c>
      <c r="L2146" s="0" t="n">
        <v>0</v>
      </c>
      <c r="M2146" s="0" t="n">
        <v>0</v>
      </c>
      <c r="N2146" s="0" t="n">
        <f aca="false">L2146</f>
        <v>0</v>
      </c>
      <c r="O2146" s="3" t="n">
        <f aca="false">LOOKUP(L2146,$AB$3:$AC$123)</f>
        <v>0.9982</v>
      </c>
      <c r="P2146" s="3" t="n">
        <f aca="false">(O2146*(N2146/100)*(J2146/1000))*1000</f>
        <v>0</v>
      </c>
      <c r="Q2146" s="3"/>
      <c r="R2146" s="0" t="n">
        <v>4</v>
      </c>
      <c r="S2146" s="0" t="n">
        <v>6.8</v>
      </c>
      <c r="T2146" s="0" t="n">
        <f aca="false">(S2146/32)*5</f>
        <v>1.0625</v>
      </c>
      <c r="V2146" s="0" t="n">
        <v>14</v>
      </c>
      <c r="W2146" s="0" t="n">
        <v>4</v>
      </c>
      <c r="X2146" s="3" t="n">
        <f aca="false">LOOKUP(V2146,$AB$3:$AC$123)</f>
        <v>1.0549</v>
      </c>
      <c r="Y2146" s="2" t="n">
        <f aca="false">(V2146*((W2146+T2146)/1000)*X2146)/((((W2146+T2146)/1000)*X2146)-((W2146/1000)*0.9982))</f>
        <v>55.4795961432328</v>
      </c>
      <c r="Z2146" s="3" t="n">
        <f aca="false">(X2146*(V2146/100)*((W2146+T2146)/1000))*1000</f>
        <v>0.747660375</v>
      </c>
    </row>
    <row r="2147" customFormat="false" ht="15" hidden="false" customHeight="false" outlineLevel="0" collapsed="false">
      <c r="A2147" s="0" t="s">
        <v>98</v>
      </c>
      <c r="B2147" s="0" t="s">
        <v>99</v>
      </c>
      <c r="C2147" s="0" t="s">
        <v>81</v>
      </c>
      <c r="D2147" s="0" t="s">
        <v>172</v>
      </c>
      <c r="E2147" s="0" t="n">
        <v>45</v>
      </c>
      <c r="F2147" s="0" t="n">
        <v>1</v>
      </c>
      <c r="G2147" s="1"/>
      <c r="H2147" s="1"/>
      <c r="I2147" s="0" t="n">
        <v>24</v>
      </c>
      <c r="J2147" s="0" t="n">
        <f aca="false">(I2147/32)*5</f>
        <v>3.75</v>
      </c>
      <c r="L2147" s="0" t="n">
        <v>29.5</v>
      </c>
      <c r="M2147" s="0" t="n">
        <v>0</v>
      </c>
      <c r="N2147" s="0" t="n">
        <f aca="false">L2147</f>
        <v>29.5</v>
      </c>
      <c r="O2147" s="3" t="n">
        <f aca="false">LOOKUP(L2147,$AB$3:$AC$123)</f>
        <v>1.124625</v>
      </c>
      <c r="P2147" s="3" t="n">
        <f aca="false">(O2147*(N2147/100)*(J2147/1000))*1000</f>
        <v>1.24411640625</v>
      </c>
      <c r="Q2147" s="3"/>
      <c r="R2147" s="0" t="n">
        <v>3</v>
      </c>
      <c r="S2147" s="0" t="n">
        <v>4.8</v>
      </c>
      <c r="T2147" s="0" t="n">
        <f aca="false">(S2147/32)*5</f>
        <v>0.75</v>
      </c>
      <c r="V2147" s="0" t="n">
        <v>12</v>
      </c>
      <c r="W2147" s="0" t="n">
        <v>4</v>
      </c>
      <c r="X2147" s="3" t="n">
        <f aca="false">LOOKUP(V2147,$AB$3:$AC$123)</f>
        <v>1.0465</v>
      </c>
      <c r="Y2147" s="2" t="n">
        <f aca="false">(V2147*((W2147+T2147)/1000)*X2147)/((((W2147+T2147)/1000)*X2147)-((W2147/1000)*0.9982))</f>
        <v>60.9876543209877</v>
      </c>
      <c r="Z2147" s="3" t="n">
        <f aca="false">(X2147*(V2147/100)*((W2147+T2147)/1000))*1000</f>
        <v>0.596505</v>
      </c>
    </row>
    <row r="2148" customFormat="false" ht="15" hidden="false" customHeight="false" outlineLevel="0" collapsed="false">
      <c r="A2148" s="0" t="s">
        <v>100</v>
      </c>
      <c r="B2148" s="0" t="s">
        <v>101</v>
      </c>
      <c r="C2148" s="0" t="s">
        <v>81</v>
      </c>
      <c r="D2148" s="0" t="s">
        <v>172</v>
      </c>
      <c r="E2148" s="0" t="n">
        <v>45</v>
      </c>
      <c r="F2148" s="0" t="n">
        <v>0</v>
      </c>
      <c r="G2148" s="1"/>
      <c r="H2148" s="1"/>
      <c r="I2148" s="0" t="n">
        <v>0</v>
      </c>
      <c r="J2148" s="0" t="n">
        <f aca="false">(I2148/32)*5</f>
        <v>0</v>
      </c>
      <c r="L2148" s="0" t="n">
        <v>0</v>
      </c>
      <c r="M2148" s="0" t="n">
        <v>0</v>
      </c>
      <c r="N2148" s="0" t="n">
        <f aca="false">L2148</f>
        <v>0</v>
      </c>
      <c r="O2148" s="3" t="n">
        <f aca="false">LOOKUP(L2148,$AB$3:$AC$123)</f>
        <v>0.9982</v>
      </c>
      <c r="P2148" s="3" t="n">
        <f aca="false">(O2148*(N2148/100)*(J2148/1000))*1000</f>
        <v>0</v>
      </c>
      <c r="Q2148" s="3"/>
      <c r="R2148" s="0" t="n">
        <v>4</v>
      </c>
      <c r="S2148" s="0" t="n">
        <v>6</v>
      </c>
      <c r="T2148" s="0" t="n">
        <f aca="false">(S2148/32)*5</f>
        <v>0.9375</v>
      </c>
      <c r="V2148" s="0" t="n">
        <v>12.5</v>
      </c>
      <c r="W2148" s="0" t="n">
        <v>4</v>
      </c>
      <c r="X2148" s="3" t="n">
        <f aca="false">LOOKUP(V2148,$AB$3:$AC$123)</f>
        <v>1.0486</v>
      </c>
      <c r="Y2148" s="2" t="n">
        <f aca="false">(V2148*((W2148+T2148)/1000)*X2148)/((((W2148+T2148)/1000)*X2148)-((W2148/1000)*0.9982))</f>
        <v>54.6301425511486</v>
      </c>
      <c r="Z2148" s="3" t="n">
        <f aca="false">(X2148*(V2148/100)*((W2148+T2148)/1000))*1000</f>
        <v>0.6471828125</v>
      </c>
    </row>
    <row r="2149" customFormat="false" ht="15" hidden="false" customHeight="false" outlineLevel="0" collapsed="false">
      <c r="A2149" s="0" t="s">
        <v>102</v>
      </c>
      <c r="B2149" s="0" t="s">
        <v>103</v>
      </c>
      <c r="C2149" s="0" t="s">
        <v>81</v>
      </c>
      <c r="D2149" s="0" t="s">
        <v>172</v>
      </c>
      <c r="E2149" s="0" t="n">
        <v>45</v>
      </c>
      <c r="F2149" s="0" t="n">
        <v>1</v>
      </c>
      <c r="G2149" s="1"/>
      <c r="H2149" s="1"/>
      <c r="I2149" s="0" t="n">
        <f aca="false">20+11.8</f>
        <v>31.8</v>
      </c>
      <c r="J2149" s="0" t="n">
        <f aca="false">(I2149/32)*5</f>
        <v>4.96875</v>
      </c>
      <c r="L2149" s="0" t="n">
        <v>27</v>
      </c>
      <c r="M2149" s="0" t="n">
        <v>0</v>
      </c>
      <c r="N2149" s="0" t="n">
        <f aca="false">L2149</f>
        <v>27</v>
      </c>
      <c r="O2149" s="3" t="n">
        <f aca="false">LOOKUP(L2149,$AB$3:$AC$123)</f>
        <v>1.1128</v>
      </c>
      <c r="P2149" s="3" t="n">
        <f aca="false">(O2149*(N2149/100)*(J2149/1000))*1000</f>
        <v>1.49289075</v>
      </c>
      <c r="Q2149" s="3"/>
      <c r="R2149" s="0" t="n">
        <v>3</v>
      </c>
      <c r="S2149" s="0" t="n">
        <v>4</v>
      </c>
      <c r="T2149" s="0" t="n">
        <f aca="false">(S2149/32)*5</f>
        <v>0.625</v>
      </c>
      <c r="V2149" s="0" t="n">
        <v>5</v>
      </c>
      <c r="W2149" s="0" t="n">
        <v>4</v>
      </c>
      <c r="X2149" s="3" t="n">
        <f aca="false">LOOKUP(V2149,$AB$3:$AC$123)</f>
        <v>1.0179</v>
      </c>
      <c r="Y2149" s="2" t="n">
        <f aca="false">(V2149*((W2149+T2149)/1000)*X2149)/((((W2149+T2149)/1000)*X2149)-((W2149/1000)*0.9982))</f>
        <v>32.9221664714418</v>
      </c>
      <c r="Z2149" s="3" t="n">
        <f aca="false">(X2149*(V2149/100)*((W2149+T2149)/1000))*1000</f>
        <v>0.235389375</v>
      </c>
    </row>
    <row r="2150" customFormat="false" ht="15" hidden="false" customHeight="false" outlineLevel="0" collapsed="false">
      <c r="A2150" s="0" t="s">
        <v>104</v>
      </c>
      <c r="B2150" s="0" t="s">
        <v>105</v>
      </c>
      <c r="C2150" s="0" t="s">
        <v>106</v>
      </c>
      <c r="D2150" s="0" t="s">
        <v>172</v>
      </c>
      <c r="E2150" s="0" t="n">
        <v>45</v>
      </c>
      <c r="F2150" s="0" t="n">
        <v>0</v>
      </c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0" t="n">
        <v>7</v>
      </c>
      <c r="S2150" s="1"/>
      <c r="T2150" s="1"/>
      <c r="U2150" s="1"/>
      <c r="V2150" s="1"/>
      <c r="W2150" s="1"/>
      <c r="X2150" s="1"/>
      <c r="Y2150" s="5"/>
      <c r="Z2150" s="1"/>
    </row>
    <row r="2151" customFormat="false" ht="15" hidden="false" customHeight="false" outlineLevel="0" collapsed="false">
      <c r="A2151" s="0" t="s">
        <v>107</v>
      </c>
      <c r="B2151" s="0" t="s">
        <v>37</v>
      </c>
      <c r="C2151" s="0" t="s">
        <v>106</v>
      </c>
      <c r="D2151" s="0" t="s">
        <v>172</v>
      </c>
      <c r="E2151" s="0" t="n">
        <v>45</v>
      </c>
      <c r="F2151" s="0" t="n">
        <v>1</v>
      </c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0" t="n">
        <v>8</v>
      </c>
      <c r="S2151" s="1"/>
      <c r="T2151" s="1"/>
      <c r="U2151" s="1"/>
      <c r="V2151" s="1"/>
      <c r="W2151" s="1"/>
      <c r="X2151" s="1"/>
      <c r="Y2151" s="5"/>
      <c r="Z2151" s="1"/>
    </row>
    <row r="2152" customFormat="false" ht="15" hidden="false" customHeight="false" outlineLevel="0" collapsed="false">
      <c r="A2152" s="0" t="s">
        <v>108</v>
      </c>
      <c r="B2152" s="0" t="s">
        <v>109</v>
      </c>
      <c r="C2152" s="0" t="s">
        <v>106</v>
      </c>
      <c r="D2152" s="0" t="s">
        <v>172</v>
      </c>
      <c r="E2152" s="0" t="n">
        <v>45</v>
      </c>
      <c r="F2152" s="0" t="n">
        <v>1</v>
      </c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0" t="n">
        <v>12</v>
      </c>
      <c r="S2152" s="1"/>
      <c r="T2152" s="1"/>
      <c r="U2152" s="1"/>
      <c r="V2152" s="1"/>
      <c r="W2152" s="1"/>
      <c r="X2152" s="1"/>
      <c r="Y2152" s="5"/>
      <c r="Z2152" s="1"/>
    </row>
    <row r="2153" customFormat="false" ht="15" hidden="false" customHeight="false" outlineLevel="0" collapsed="false">
      <c r="A2153" s="0" t="s">
        <v>110</v>
      </c>
      <c r="B2153" s="0" t="s">
        <v>111</v>
      </c>
      <c r="C2153" s="0" t="s">
        <v>106</v>
      </c>
      <c r="D2153" s="0" t="s">
        <v>172</v>
      </c>
      <c r="E2153" s="0" t="n">
        <v>45</v>
      </c>
      <c r="F2153" s="0" t="n">
        <v>1</v>
      </c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0" t="n">
        <v>14</v>
      </c>
      <c r="S2153" s="1"/>
      <c r="T2153" s="1"/>
      <c r="U2153" s="1"/>
      <c r="V2153" s="1"/>
      <c r="W2153" s="1"/>
      <c r="X2153" s="1"/>
      <c r="Y2153" s="5"/>
      <c r="Z2153" s="1"/>
    </row>
    <row r="2154" customFormat="false" ht="15" hidden="false" customHeight="false" outlineLevel="0" collapsed="false">
      <c r="A2154" s="0" t="s">
        <v>112</v>
      </c>
      <c r="B2154" s="0" t="s">
        <v>113</v>
      </c>
      <c r="C2154" s="0" t="s">
        <v>106</v>
      </c>
      <c r="D2154" s="0" t="s">
        <v>172</v>
      </c>
      <c r="E2154" s="0" t="n">
        <v>45</v>
      </c>
      <c r="F2154" s="0" t="n">
        <v>0</v>
      </c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0" t="n">
        <v>20</v>
      </c>
      <c r="S2154" s="1"/>
      <c r="T2154" s="1"/>
      <c r="U2154" s="1"/>
      <c r="V2154" s="1"/>
      <c r="W2154" s="1"/>
      <c r="X2154" s="1"/>
      <c r="Y2154" s="5"/>
      <c r="Z2154" s="1"/>
    </row>
    <row r="2155" customFormat="false" ht="15" hidden="false" customHeight="false" outlineLevel="0" collapsed="false">
      <c r="A2155" s="0" t="s">
        <v>114</v>
      </c>
      <c r="B2155" s="0" t="s">
        <v>115</v>
      </c>
      <c r="C2155" s="0" t="s">
        <v>106</v>
      </c>
      <c r="D2155" s="0" t="s">
        <v>172</v>
      </c>
      <c r="E2155" s="0" t="n">
        <v>45</v>
      </c>
      <c r="F2155" s="0" t="n">
        <v>0</v>
      </c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0" t="n">
        <v>7</v>
      </c>
      <c r="S2155" s="1"/>
      <c r="T2155" s="1"/>
      <c r="U2155" s="1"/>
      <c r="V2155" s="1"/>
      <c r="W2155" s="1"/>
      <c r="X2155" s="1"/>
      <c r="Y2155" s="5"/>
      <c r="Z2155" s="1"/>
    </row>
    <row r="2156" customFormat="false" ht="15" hidden="false" customHeight="false" outlineLevel="0" collapsed="false">
      <c r="A2156" s="0" t="s">
        <v>116</v>
      </c>
      <c r="B2156" s="0" t="s">
        <v>117</v>
      </c>
      <c r="C2156" s="0" t="s">
        <v>106</v>
      </c>
      <c r="D2156" s="0" t="s">
        <v>172</v>
      </c>
      <c r="E2156" s="0" t="n">
        <v>45</v>
      </c>
      <c r="F2156" s="0" t="n">
        <v>0</v>
      </c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0" t="n">
        <v>5</v>
      </c>
      <c r="S2156" s="1"/>
      <c r="T2156" s="1"/>
      <c r="U2156" s="1"/>
      <c r="V2156" s="1"/>
      <c r="W2156" s="1"/>
      <c r="X2156" s="1"/>
      <c r="Y2156" s="5"/>
      <c r="Z2156" s="1"/>
    </row>
    <row r="2157" customFormat="false" ht="15" hidden="false" customHeight="false" outlineLevel="0" collapsed="false">
      <c r="A2157" s="0" t="s">
        <v>118</v>
      </c>
      <c r="B2157" s="0" t="s">
        <v>119</v>
      </c>
      <c r="C2157" s="0" t="s">
        <v>106</v>
      </c>
      <c r="D2157" s="0" t="s">
        <v>172</v>
      </c>
      <c r="E2157" s="0" t="n">
        <v>45</v>
      </c>
      <c r="F2157" s="0" t="n">
        <v>2</v>
      </c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0" t="n">
        <v>9</v>
      </c>
      <c r="S2157" s="1"/>
      <c r="T2157" s="1"/>
      <c r="U2157" s="1"/>
      <c r="V2157" s="1"/>
      <c r="W2157" s="1"/>
      <c r="X2157" s="1"/>
      <c r="Y2157" s="5"/>
      <c r="Z2157" s="1"/>
    </row>
    <row r="2158" customFormat="false" ht="15" hidden="false" customHeight="false" outlineLevel="0" collapsed="false">
      <c r="A2158" s="0" t="s">
        <v>120</v>
      </c>
      <c r="B2158" s="0" t="s">
        <v>121</v>
      </c>
      <c r="C2158" s="0" t="s">
        <v>106</v>
      </c>
      <c r="D2158" s="0" t="s">
        <v>172</v>
      </c>
      <c r="E2158" s="0" t="n">
        <v>45</v>
      </c>
      <c r="F2158" s="0" t="n">
        <v>2</v>
      </c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0" t="n">
        <v>8</v>
      </c>
      <c r="S2158" s="1"/>
      <c r="T2158" s="1"/>
      <c r="U2158" s="1"/>
      <c r="V2158" s="1"/>
      <c r="W2158" s="1"/>
      <c r="X2158" s="1"/>
      <c r="Y2158" s="5"/>
      <c r="Z2158" s="1"/>
    </row>
    <row r="2159" customFormat="false" ht="15" hidden="false" customHeight="false" outlineLevel="0" collapsed="false">
      <c r="A2159" s="0" t="s">
        <v>122</v>
      </c>
      <c r="B2159" s="0" t="s">
        <v>123</v>
      </c>
      <c r="C2159" s="0" t="s">
        <v>106</v>
      </c>
      <c r="D2159" s="0" t="s">
        <v>172</v>
      </c>
      <c r="E2159" s="0" t="n">
        <v>45</v>
      </c>
      <c r="F2159" s="0" t="n">
        <v>1</v>
      </c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0" t="n">
        <v>7</v>
      </c>
      <c r="S2159" s="1"/>
      <c r="T2159" s="1"/>
      <c r="U2159" s="1"/>
      <c r="V2159" s="1"/>
      <c r="W2159" s="1"/>
      <c r="X2159" s="1"/>
      <c r="Y2159" s="5"/>
      <c r="Z2159" s="1"/>
    </row>
    <row r="2160" customFormat="false" ht="15" hidden="false" customHeight="false" outlineLevel="0" collapsed="false">
      <c r="A2160" s="0" t="s">
        <v>124</v>
      </c>
      <c r="B2160" s="0" t="s">
        <v>125</v>
      </c>
      <c r="C2160" s="0" t="s">
        <v>106</v>
      </c>
      <c r="D2160" s="0" t="s">
        <v>172</v>
      </c>
      <c r="E2160" s="0" t="n">
        <v>45</v>
      </c>
      <c r="F2160" s="0" t="n">
        <v>1</v>
      </c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0" t="n">
        <v>10</v>
      </c>
      <c r="S2160" s="1"/>
      <c r="T2160" s="1"/>
      <c r="U2160" s="1"/>
      <c r="V2160" s="1"/>
      <c r="W2160" s="1"/>
      <c r="X2160" s="1"/>
      <c r="Y2160" s="5"/>
      <c r="Z2160" s="1"/>
    </row>
    <row r="2161" customFormat="false" ht="15" hidden="false" customHeight="false" outlineLevel="0" collapsed="false">
      <c r="A2161" s="0" t="s">
        <v>126</v>
      </c>
      <c r="B2161" s="0" t="s">
        <v>127</v>
      </c>
      <c r="C2161" s="0" t="s">
        <v>106</v>
      </c>
      <c r="D2161" s="0" t="s">
        <v>172</v>
      </c>
      <c r="E2161" s="0" t="n">
        <v>45</v>
      </c>
      <c r="F2161" s="0" t="n">
        <v>1</v>
      </c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0" t="n">
        <v>17</v>
      </c>
      <c r="S2161" s="1"/>
      <c r="T2161" s="1"/>
      <c r="U2161" s="1"/>
      <c r="V2161" s="1"/>
      <c r="W2161" s="1"/>
      <c r="X2161" s="1"/>
      <c r="Y2161" s="5"/>
      <c r="Z2161" s="1"/>
    </row>
    <row r="2162" customFormat="false" ht="15" hidden="false" customHeight="false" outlineLevel="0" collapsed="false">
      <c r="A2162" s="0" t="s">
        <v>26</v>
      </c>
      <c r="B2162" s="0" t="s">
        <v>27</v>
      </c>
      <c r="C2162" s="0" t="s">
        <v>28</v>
      </c>
      <c r="D2162" s="0" t="s">
        <v>173</v>
      </c>
      <c r="E2162" s="0" t="n">
        <v>46</v>
      </c>
      <c r="F2162" s="0" t="n">
        <v>0</v>
      </c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0" t="n">
        <v>1</v>
      </c>
      <c r="S2162" s="0" t="n">
        <v>2.9</v>
      </c>
      <c r="T2162" s="0" t="n">
        <f aca="false">(S2162/32)*5</f>
        <v>0.453125</v>
      </c>
      <c r="V2162" s="0" t="n">
        <v>6.5</v>
      </c>
      <c r="W2162" s="0" t="n">
        <v>4</v>
      </c>
      <c r="X2162" s="3" t="n">
        <f aca="false">LOOKUP(V2162,$AB$3:$AC$123)</f>
        <v>1.02385</v>
      </c>
      <c r="Y2162" s="2" t="n">
        <f aca="false">(V2162*((W2162+T2162)/1000)*X2162)/((((W2162+T2162)/1000)*X2162)-((W2162/1000)*0.9982))</f>
        <v>52.3106489455446</v>
      </c>
      <c r="Z2162" s="3" t="n">
        <f aca="false">(X2162*(V2162/100)*((W2162+T2162)/1000))*1000</f>
        <v>0.29635658203125</v>
      </c>
    </row>
    <row r="2163" customFormat="false" ht="15" hidden="false" customHeight="false" outlineLevel="0" collapsed="false">
      <c r="A2163" s="0" t="s">
        <v>32</v>
      </c>
      <c r="B2163" s="0" t="s">
        <v>33</v>
      </c>
      <c r="C2163" s="0" t="s">
        <v>28</v>
      </c>
      <c r="D2163" s="0" t="s">
        <v>173</v>
      </c>
      <c r="E2163" s="0" t="n">
        <v>46</v>
      </c>
      <c r="F2163" s="0" t="n">
        <v>3</v>
      </c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0" t="n">
        <v>4</v>
      </c>
      <c r="S2163" s="0" t="n">
        <v>4.9</v>
      </c>
      <c r="T2163" s="0" t="n">
        <f aca="false">(S2163/32)*5</f>
        <v>0.765625</v>
      </c>
      <c r="V2163" s="0" t="n">
        <v>10</v>
      </c>
      <c r="W2163" s="0" t="n">
        <v>4</v>
      </c>
      <c r="X2163" s="3" t="n">
        <f aca="false">LOOKUP(V2163,$AB$3:$AC$123)</f>
        <v>1.0381</v>
      </c>
      <c r="Y2163" s="2" t="n">
        <f aca="false">(V2163*((W2163+T2163)/1000)*X2163)/((((W2163+T2163)/1000)*X2163)-((W2163/1000)*0.9982))</f>
        <v>51.8359137739374</v>
      </c>
      <c r="Z2163" s="3" t="n">
        <f aca="false">(X2163*(V2163/100)*((W2163+T2163)/1000))*1000</f>
        <v>0.49471953125</v>
      </c>
    </row>
    <row r="2164" customFormat="false" ht="15" hidden="false" customHeight="false" outlineLevel="0" collapsed="false">
      <c r="A2164" s="0" t="s">
        <v>34</v>
      </c>
      <c r="B2164" s="0" t="s">
        <v>35</v>
      </c>
      <c r="C2164" s="0" t="s">
        <v>28</v>
      </c>
      <c r="D2164" s="0" t="s">
        <v>173</v>
      </c>
      <c r="E2164" s="0" t="n">
        <v>46</v>
      </c>
      <c r="F2164" s="0" t="n">
        <v>3</v>
      </c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0" t="n">
        <v>3</v>
      </c>
      <c r="S2164" s="0" t="n">
        <v>4.2</v>
      </c>
      <c r="T2164" s="0" t="n">
        <f aca="false">(S2164/32)*5</f>
        <v>0.65625</v>
      </c>
      <c r="V2164" s="0" t="n">
        <v>8.5</v>
      </c>
      <c r="W2164" s="0" t="n">
        <v>4</v>
      </c>
      <c r="X2164" s="3" t="n">
        <f aca="false">LOOKUP(V2164,$AB$3:$AC$123)</f>
        <v>1.032</v>
      </c>
      <c r="Y2164" s="2" t="n">
        <f aca="false">(V2164*((W2164+T2164)/1000)*X2164)/((((W2164+T2164)/1000)*X2164)-((W2164/1000)*0.9982))</f>
        <v>50.2734014400887</v>
      </c>
      <c r="Z2164" s="3" t="n">
        <f aca="false">(X2164*(V2164/100)*((W2164+T2164)/1000))*1000</f>
        <v>0.40844625</v>
      </c>
    </row>
    <row r="2165" customFormat="false" ht="15" hidden="false" customHeight="false" outlineLevel="0" collapsed="false">
      <c r="A2165" s="0" t="s">
        <v>36</v>
      </c>
      <c r="B2165" s="0" t="s">
        <v>37</v>
      </c>
      <c r="C2165" s="0" t="s">
        <v>28</v>
      </c>
      <c r="D2165" s="0" t="s">
        <v>173</v>
      </c>
      <c r="E2165" s="0" t="n">
        <v>46</v>
      </c>
      <c r="F2165" s="0" t="n">
        <v>1</v>
      </c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0" t="n">
        <v>4</v>
      </c>
      <c r="S2165" s="0" t="n">
        <v>5.3</v>
      </c>
      <c r="T2165" s="0" t="n">
        <f aca="false">(S2165/32)*5</f>
        <v>0.828125</v>
      </c>
      <c r="V2165" s="0" t="n">
        <v>17.5</v>
      </c>
      <c r="W2165" s="0" t="n">
        <v>4</v>
      </c>
      <c r="X2165" s="3" t="n">
        <f aca="false">LOOKUP(V2165,$AB$3:$AC$123)</f>
        <v>1.07</v>
      </c>
      <c r="Y2165" s="2" t="n">
        <f aca="false">(V2165*((W2165+T2165)/1000)*X2165)/((((W2165+T2165)/1000)*X2165)-((W2165/1000)*0.9982))</f>
        <v>77.0537136373565</v>
      </c>
      <c r="Z2165" s="3" t="n">
        <f aca="false">(X2165*(V2165/100)*((W2165+T2165)/1000))*1000</f>
        <v>0.90406640625</v>
      </c>
    </row>
    <row r="2166" customFormat="false" ht="15" hidden="false" customHeight="false" outlineLevel="0" collapsed="false">
      <c r="A2166" s="0" t="s">
        <v>38</v>
      </c>
      <c r="B2166" s="0" t="s">
        <v>39</v>
      </c>
      <c r="C2166" s="0" t="s">
        <v>28</v>
      </c>
      <c r="D2166" s="0" t="s">
        <v>173</v>
      </c>
      <c r="E2166" s="0" t="n">
        <v>46</v>
      </c>
      <c r="F2166" s="0" t="n">
        <v>4</v>
      </c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0" t="n">
        <v>4</v>
      </c>
      <c r="S2166" s="0" t="n">
        <v>3.6</v>
      </c>
      <c r="T2166" s="0" t="n">
        <f aca="false">(S2166/32)*5</f>
        <v>0.5625</v>
      </c>
      <c r="V2166" s="0" t="n">
        <v>10.5</v>
      </c>
      <c r="W2166" s="0" t="n">
        <v>4</v>
      </c>
      <c r="X2166" s="3" t="n">
        <f aca="false">LOOKUP(V2166,$AB$3:$AC$123)</f>
        <v>1.0402</v>
      </c>
      <c r="Y2166" s="2" t="n">
        <f aca="false">(V2166*((W2166+T2166)/1000)*X2166)/((((W2166+T2166)/1000)*X2166)-((W2166/1000)*0.9982))</f>
        <v>66.1681770651796</v>
      </c>
      <c r="Z2166" s="3" t="n">
        <f aca="false">(X2166*(V2166/100)*((W2166+T2166)/1000))*1000</f>
        <v>0.4983208125</v>
      </c>
    </row>
    <row r="2167" customFormat="false" ht="15" hidden="false" customHeight="false" outlineLevel="0" collapsed="false">
      <c r="A2167" s="0" t="s">
        <v>40</v>
      </c>
      <c r="B2167" s="0" t="s">
        <v>41</v>
      </c>
      <c r="C2167" s="0" t="s">
        <v>28</v>
      </c>
      <c r="D2167" s="0" t="s">
        <v>173</v>
      </c>
      <c r="E2167" s="0" t="n">
        <v>46</v>
      </c>
      <c r="F2167" s="0" t="n">
        <v>0</v>
      </c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0" t="n">
        <v>2</v>
      </c>
      <c r="S2167" s="0" t="n">
        <v>4.7</v>
      </c>
      <c r="T2167" s="0" t="n">
        <f aca="false">(S2167/32)*5</f>
        <v>0.734375</v>
      </c>
      <c r="V2167" s="0" t="n">
        <v>13</v>
      </c>
      <c r="W2167" s="0" t="n">
        <v>4</v>
      </c>
      <c r="X2167" s="3" t="n">
        <f aca="false">LOOKUP(V2167,$AB$3:$AC$123)</f>
        <v>1.0507</v>
      </c>
      <c r="Y2167" s="2" t="n">
        <f aca="false">(V2167*((W2167+T2167)/1000)*X2167)/((((W2167+T2167)/1000)*X2167)-((W2167/1000)*0.9982))</f>
        <v>65.878959742387</v>
      </c>
      <c r="Z2167" s="3" t="n">
        <f aca="false">(X2167*(V2167/100)*((W2167+T2167)/1000))*1000</f>
        <v>0.646673015625</v>
      </c>
    </row>
    <row r="2168" customFormat="false" ht="15" hidden="false" customHeight="false" outlineLevel="0" collapsed="false">
      <c r="A2168" s="0" t="s">
        <v>42</v>
      </c>
      <c r="B2168" s="0" t="s">
        <v>43</v>
      </c>
      <c r="C2168" s="0" t="s">
        <v>28</v>
      </c>
      <c r="D2168" s="0" t="s">
        <v>173</v>
      </c>
      <c r="E2168" s="0" t="n">
        <v>46</v>
      </c>
      <c r="F2168" s="0" t="n">
        <v>1</v>
      </c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0" t="n">
        <v>2</v>
      </c>
      <c r="S2168" s="0" t="n">
        <v>4.2</v>
      </c>
      <c r="T2168" s="0" t="n">
        <f aca="false">(S2168/32)*5</f>
        <v>0.65625</v>
      </c>
      <c r="V2168" s="0" t="n">
        <v>5.5</v>
      </c>
      <c r="W2168" s="0" t="n">
        <v>4</v>
      </c>
      <c r="X2168" s="3" t="n">
        <f aca="false">LOOKUP(V2168,$AB$3:$AC$123)</f>
        <v>1.01985</v>
      </c>
      <c r="Y2168" s="2" t="n">
        <f aca="false">(V2168*((W2168+T2168)/1000)*X2168)/((((W2168+T2168)/1000)*X2168)-((W2168/1000)*0.9982))</f>
        <v>34.5528918205478</v>
      </c>
      <c r="Z2168" s="3" t="n">
        <f aca="false">(X2168*(V2168/100)*((W2168+T2168)/1000))*1000</f>
        <v>0.2611772109375</v>
      </c>
    </row>
    <row r="2169" customFormat="false" ht="15" hidden="false" customHeight="false" outlineLevel="0" collapsed="false">
      <c r="A2169" s="0" t="s">
        <v>44</v>
      </c>
      <c r="B2169" s="0" t="s">
        <v>45</v>
      </c>
      <c r="C2169" s="0" t="s">
        <v>28</v>
      </c>
      <c r="D2169" s="0" t="s">
        <v>173</v>
      </c>
      <c r="E2169" s="0" t="n">
        <v>46</v>
      </c>
      <c r="F2169" s="0" t="n">
        <v>2</v>
      </c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0" t="n">
        <v>2</v>
      </c>
      <c r="S2169" s="0" t="n">
        <v>1.7</v>
      </c>
      <c r="T2169" s="0" t="n">
        <f aca="false">(S2169/32)*5</f>
        <v>0.265625</v>
      </c>
      <c r="V2169" s="0" t="n">
        <v>3.5</v>
      </c>
      <c r="W2169" s="0" t="n">
        <v>4</v>
      </c>
      <c r="X2169" s="3" t="n">
        <f aca="false">LOOKUP(V2169,$AB$3:$AC$123)</f>
        <v>1.0119</v>
      </c>
      <c r="Y2169" s="2" t="n">
        <f aca="false">(V2169*((W2169+T2169)/1000)*X2169)/((((W2169+T2169)/1000)*X2169)-((W2169/1000)*0.9982))</f>
        <v>46.6872908568532</v>
      </c>
      <c r="Z2169" s="3" t="n">
        <f aca="false">(X2169*(V2169/100)*((W2169+T2169)/1000))*1000</f>
        <v>0.1510735078125</v>
      </c>
    </row>
    <row r="2170" customFormat="false" ht="15" hidden="false" customHeight="false" outlineLevel="0" collapsed="false">
      <c r="A2170" s="0" t="s">
        <v>46</v>
      </c>
      <c r="B2170" s="0" t="s">
        <v>47</v>
      </c>
      <c r="C2170" s="0" t="s">
        <v>28</v>
      </c>
      <c r="D2170" s="0" t="s">
        <v>173</v>
      </c>
      <c r="E2170" s="0" t="n">
        <v>46</v>
      </c>
      <c r="F2170" s="0" t="n">
        <v>2</v>
      </c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0" t="n">
        <v>4</v>
      </c>
      <c r="S2170" s="0" t="n">
        <v>3.6</v>
      </c>
      <c r="T2170" s="0" t="n">
        <f aca="false">(S2170/32)*5</f>
        <v>0.5625</v>
      </c>
      <c r="V2170" s="0" t="n">
        <v>9</v>
      </c>
      <c r="W2170" s="0" t="n">
        <v>4</v>
      </c>
      <c r="X2170" s="3" t="n">
        <f aca="false">LOOKUP(V2170,$AB$3:$AC$123)</f>
        <v>1.0341</v>
      </c>
      <c r="Y2170" s="2" t="n">
        <f aca="false">(V2170*((W2170+T2170)/1000)*X2170)/((((W2170+T2170)/1000)*X2170)-((W2170/1000)*0.9982))</f>
        <v>58.5465724503426</v>
      </c>
      <c r="Z2170" s="3" t="n">
        <f aca="false">(X2170*(V2170/100)*((W2170+T2170)/1000))*1000</f>
        <v>0.4246273125</v>
      </c>
    </row>
    <row r="2171" customFormat="false" ht="15" hidden="false" customHeight="false" outlineLevel="0" collapsed="false">
      <c r="A2171" s="0" t="s">
        <v>48</v>
      </c>
      <c r="B2171" s="0" t="s">
        <v>49</v>
      </c>
      <c r="C2171" s="0" t="s">
        <v>28</v>
      </c>
      <c r="D2171" s="0" t="s">
        <v>173</v>
      </c>
      <c r="E2171" s="0" t="n">
        <v>46</v>
      </c>
      <c r="F2171" s="0" t="n">
        <v>2</v>
      </c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0" t="n">
        <v>3</v>
      </c>
      <c r="S2171" s="0" t="n">
        <v>5.5</v>
      </c>
      <c r="T2171" s="0" t="n">
        <f aca="false">(S2171/32)*5</f>
        <v>0.859375</v>
      </c>
      <c r="V2171" s="0" t="n">
        <v>14</v>
      </c>
      <c r="W2171" s="0" t="n">
        <v>4</v>
      </c>
      <c r="X2171" s="3" t="n">
        <f aca="false">LOOKUP(V2171,$AB$3:$AC$123)</f>
        <v>1.0549</v>
      </c>
      <c r="Y2171" s="2" t="n">
        <f aca="false">(V2171*((W2171+T2171)/1000)*X2171)/((((W2171+T2171)/1000)*X2171)-((W2171/1000)*0.9982))</f>
        <v>63.321894210633</v>
      </c>
      <c r="Z2171" s="3" t="n">
        <f aca="false">(X2171*(V2171/100)*((W2171+T2171)/1000))*1000</f>
        <v>0.71766165625</v>
      </c>
    </row>
    <row r="2172" customFormat="false" ht="15" hidden="false" customHeight="false" outlineLevel="0" collapsed="false">
      <c r="A2172" s="0" t="s">
        <v>50</v>
      </c>
      <c r="B2172" s="0" t="s">
        <v>51</v>
      </c>
      <c r="C2172" s="0" t="s">
        <v>28</v>
      </c>
      <c r="D2172" s="0" t="s">
        <v>173</v>
      </c>
      <c r="E2172" s="0" t="n">
        <v>46</v>
      </c>
      <c r="F2172" s="0" t="n">
        <v>0</v>
      </c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0" t="n">
        <v>3</v>
      </c>
      <c r="S2172" s="0" t="n">
        <v>5</v>
      </c>
      <c r="T2172" s="0" t="n">
        <f aca="false">(S2172/32)*5</f>
        <v>0.78125</v>
      </c>
      <c r="V2172" s="0" t="n">
        <v>8</v>
      </c>
      <c r="W2172" s="0" t="n">
        <v>4</v>
      </c>
      <c r="X2172" s="3" t="n">
        <f aca="false">LOOKUP(V2172,$AB$3:$AC$123)</f>
        <v>1.0299</v>
      </c>
      <c r="Y2172" s="2" t="n">
        <f aca="false">(V2172*((W2172+T2172)/1000)*X2172)/((((W2172+T2172)/1000)*X2172)-((W2172/1000)*0.9982))</f>
        <v>42.2946945321438</v>
      </c>
      <c r="Z2172" s="3" t="n">
        <f aca="false">(X2172*(V2172/100)*((W2172+T2172)/1000))*1000</f>
        <v>0.39393675</v>
      </c>
    </row>
    <row r="2173" customFormat="false" ht="15" hidden="false" customHeight="false" outlineLevel="0" collapsed="false">
      <c r="A2173" s="0" t="s">
        <v>52</v>
      </c>
      <c r="B2173" s="0" t="s">
        <v>53</v>
      </c>
      <c r="C2173" s="0" t="s">
        <v>28</v>
      </c>
      <c r="D2173" s="0" t="s">
        <v>173</v>
      </c>
      <c r="E2173" s="0" t="n">
        <v>46</v>
      </c>
      <c r="F2173" s="0" t="n">
        <v>0</v>
      </c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0" t="n">
        <v>2</v>
      </c>
      <c r="S2173" s="0" t="n">
        <v>2.1</v>
      </c>
      <c r="T2173" s="0" t="n">
        <f aca="false">(S2173/32)*5</f>
        <v>0.328125</v>
      </c>
      <c r="V2173" s="0" t="n">
        <v>2.5</v>
      </c>
      <c r="W2173" s="0" t="n">
        <v>4</v>
      </c>
      <c r="X2173" s="3" t="n">
        <f aca="false">LOOKUP(V2173,$AB$3:$AC$123)</f>
        <v>1.00795</v>
      </c>
      <c r="Y2173" s="2" t="n">
        <f aca="false">(V2173*((W2173+T2173)/1000)*X2173)/((((W2173+T2173)/1000)*X2173)-((W2173/1000)*0.9982))</f>
        <v>29.4978172628518</v>
      </c>
      <c r="Z2173" s="3" t="n">
        <f aca="false">(X2173*(V2173/100)*((W2173+T2173)/1000))*1000</f>
        <v>0.10906333984375</v>
      </c>
    </row>
    <row r="2174" customFormat="false" ht="15" hidden="false" customHeight="false" outlineLevel="0" collapsed="false">
      <c r="A2174" s="0" t="s">
        <v>54</v>
      </c>
      <c r="B2174" s="0" t="s">
        <v>55</v>
      </c>
      <c r="C2174" s="0" t="s">
        <v>56</v>
      </c>
      <c r="D2174" s="0" t="s">
        <v>173</v>
      </c>
      <c r="E2174" s="0" t="n">
        <v>46</v>
      </c>
      <c r="F2174" s="0" t="n">
        <v>1</v>
      </c>
      <c r="G2174" s="1"/>
      <c r="H2174" s="1"/>
      <c r="I2174" s="0" t="n">
        <v>25.4</v>
      </c>
      <c r="J2174" s="0" t="n">
        <f aca="false">(I2174/32)*5</f>
        <v>3.96875</v>
      </c>
      <c r="L2174" s="0" t="n">
        <v>23</v>
      </c>
      <c r="M2174" s="0" t="n">
        <v>0</v>
      </c>
      <c r="N2174" s="0" t="n">
        <f aca="false">L2174</f>
        <v>23</v>
      </c>
      <c r="O2174" s="3" t="n">
        <f aca="false">LOOKUP(L2174,$AB$3:$AC$123)</f>
        <v>1.09445</v>
      </c>
      <c r="P2174" s="3" t="n">
        <f aca="false">(O2174*(N2174/100)*(J2174/1000))*1000</f>
        <v>0.999027640625</v>
      </c>
      <c r="Q2174" s="3"/>
      <c r="R2174" s="1"/>
      <c r="S2174" s="1"/>
      <c r="T2174" s="1"/>
      <c r="U2174" s="1"/>
      <c r="V2174" s="1"/>
      <c r="W2174" s="1"/>
      <c r="X2174" s="1"/>
      <c r="Y2174" s="5"/>
      <c r="Z2174" s="1"/>
    </row>
    <row r="2175" customFormat="false" ht="15" hidden="false" customHeight="false" outlineLevel="0" collapsed="false">
      <c r="A2175" s="0" t="s">
        <v>57</v>
      </c>
      <c r="B2175" s="0" t="s">
        <v>58</v>
      </c>
      <c r="C2175" s="0" t="s">
        <v>56</v>
      </c>
      <c r="D2175" s="0" t="s">
        <v>173</v>
      </c>
      <c r="E2175" s="0" t="n">
        <v>46</v>
      </c>
      <c r="F2175" s="0" t="n">
        <v>1</v>
      </c>
      <c r="G2175" s="1"/>
      <c r="H2175" s="1"/>
      <c r="I2175" s="0" t="n">
        <f aca="false">16+30</f>
        <v>46</v>
      </c>
      <c r="J2175" s="0" t="n">
        <f aca="false">(I2175/32)*5</f>
        <v>7.1875</v>
      </c>
      <c r="L2175" s="0" t="n">
        <v>23.5</v>
      </c>
      <c r="M2175" s="0" t="n">
        <v>0</v>
      </c>
      <c r="N2175" s="0" t="n">
        <f aca="false">L2175</f>
        <v>23.5</v>
      </c>
      <c r="O2175" s="3" t="n">
        <f aca="false">LOOKUP(L2175,$AB$3:$AC$123)</f>
        <v>1.096725</v>
      </c>
      <c r="P2175" s="3" t="n">
        <f aca="false">(O2175*(N2175/100)*(J2175/1000))*1000</f>
        <v>1.8524370703125</v>
      </c>
      <c r="Q2175" s="3"/>
      <c r="R2175" s="1"/>
      <c r="S2175" s="1"/>
      <c r="T2175" s="1"/>
      <c r="U2175" s="1"/>
      <c r="V2175" s="1"/>
      <c r="W2175" s="1"/>
      <c r="X2175" s="1"/>
      <c r="Y2175" s="5"/>
      <c r="Z2175" s="1"/>
    </row>
    <row r="2176" customFormat="false" ht="15" hidden="false" customHeight="false" outlineLevel="0" collapsed="false">
      <c r="A2176" s="0" t="s">
        <v>59</v>
      </c>
      <c r="B2176" s="0" t="s">
        <v>60</v>
      </c>
      <c r="C2176" s="0" t="s">
        <v>56</v>
      </c>
      <c r="D2176" s="0" t="s">
        <v>173</v>
      </c>
      <c r="E2176" s="0" t="n">
        <v>46</v>
      </c>
      <c r="F2176" s="0" t="n">
        <v>2</v>
      </c>
      <c r="G2176" s="1"/>
      <c r="H2176" s="1"/>
      <c r="I2176" s="0" t="n">
        <f aca="false">25.3+20+28.3</f>
        <v>73.6</v>
      </c>
      <c r="J2176" s="0" t="n">
        <f aca="false">(I2176/32)*5</f>
        <v>11.5</v>
      </c>
      <c r="L2176" s="0" t="n">
        <v>26</v>
      </c>
      <c r="M2176" s="0" t="n">
        <v>0</v>
      </c>
      <c r="N2176" s="0" t="n">
        <f aca="false">L2176</f>
        <v>26</v>
      </c>
      <c r="O2176" s="3" t="n">
        <f aca="false">LOOKUP(L2176,$AB$3:$AC$123)</f>
        <v>1.1081</v>
      </c>
      <c r="P2176" s="3" t="n">
        <f aca="false">(O2176*(N2176/100)*(J2176/1000))*1000</f>
        <v>3.313219</v>
      </c>
      <c r="Q2176" s="3"/>
      <c r="R2176" s="1"/>
      <c r="S2176" s="1"/>
      <c r="T2176" s="1"/>
      <c r="U2176" s="1"/>
      <c r="V2176" s="1"/>
      <c r="W2176" s="1"/>
      <c r="X2176" s="1"/>
      <c r="Y2176" s="5"/>
      <c r="Z2176" s="1"/>
    </row>
    <row r="2177" customFormat="false" ht="15" hidden="false" customHeight="false" outlineLevel="0" collapsed="false">
      <c r="A2177" s="0" t="s">
        <v>61</v>
      </c>
      <c r="B2177" s="0" t="s">
        <v>62</v>
      </c>
      <c r="C2177" s="0" t="s">
        <v>56</v>
      </c>
      <c r="D2177" s="0" t="s">
        <v>173</v>
      </c>
      <c r="E2177" s="0" t="n">
        <v>46</v>
      </c>
      <c r="F2177" s="0" t="n">
        <v>0</v>
      </c>
      <c r="G2177" s="1"/>
      <c r="H2177" s="1"/>
      <c r="I2177" s="0" t="n">
        <v>0</v>
      </c>
      <c r="J2177" s="0" t="n">
        <f aca="false">(I2177/32)*5</f>
        <v>0</v>
      </c>
      <c r="L2177" s="0" t="n">
        <v>0</v>
      </c>
      <c r="M2177" s="0" t="n">
        <v>0</v>
      </c>
      <c r="N2177" s="0" t="n">
        <f aca="false">L2177</f>
        <v>0</v>
      </c>
      <c r="O2177" s="3" t="n">
        <v>0</v>
      </c>
      <c r="P2177" s="3" t="n">
        <f aca="false">(O2177*(N2177/100)*(J2177/1000))*1000</f>
        <v>0</v>
      </c>
      <c r="Q2177" s="3"/>
      <c r="R2177" s="1"/>
      <c r="S2177" s="1"/>
      <c r="T2177" s="1"/>
      <c r="U2177" s="1"/>
      <c r="V2177" s="1"/>
      <c r="W2177" s="1"/>
      <c r="X2177" s="1"/>
      <c r="Y2177" s="5"/>
      <c r="Z2177" s="1"/>
    </row>
    <row r="2178" customFormat="false" ht="15" hidden="false" customHeight="false" outlineLevel="0" collapsed="false">
      <c r="A2178" s="0" t="s">
        <v>63</v>
      </c>
      <c r="B2178" s="0" t="s">
        <v>64</v>
      </c>
      <c r="C2178" s="0" t="s">
        <v>56</v>
      </c>
      <c r="D2178" s="0" t="s">
        <v>173</v>
      </c>
      <c r="E2178" s="0" t="n">
        <v>46</v>
      </c>
      <c r="F2178" s="0" t="n">
        <v>1</v>
      </c>
      <c r="G2178" s="1"/>
      <c r="H2178" s="1"/>
      <c r="I2178" s="0" t="n">
        <v>15</v>
      </c>
      <c r="J2178" s="0" t="n">
        <f aca="false">(I2178/32)*5</f>
        <v>2.34375</v>
      </c>
      <c r="L2178" s="0" t="n">
        <v>24.5</v>
      </c>
      <c r="M2178" s="0" t="n">
        <v>0</v>
      </c>
      <c r="N2178" s="0" t="n">
        <f aca="false">L2178</f>
        <v>24.5</v>
      </c>
      <c r="O2178" s="3" t="n">
        <f aca="false">LOOKUP(L2178,$AB$3:$AC$123)</f>
        <v>1.101275</v>
      </c>
      <c r="P2178" s="3" t="n">
        <f aca="false">(O2178*(N2178/100)*(J2178/1000))*1000</f>
        <v>0.63237275390625</v>
      </c>
      <c r="Q2178" s="3"/>
      <c r="R2178" s="1"/>
      <c r="S2178" s="1"/>
      <c r="T2178" s="1"/>
      <c r="U2178" s="1"/>
      <c r="V2178" s="1"/>
      <c r="W2178" s="1"/>
      <c r="X2178" s="1"/>
      <c r="Y2178" s="5"/>
      <c r="Z2178" s="1"/>
    </row>
    <row r="2179" customFormat="false" ht="15" hidden="false" customHeight="false" outlineLevel="0" collapsed="false">
      <c r="A2179" s="0" t="s">
        <v>65</v>
      </c>
      <c r="B2179" s="0" t="s">
        <v>66</v>
      </c>
      <c r="C2179" s="0" t="s">
        <v>56</v>
      </c>
      <c r="D2179" s="0" t="s">
        <v>173</v>
      </c>
      <c r="E2179" s="0" t="n">
        <v>46</v>
      </c>
      <c r="F2179" s="0" t="n">
        <v>1</v>
      </c>
      <c r="G2179" s="1"/>
      <c r="H2179" s="1"/>
      <c r="I2179" s="0" t="n">
        <v>22.2</v>
      </c>
      <c r="J2179" s="0" t="n">
        <f aca="false">(I2179/32)*5</f>
        <v>3.46875</v>
      </c>
      <c r="L2179" s="0" t="n">
        <v>25</v>
      </c>
      <c r="M2179" s="0" t="n">
        <v>0</v>
      </c>
      <c r="N2179" s="0" t="n">
        <f aca="false">L2179</f>
        <v>25</v>
      </c>
      <c r="O2179" s="3" t="n">
        <f aca="false">LOOKUP(L2179,$AB$3:$AC$123)</f>
        <v>1.10355</v>
      </c>
      <c r="P2179" s="3" t="n">
        <f aca="false">(O2179*(N2179/100)*(J2179/1000))*1000</f>
        <v>0.956984765625</v>
      </c>
      <c r="Q2179" s="3"/>
      <c r="R2179" s="1"/>
      <c r="S2179" s="1"/>
      <c r="T2179" s="1"/>
      <c r="U2179" s="1"/>
      <c r="V2179" s="1"/>
      <c r="W2179" s="1"/>
      <c r="X2179" s="1"/>
      <c r="Y2179" s="5"/>
      <c r="Z2179" s="1"/>
    </row>
    <row r="2180" customFormat="false" ht="15" hidden="false" customHeight="false" outlineLevel="0" collapsed="false">
      <c r="A2180" s="0" t="s">
        <v>67</v>
      </c>
      <c r="B2180" s="0" t="s">
        <v>68</v>
      </c>
      <c r="C2180" s="0" t="s">
        <v>56</v>
      </c>
      <c r="D2180" s="0" t="s">
        <v>173</v>
      </c>
      <c r="E2180" s="0" t="n">
        <v>46</v>
      </c>
      <c r="F2180" s="0" t="n">
        <v>0</v>
      </c>
      <c r="G2180" s="1"/>
      <c r="H2180" s="1"/>
      <c r="I2180" s="0" t="n">
        <v>0</v>
      </c>
      <c r="J2180" s="0" t="n">
        <f aca="false">(I2180/32)*5</f>
        <v>0</v>
      </c>
      <c r="L2180" s="0" t="n">
        <v>0</v>
      </c>
      <c r="M2180" s="0" t="n">
        <v>0</v>
      </c>
      <c r="N2180" s="0" t="n">
        <f aca="false">L2180</f>
        <v>0</v>
      </c>
      <c r="O2180" s="3" t="n">
        <v>0</v>
      </c>
      <c r="P2180" s="3" t="n">
        <f aca="false">(O2180*(N2180/100)*(J2180/1000))*1000</f>
        <v>0</v>
      </c>
      <c r="Q2180" s="3"/>
      <c r="R2180" s="1"/>
      <c r="S2180" s="1"/>
      <c r="T2180" s="1"/>
      <c r="U2180" s="1"/>
      <c r="V2180" s="1"/>
      <c r="W2180" s="1"/>
      <c r="X2180" s="1"/>
      <c r="Y2180" s="5"/>
      <c r="Z2180" s="1"/>
    </row>
    <row r="2181" customFormat="false" ht="15" hidden="false" customHeight="false" outlineLevel="0" collapsed="false">
      <c r="A2181" s="0" t="s">
        <v>69</v>
      </c>
      <c r="B2181" s="0" t="s">
        <v>70</v>
      </c>
      <c r="C2181" s="0" t="s">
        <v>56</v>
      </c>
      <c r="D2181" s="0" t="s">
        <v>173</v>
      </c>
      <c r="E2181" s="0" t="n">
        <v>46</v>
      </c>
      <c r="F2181" s="0" t="n">
        <v>0</v>
      </c>
      <c r="G2181" s="1"/>
      <c r="H2181" s="1"/>
      <c r="I2181" s="0" t="n">
        <v>0</v>
      </c>
      <c r="J2181" s="0" t="n">
        <f aca="false">(I2181/32)*5</f>
        <v>0</v>
      </c>
      <c r="L2181" s="0" t="n">
        <v>0</v>
      </c>
      <c r="M2181" s="0" t="n">
        <v>0</v>
      </c>
      <c r="N2181" s="0" t="n">
        <f aca="false">L2181</f>
        <v>0</v>
      </c>
      <c r="O2181" s="3" t="n">
        <v>0</v>
      </c>
      <c r="P2181" s="3" t="n">
        <f aca="false">(O2181*(N2181/100)*(J2181/1000))*1000</f>
        <v>0</v>
      </c>
      <c r="Q2181" s="3"/>
      <c r="R2181" s="1"/>
      <c r="S2181" s="1"/>
      <c r="T2181" s="1"/>
      <c r="U2181" s="1"/>
      <c r="V2181" s="1"/>
      <c r="W2181" s="1"/>
      <c r="X2181" s="1"/>
      <c r="Y2181" s="5"/>
      <c r="Z2181" s="1"/>
    </row>
    <row r="2182" customFormat="false" ht="15" hidden="false" customHeight="false" outlineLevel="0" collapsed="false">
      <c r="A2182" s="0" t="s">
        <v>71</v>
      </c>
      <c r="B2182" s="0" t="s">
        <v>72</v>
      </c>
      <c r="C2182" s="0" t="s">
        <v>56</v>
      </c>
      <c r="D2182" s="0" t="s">
        <v>173</v>
      </c>
      <c r="E2182" s="0" t="n">
        <v>46</v>
      </c>
      <c r="F2182" s="0" t="n">
        <v>1</v>
      </c>
      <c r="G2182" s="1"/>
      <c r="H2182" s="1"/>
      <c r="I2182" s="0" t="n">
        <v>26</v>
      </c>
      <c r="J2182" s="0" t="n">
        <f aca="false">(I2182/32)*5</f>
        <v>4.0625</v>
      </c>
      <c r="L2182" s="0" t="n">
        <v>23</v>
      </c>
      <c r="M2182" s="0" t="n">
        <v>0</v>
      </c>
      <c r="N2182" s="0" t="n">
        <f aca="false">L2182</f>
        <v>23</v>
      </c>
      <c r="O2182" s="3" t="n">
        <f aca="false">LOOKUP(L2182,$AB$3:$AC$123)</f>
        <v>1.09445</v>
      </c>
      <c r="P2182" s="3" t="n">
        <f aca="false">(O2182*(N2182/100)*(J2182/1000))*1000</f>
        <v>1.02262671875</v>
      </c>
      <c r="Q2182" s="3"/>
      <c r="R2182" s="1"/>
      <c r="S2182" s="1"/>
      <c r="T2182" s="1"/>
      <c r="U2182" s="1"/>
      <c r="V2182" s="1"/>
      <c r="W2182" s="1"/>
      <c r="X2182" s="1"/>
      <c r="Y2182" s="5"/>
      <c r="Z2182" s="1"/>
    </row>
    <row r="2183" customFormat="false" ht="15" hidden="false" customHeight="false" outlineLevel="0" collapsed="false">
      <c r="A2183" s="0" t="s">
        <v>73</v>
      </c>
      <c r="B2183" s="0" t="s">
        <v>74</v>
      </c>
      <c r="C2183" s="0" t="s">
        <v>56</v>
      </c>
      <c r="D2183" s="0" t="s">
        <v>173</v>
      </c>
      <c r="E2183" s="0" t="n">
        <v>46</v>
      </c>
      <c r="F2183" s="0" t="n">
        <v>1</v>
      </c>
      <c r="G2183" s="1"/>
      <c r="H2183" s="1"/>
      <c r="I2183" s="0" t="n">
        <v>28.6</v>
      </c>
      <c r="J2183" s="0" t="n">
        <f aca="false">(I2183/32)*5</f>
        <v>4.46875</v>
      </c>
      <c r="L2183" s="0" t="n">
        <v>24</v>
      </c>
      <c r="M2183" s="0" t="n">
        <v>0</v>
      </c>
      <c r="N2183" s="0" t="n">
        <f aca="false">L2183</f>
        <v>24</v>
      </c>
      <c r="O2183" s="3" t="n">
        <f aca="false">LOOKUP(L2183,$AB$3:$AC$123)</f>
        <v>1.099</v>
      </c>
      <c r="P2183" s="3" t="n">
        <f aca="false">(O2183*(N2183/100)*(J2183/1000))*1000</f>
        <v>1.1786775</v>
      </c>
      <c r="Q2183" s="3"/>
      <c r="R2183" s="1"/>
      <c r="S2183" s="1"/>
      <c r="T2183" s="1"/>
      <c r="U2183" s="1"/>
      <c r="V2183" s="1"/>
      <c r="W2183" s="1"/>
      <c r="X2183" s="1"/>
      <c r="Y2183" s="5"/>
      <c r="Z2183" s="1"/>
    </row>
    <row r="2184" customFormat="false" ht="15" hidden="false" customHeight="false" outlineLevel="0" collapsed="false">
      <c r="A2184" s="0" t="s">
        <v>75</v>
      </c>
      <c r="B2184" s="0" t="s">
        <v>76</v>
      </c>
      <c r="C2184" s="0" t="s">
        <v>56</v>
      </c>
      <c r="D2184" s="0" t="s">
        <v>173</v>
      </c>
      <c r="E2184" s="0" t="n">
        <v>46</v>
      </c>
      <c r="F2184" s="0" t="n">
        <v>1</v>
      </c>
      <c r="G2184" s="1"/>
      <c r="H2184" s="1"/>
      <c r="I2184" s="0" t="n">
        <f aca="false">25.6+18.9</f>
        <v>44.5</v>
      </c>
      <c r="J2184" s="0" t="n">
        <f aca="false">(I2184/32)*5</f>
        <v>6.953125</v>
      </c>
      <c r="L2184" s="0" t="n">
        <v>26</v>
      </c>
      <c r="M2184" s="0" t="n">
        <v>0</v>
      </c>
      <c r="N2184" s="0" t="n">
        <f aca="false">L2184</f>
        <v>26</v>
      </c>
      <c r="O2184" s="3" t="n">
        <f aca="false">LOOKUP(L2184,$AB$3:$AC$123)</f>
        <v>1.1081</v>
      </c>
      <c r="P2184" s="3" t="n">
        <f aca="false">(O2184*(N2184/100)*(J2184/1000))*1000</f>
        <v>2.00323703125</v>
      </c>
      <c r="Q2184" s="3"/>
      <c r="R2184" s="1"/>
      <c r="S2184" s="1"/>
      <c r="T2184" s="1"/>
      <c r="U2184" s="1"/>
      <c r="V2184" s="1"/>
      <c r="W2184" s="1"/>
      <c r="X2184" s="1"/>
      <c r="Y2184" s="5"/>
      <c r="Z2184" s="1"/>
    </row>
    <row r="2185" customFormat="false" ht="15" hidden="false" customHeight="false" outlineLevel="0" collapsed="false">
      <c r="A2185" s="0" t="s">
        <v>77</v>
      </c>
      <c r="B2185" s="0" t="s">
        <v>78</v>
      </c>
      <c r="C2185" s="0" t="s">
        <v>56</v>
      </c>
      <c r="D2185" s="0" t="s">
        <v>173</v>
      </c>
      <c r="E2185" s="0" t="n">
        <v>46</v>
      </c>
      <c r="F2185" s="0" t="n">
        <v>0</v>
      </c>
      <c r="G2185" s="1"/>
      <c r="H2185" s="1"/>
      <c r="I2185" s="0" t="n">
        <v>0</v>
      </c>
      <c r="J2185" s="0" t="n">
        <f aca="false">(I2185/32)*5</f>
        <v>0</v>
      </c>
      <c r="L2185" s="0" t="n">
        <v>0</v>
      </c>
      <c r="M2185" s="0" t="n">
        <v>0</v>
      </c>
      <c r="N2185" s="0" t="n">
        <f aca="false">L2185</f>
        <v>0</v>
      </c>
      <c r="O2185" s="3" t="n">
        <v>0</v>
      </c>
      <c r="P2185" s="3" t="n">
        <f aca="false">(O2185*(N2185/100)*(J2185/1000))*1000</f>
        <v>0</v>
      </c>
      <c r="Q2185" s="3"/>
      <c r="R2185" s="1"/>
      <c r="S2185" s="1"/>
      <c r="T2185" s="1"/>
      <c r="U2185" s="1"/>
      <c r="V2185" s="1"/>
      <c r="W2185" s="1"/>
      <c r="X2185" s="1"/>
      <c r="Y2185" s="5"/>
      <c r="Z2185" s="1"/>
    </row>
    <row r="2186" customFormat="false" ht="15" hidden="false" customHeight="false" outlineLevel="0" collapsed="false">
      <c r="A2186" s="0" t="s">
        <v>79</v>
      </c>
      <c r="B2186" s="0" t="s">
        <v>80</v>
      </c>
      <c r="C2186" s="0" t="s">
        <v>81</v>
      </c>
      <c r="D2186" s="0" t="s">
        <v>173</v>
      </c>
      <c r="E2186" s="0" t="n">
        <v>46</v>
      </c>
      <c r="F2186" s="0" t="n">
        <v>1</v>
      </c>
      <c r="G2186" s="1"/>
      <c r="H2186" s="1"/>
      <c r="I2186" s="0" t="n">
        <v>16.8</v>
      </c>
      <c r="J2186" s="0" t="n">
        <f aca="false">(I2186/32)*5</f>
        <v>2.625</v>
      </c>
      <c r="L2186" s="0" t="n">
        <v>23.5</v>
      </c>
      <c r="M2186" s="0" t="n">
        <v>0</v>
      </c>
      <c r="N2186" s="0" t="n">
        <f aca="false">L2186</f>
        <v>23.5</v>
      </c>
      <c r="O2186" s="3" t="n">
        <f aca="false">LOOKUP(L2186,$AB$3:$AC$123)</f>
        <v>1.096725</v>
      </c>
      <c r="P2186" s="3" t="n">
        <f aca="false">(O2186*(N2186/100)*(J2186/1000))*1000</f>
        <v>0.676542234375</v>
      </c>
      <c r="Q2186" s="3"/>
      <c r="R2186" s="0" t="n">
        <v>0</v>
      </c>
      <c r="S2186" s="0" t="n">
        <v>0</v>
      </c>
      <c r="T2186" s="0" t="n">
        <f aca="false">(S2186/32)*5</f>
        <v>0</v>
      </c>
      <c r="V2186" s="0" t="n">
        <v>0</v>
      </c>
      <c r="W2186" s="0" t="n">
        <v>4</v>
      </c>
      <c r="X2186" s="3" t="n">
        <v>0</v>
      </c>
      <c r="Y2186" s="2" t="n">
        <v>0</v>
      </c>
      <c r="Z2186" s="3" t="n">
        <f aca="false">(X2186*(V2186/100)*((W2186+T2186)/1000))*1000</f>
        <v>0</v>
      </c>
    </row>
    <row r="2187" customFormat="false" ht="15" hidden="false" customHeight="false" outlineLevel="0" collapsed="false">
      <c r="A2187" s="0" t="s">
        <v>82</v>
      </c>
      <c r="B2187" s="0" t="s">
        <v>83</v>
      </c>
      <c r="C2187" s="0" t="s">
        <v>81</v>
      </c>
      <c r="D2187" s="0" t="s">
        <v>173</v>
      </c>
      <c r="E2187" s="0" t="n">
        <v>46</v>
      </c>
      <c r="F2187" s="0" t="n">
        <v>0</v>
      </c>
      <c r="G2187" s="1"/>
      <c r="H2187" s="1"/>
      <c r="I2187" s="0" t="n">
        <v>0</v>
      </c>
      <c r="J2187" s="0" t="n">
        <f aca="false">(I2187/32)*5</f>
        <v>0</v>
      </c>
      <c r="L2187" s="0" t="n">
        <v>0</v>
      </c>
      <c r="M2187" s="0" t="n">
        <v>0</v>
      </c>
      <c r="N2187" s="0" t="n">
        <f aca="false">L2187</f>
        <v>0</v>
      </c>
      <c r="O2187" s="3" t="n">
        <v>0</v>
      </c>
      <c r="P2187" s="3" t="n">
        <f aca="false">(O2187*(N2187/100)*(J2187/1000))*1000</f>
        <v>0</v>
      </c>
      <c r="Q2187" s="3"/>
      <c r="R2187" s="3" t="n">
        <v>2</v>
      </c>
      <c r="S2187" s="3" t="n">
        <v>4.5</v>
      </c>
      <c r="T2187" s="0" t="n">
        <f aca="false">(S2187/32)*5</f>
        <v>0.703125</v>
      </c>
      <c r="V2187" s="0" t="n">
        <v>7</v>
      </c>
      <c r="W2187" s="0" t="n">
        <v>4</v>
      </c>
      <c r="X2187" s="3" t="n">
        <f aca="false">LOOKUP(V2187,$AB$3:$AC$123)</f>
        <v>1.0259</v>
      </c>
      <c r="Y2187" s="2" t="n">
        <f aca="false">(V2187*((W2187+T2187)/1000)*X2187)/((((W2187+T2187)/1000)*X2187)-((W2187/1000)*0.9982))</f>
        <v>40.5877814434616</v>
      </c>
      <c r="Z2187" s="3" t="n">
        <f aca="false">(X2187*(V2187/100)*((W2187+T2187)/1000))*1000</f>
        <v>0.337745515625</v>
      </c>
    </row>
    <row r="2188" customFormat="false" ht="15" hidden="false" customHeight="false" outlineLevel="0" collapsed="false">
      <c r="A2188" s="0" t="s">
        <v>84</v>
      </c>
      <c r="B2188" s="0" t="s">
        <v>85</v>
      </c>
      <c r="C2188" s="0" t="s">
        <v>81</v>
      </c>
      <c r="D2188" s="0" t="s">
        <v>173</v>
      </c>
      <c r="E2188" s="0" t="n">
        <v>46</v>
      </c>
      <c r="F2188" s="0" t="n">
        <v>1</v>
      </c>
      <c r="G2188" s="1"/>
      <c r="H2188" s="1"/>
      <c r="I2188" s="0" t="n">
        <v>24.1</v>
      </c>
      <c r="J2188" s="0" t="n">
        <f aca="false">(I2188/32)*5</f>
        <v>3.765625</v>
      </c>
      <c r="L2188" s="0" t="n">
        <v>24.5</v>
      </c>
      <c r="M2188" s="0" t="n">
        <v>0</v>
      </c>
      <c r="N2188" s="0" t="n">
        <f aca="false">L2188</f>
        <v>24.5</v>
      </c>
      <c r="O2188" s="3" t="n">
        <f aca="false">LOOKUP(L2188,$AB$3:$AC$123)</f>
        <v>1.101275</v>
      </c>
      <c r="P2188" s="3" t="n">
        <f aca="false">(O2188*(N2188/100)*(J2188/1000))*1000</f>
        <v>1.01601222460937</v>
      </c>
      <c r="Q2188" s="3"/>
      <c r="R2188" s="0" t="n">
        <v>0</v>
      </c>
      <c r="S2188" s="0" t="n">
        <v>0</v>
      </c>
      <c r="T2188" s="0" t="n">
        <f aca="false">(S2188/32)*5</f>
        <v>0</v>
      </c>
      <c r="V2188" s="0" t="n">
        <v>0</v>
      </c>
      <c r="W2188" s="0" t="n">
        <v>4</v>
      </c>
      <c r="X2188" s="3" t="n">
        <v>0</v>
      </c>
      <c r="Y2188" s="2" t="n">
        <v>0</v>
      </c>
      <c r="Z2188" s="3" t="n">
        <f aca="false">(X2188*(V2188/100)*((W2188+T2188)/1000))*1000</f>
        <v>0</v>
      </c>
    </row>
    <row r="2189" customFormat="false" ht="15" hidden="false" customHeight="false" outlineLevel="0" collapsed="false">
      <c r="A2189" s="0" t="s">
        <v>86</v>
      </c>
      <c r="B2189" s="0" t="s">
        <v>87</v>
      </c>
      <c r="C2189" s="0" t="s">
        <v>81</v>
      </c>
      <c r="D2189" s="0" t="s">
        <v>173</v>
      </c>
      <c r="E2189" s="0" t="n">
        <v>46</v>
      </c>
      <c r="F2189" s="0" t="n">
        <v>0</v>
      </c>
      <c r="G2189" s="1"/>
      <c r="H2189" s="1"/>
      <c r="I2189" s="0" t="n">
        <v>0</v>
      </c>
      <c r="J2189" s="0" t="n">
        <f aca="false">(I2189/32)*5</f>
        <v>0</v>
      </c>
      <c r="L2189" s="0" t="n">
        <v>0</v>
      </c>
      <c r="M2189" s="0" t="n">
        <v>0</v>
      </c>
      <c r="N2189" s="0" t="n">
        <f aca="false">L2189</f>
        <v>0</v>
      </c>
      <c r="O2189" s="3" t="n">
        <f aca="false">LOOKUP(L2189,$AB$3:$AC$123)</f>
        <v>0.9982</v>
      </c>
      <c r="P2189" s="3" t="n">
        <f aca="false">(O2189*(N2189/100)*(J2189/1000))*1000</f>
        <v>0</v>
      </c>
      <c r="Q2189" s="3"/>
      <c r="R2189" s="0" t="n">
        <v>2</v>
      </c>
      <c r="S2189" s="0" t="n">
        <v>3.6</v>
      </c>
      <c r="T2189" s="0" t="n">
        <f aca="false">(S2189/32)*5</f>
        <v>0.5625</v>
      </c>
      <c r="V2189" s="0" t="n">
        <v>10.5</v>
      </c>
      <c r="W2189" s="0" t="n">
        <v>4</v>
      </c>
      <c r="X2189" s="3" t="n">
        <f aca="false">LOOKUP(V2189,$AB$3:$AC$123)</f>
        <v>1.0402</v>
      </c>
      <c r="Y2189" s="2" t="n">
        <f aca="false">(V2189*((W2189+T2189)/1000)*X2189)/((((W2189+T2189)/1000)*X2189)-((W2189/1000)*0.9982))</f>
        <v>66.1681770651796</v>
      </c>
      <c r="Z2189" s="3" t="n">
        <f aca="false">(X2189*(V2189/100)*((W2189+T2189)/1000))*1000</f>
        <v>0.4983208125</v>
      </c>
    </row>
    <row r="2190" customFormat="false" ht="15" hidden="false" customHeight="false" outlineLevel="0" collapsed="false">
      <c r="A2190" s="0" t="s">
        <v>88</v>
      </c>
      <c r="B2190" s="0" t="s">
        <v>89</v>
      </c>
      <c r="C2190" s="0" t="s">
        <v>81</v>
      </c>
      <c r="D2190" s="0" t="s">
        <v>173</v>
      </c>
      <c r="E2190" s="0" t="n">
        <v>46</v>
      </c>
      <c r="F2190" s="0" t="n">
        <v>1</v>
      </c>
      <c r="G2190" s="1"/>
      <c r="H2190" s="1"/>
      <c r="I2190" s="0" t="n">
        <v>23.9</v>
      </c>
      <c r="J2190" s="0" t="n">
        <f aca="false">(I2190/32)*5</f>
        <v>3.734375</v>
      </c>
      <c r="L2190" s="0" t="n">
        <v>21.5</v>
      </c>
      <c r="M2190" s="0" t="n">
        <v>0</v>
      </c>
      <c r="N2190" s="0" t="n">
        <f aca="false">L2190</f>
        <v>21.5</v>
      </c>
      <c r="O2190" s="3" t="n">
        <f aca="false">LOOKUP(L2190,$AB$3:$AC$123)</f>
        <v>1.087675</v>
      </c>
      <c r="P2190" s="3" t="n">
        <f aca="false">(O2190*(N2190/100)*(J2190/1000))*1000</f>
        <v>0.873284060546875</v>
      </c>
      <c r="Q2190" s="3"/>
      <c r="R2190" s="0" t="n">
        <v>2</v>
      </c>
      <c r="S2190" s="0" t="n">
        <v>2.8</v>
      </c>
      <c r="T2190" s="0" t="n">
        <f aca="false">(S2190/32)*5</f>
        <v>0.4375</v>
      </c>
      <c r="V2190" s="0" t="n">
        <v>12</v>
      </c>
      <c r="W2190" s="0" t="n">
        <v>4</v>
      </c>
      <c r="X2190" s="3" t="n">
        <f aca="false">LOOKUP(V2190,$AB$3:$AC$123)</f>
        <v>1.0465</v>
      </c>
      <c r="Y2190" s="2" t="n">
        <f aca="false">(V2190*((W2190+T2190)/1000)*X2190)/((((W2190+T2190)/1000)*X2190)-((W2190/1000)*0.9982))</f>
        <v>85.595054095827</v>
      </c>
      <c r="Z2190" s="3" t="n">
        <f aca="false">(X2190*(V2190/100)*((W2190+T2190)/1000))*1000</f>
        <v>0.55726125</v>
      </c>
    </row>
    <row r="2191" customFormat="false" ht="15" hidden="false" customHeight="false" outlineLevel="0" collapsed="false">
      <c r="A2191" s="0" t="s">
        <v>90</v>
      </c>
      <c r="B2191" s="0" t="s">
        <v>91</v>
      </c>
      <c r="C2191" s="0" t="s">
        <v>81</v>
      </c>
      <c r="D2191" s="0" t="s">
        <v>173</v>
      </c>
      <c r="E2191" s="0" t="n">
        <v>46</v>
      </c>
      <c r="F2191" s="0" t="n">
        <v>1</v>
      </c>
      <c r="G2191" s="1"/>
      <c r="H2191" s="1"/>
      <c r="I2191" s="0" t="n">
        <v>30.4</v>
      </c>
      <c r="J2191" s="0" t="n">
        <f aca="false">(I2191/32)*5</f>
        <v>4.75</v>
      </c>
      <c r="L2191" s="0" t="n">
        <v>25.5</v>
      </c>
      <c r="M2191" s="0" t="n">
        <v>0</v>
      </c>
      <c r="N2191" s="0" t="n">
        <f aca="false">L2191</f>
        <v>25.5</v>
      </c>
      <c r="O2191" s="3" t="n">
        <f aca="false">LOOKUP(L2191,$AB$3:$AC$123)</f>
        <v>1.105825</v>
      </c>
      <c r="P2191" s="3" t="n">
        <f aca="false">(O2191*(N2191/100)*(J2191/1000))*1000</f>
        <v>1.33943053125</v>
      </c>
      <c r="Q2191" s="3"/>
      <c r="R2191" s="0" t="n">
        <v>6</v>
      </c>
      <c r="S2191" s="0" t="n">
        <v>6.9</v>
      </c>
      <c r="T2191" s="0" t="n">
        <f aca="false">(S2191/32)*5</f>
        <v>1.078125</v>
      </c>
      <c r="V2191" s="0" t="n">
        <v>12</v>
      </c>
      <c r="W2191" s="0" t="n">
        <v>4</v>
      </c>
      <c r="X2191" s="3" t="n">
        <f aca="false">LOOKUP(V2191,$AB$3:$AC$123)</f>
        <v>1.0465</v>
      </c>
      <c r="Y2191" s="2" t="n">
        <f aca="false">(V2191*((W2191+T2191)/1000)*X2191)/((((W2191+T2191)/1000)*X2191)-((W2191/1000)*0.9982))</f>
        <v>48.258138206739</v>
      </c>
      <c r="Z2191" s="3" t="n">
        <f aca="false">(X2191*(V2191/100)*((W2191+T2191)/1000))*1000</f>
        <v>0.6377109375</v>
      </c>
    </row>
    <row r="2192" customFormat="false" ht="15" hidden="false" customHeight="false" outlineLevel="0" collapsed="false">
      <c r="A2192" s="0" t="s">
        <v>92</v>
      </c>
      <c r="B2192" s="0" t="s">
        <v>93</v>
      </c>
      <c r="C2192" s="0" t="s">
        <v>81</v>
      </c>
      <c r="D2192" s="0" t="s">
        <v>173</v>
      </c>
      <c r="E2192" s="0" t="n">
        <v>46</v>
      </c>
      <c r="F2192" s="0" t="n">
        <v>2</v>
      </c>
      <c r="G2192" s="1"/>
      <c r="H2192" s="1"/>
      <c r="I2192" s="0" t="n">
        <v>21.8</v>
      </c>
      <c r="J2192" s="0" t="n">
        <f aca="false">(I2192/32)*5</f>
        <v>3.40625</v>
      </c>
      <c r="L2192" s="0" t="n">
        <v>23</v>
      </c>
      <c r="M2192" s="0" t="n">
        <v>0</v>
      </c>
      <c r="N2192" s="0" t="n">
        <f aca="false">L2192</f>
        <v>23</v>
      </c>
      <c r="O2192" s="3" t="n">
        <f aca="false">LOOKUP(L2192,$AB$3:$AC$123)</f>
        <v>1.09445</v>
      </c>
      <c r="P2192" s="3" t="n">
        <f aca="false">(O2192*(N2192/100)*(J2192/1000))*1000</f>
        <v>0.857433171875</v>
      </c>
      <c r="Q2192" s="3"/>
      <c r="R2192" s="0" t="n">
        <v>2</v>
      </c>
      <c r="S2192" s="0" t="n">
        <v>2</v>
      </c>
      <c r="T2192" s="0" t="n">
        <f aca="false">(S2192/32)*5</f>
        <v>0.3125</v>
      </c>
      <c r="V2192" s="0" t="n">
        <v>7.5</v>
      </c>
      <c r="W2192" s="0" t="n">
        <v>4</v>
      </c>
      <c r="X2192" s="3" t="n">
        <f aca="false">LOOKUP(V2192,$AB$3:$AC$123)</f>
        <v>1.0279</v>
      </c>
      <c r="Y2192" s="2" t="n">
        <f aca="false">(V2192*((W2192+T2192)/1000)*X2192)/((((W2192+T2192)/1000)*X2192)-((W2192/1000)*0.9982))</f>
        <v>75.5561907873244</v>
      </c>
      <c r="Z2192" s="3" t="n">
        <f aca="false">(X2192*(V2192/100)*((W2192+T2192)/1000))*1000</f>
        <v>0.33246140625</v>
      </c>
    </row>
    <row r="2193" customFormat="false" ht="15" hidden="false" customHeight="false" outlineLevel="0" collapsed="false">
      <c r="A2193" s="0" t="s">
        <v>94</v>
      </c>
      <c r="B2193" s="0" t="s">
        <v>95</v>
      </c>
      <c r="C2193" s="0" t="s">
        <v>81</v>
      </c>
      <c r="D2193" s="0" t="s">
        <v>173</v>
      </c>
      <c r="E2193" s="0" t="n">
        <v>46</v>
      </c>
      <c r="F2193" s="0" t="n">
        <v>3</v>
      </c>
      <c r="G2193" s="1"/>
      <c r="H2193" s="1"/>
      <c r="I2193" s="0" t="n">
        <f aca="false">27.1+22.6+27.5+30.6+24.9</f>
        <v>132.7</v>
      </c>
      <c r="J2193" s="0" t="n">
        <f aca="false">(I2193/32)*5</f>
        <v>20.734375</v>
      </c>
      <c r="L2193" s="0" t="n">
        <v>28</v>
      </c>
      <c r="M2193" s="0" t="n">
        <v>0</v>
      </c>
      <c r="N2193" s="0" t="n">
        <f aca="false">L2193</f>
        <v>28</v>
      </c>
      <c r="O2193" s="3" t="n">
        <f aca="false">LOOKUP(L2193,$AB$3:$AC$123)</f>
        <v>1.1175</v>
      </c>
      <c r="P2193" s="3" t="n">
        <f aca="false">(O2193*(N2193/100)*(J2193/1000))*1000</f>
        <v>6.4877859375</v>
      </c>
      <c r="Q2193" s="3"/>
      <c r="R2193" s="0" t="n">
        <v>6</v>
      </c>
      <c r="S2193" s="0" t="n">
        <v>5.9</v>
      </c>
      <c r="T2193" s="0" t="n">
        <f aca="false">(S2193/32)*5</f>
        <v>0.921875</v>
      </c>
      <c r="V2193" s="0" t="n">
        <v>18</v>
      </c>
      <c r="W2193" s="0" t="n">
        <v>4</v>
      </c>
      <c r="X2193" s="3" t="n">
        <f aca="false">LOOKUP(V2193,$AB$3:$AC$123)</f>
        <v>1.0722</v>
      </c>
      <c r="Y2193" s="2" t="n">
        <f aca="false">(V2193*((W2193+T2193)/1000)*X2193)/((((W2193+T2193)/1000)*X2193)-((W2193/1000)*0.9982))</f>
        <v>73.9549023281162</v>
      </c>
      <c r="Z2193" s="3" t="n">
        <f aca="false">(X2193*(V2193/100)*((W2193+T2193)/1000))*1000</f>
        <v>0.9499021875</v>
      </c>
    </row>
    <row r="2194" customFormat="false" ht="15" hidden="false" customHeight="false" outlineLevel="0" collapsed="false">
      <c r="A2194" s="0" t="s">
        <v>96</v>
      </c>
      <c r="B2194" s="0" t="s">
        <v>97</v>
      </c>
      <c r="C2194" s="0" t="s">
        <v>81</v>
      </c>
      <c r="D2194" s="0" t="s">
        <v>173</v>
      </c>
      <c r="E2194" s="0" t="n">
        <v>46</v>
      </c>
      <c r="F2194" s="0" t="n">
        <v>2</v>
      </c>
      <c r="G2194" s="1"/>
      <c r="H2194" s="1"/>
      <c r="I2194" s="0" t="n">
        <f aca="false">28+24.4+11.3</f>
        <v>63.7</v>
      </c>
      <c r="J2194" s="0" t="n">
        <f aca="false">(I2194/32)*5</f>
        <v>9.953125</v>
      </c>
      <c r="L2194" s="0" t="n">
        <v>28</v>
      </c>
      <c r="M2194" s="0" t="n">
        <v>0</v>
      </c>
      <c r="N2194" s="0" t="n">
        <f aca="false">L2194</f>
        <v>28</v>
      </c>
      <c r="O2194" s="3" t="n">
        <f aca="false">LOOKUP(L2194,$AB$3:$AC$123)</f>
        <v>1.1175</v>
      </c>
      <c r="P2194" s="3" t="n">
        <f aca="false">(O2194*(N2194/100)*(J2194/1000))*1000</f>
        <v>3.1143328125</v>
      </c>
      <c r="Q2194" s="3"/>
      <c r="R2194" s="0" t="n">
        <v>1</v>
      </c>
      <c r="S2194" s="0" t="n">
        <v>1.7</v>
      </c>
      <c r="T2194" s="0" t="n">
        <f aca="false">(S2194/32)*5</f>
        <v>0.265625</v>
      </c>
      <c r="V2194" s="0" t="n">
        <v>4.5</v>
      </c>
      <c r="W2194" s="0" t="n">
        <v>4</v>
      </c>
      <c r="X2194" s="3" t="n">
        <f aca="false">LOOKUP(V2194,$AB$3:$AC$123)</f>
        <v>1.0159</v>
      </c>
      <c r="Y2194" s="2" t="n">
        <f aca="false">(V2194*((W2194+T2194)/1000)*X2194)/((((W2194+T2194)/1000)*X2194)-((W2194/1000)*0.9982))</f>
        <v>57.2452881682452</v>
      </c>
      <c r="Z2194" s="3" t="n">
        <f aca="false">(X2194*(V2194/100)*((W2194+T2194)/1000))*1000</f>
        <v>0.1950051796875</v>
      </c>
    </row>
    <row r="2195" customFormat="false" ht="15" hidden="false" customHeight="false" outlineLevel="0" collapsed="false">
      <c r="A2195" s="0" t="s">
        <v>98</v>
      </c>
      <c r="B2195" s="0" t="s">
        <v>99</v>
      </c>
      <c r="C2195" s="0" t="s">
        <v>81</v>
      </c>
      <c r="D2195" s="0" t="s">
        <v>173</v>
      </c>
      <c r="E2195" s="0" t="n">
        <v>46</v>
      </c>
      <c r="F2195" s="0" t="n">
        <v>2</v>
      </c>
      <c r="G2195" s="1"/>
      <c r="H2195" s="1"/>
      <c r="I2195" s="0" t="n">
        <f aca="false">12.3+24.5</f>
        <v>36.8</v>
      </c>
      <c r="J2195" s="0" t="n">
        <f aca="false">(I2195/32)*5</f>
        <v>5.75</v>
      </c>
      <c r="L2195" s="0" t="n">
        <v>23</v>
      </c>
      <c r="M2195" s="0" t="n">
        <v>0</v>
      </c>
      <c r="N2195" s="0" t="n">
        <f aca="false">L2195</f>
        <v>23</v>
      </c>
      <c r="O2195" s="3" t="n">
        <f aca="false">LOOKUP(L2195,$AB$3:$AC$123)</f>
        <v>1.09445</v>
      </c>
      <c r="P2195" s="3" t="n">
        <f aca="false">(O2195*(N2195/100)*(J2195/1000))*1000</f>
        <v>1.447410125</v>
      </c>
      <c r="Q2195" s="3"/>
      <c r="R2195" s="0" t="n">
        <v>2</v>
      </c>
      <c r="S2195" s="0" t="n">
        <v>2</v>
      </c>
      <c r="T2195" s="0" t="n">
        <f aca="false">(S2195/32)*5</f>
        <v>0.3125</v>
      </c>
      <c r="V2195" s="0" t="n">
        <v>5.5</v>
      </c>
      <c r="W2195" s="0" t="n">
        <v>4</v>
      </c>
      <c r="X2195" s="3" t="n">
        <f aca="false">LOOKUP(V2195,$AB$3:$AC$123)</f>
        <v>1.01985</v>
      </c>
      <c r="Y2195" s="2" t="n">
        <f aca="false">(V2195*((W2195+T2195)/1000)*X2195)/((((W2195+T2195)/1000)*X2195)-((W2195/1000)*0.9982))</f>
        <v>59.6826564993793</v>
      </c>
      <c r="Z2195" s="3" t="n">
        <f aca="false">(X2195*(V2195/100)*((W2195+T2195)/1000))*1000</f>
        <v>0.241895671875</v>
      </c>
    </row>
    <row r="2196" customFormat="false" ht="15" hidden="false" customHeight="false" outlineLevel="0" collapsed="false">
      <c r="A2196" s="0" t="s">
        <v>100</v>
      </c>
      <c r="B2196" s="0" t="s">
        <v>101</v>
      </c>
      <c r="C2196" s="0" t="s">
        <v>81</v>
      </c>
      <c r="D2196" s="0" t="s">
        <v>173</v>
      </c>
      <c r="E2196" s="0" t="n">
        <v>46</v>
      </c>
      <c r="F2196" s="0" t="n">
        <v>0</v>
      </c>
      <c r="G2196" s="1"/>
      <c r="H2196" s="1"/>
      <c r="I2196" s="0" t="n">
        <v>0</v>
      </c>
      <c r="J2196" s="0" t="n">
        <f aca="false">(I2196/32)*5</f>
        <v>0</v>
      </c>
      <c r="L2196" s="0" t="n">
        <v>0</v>
      </c>
      <c r="M2196" s="0" t="n">
        <v>0</v>
      </c>
      <c r="N2196" s="0" t="n">
        <f aca="false">L2196</f>
        <v>0</v>
      </c>
      <c r="O2196" s="3" t="n">
        <v>0</v>
      </c>
      <c r="P2196" s="3" t="n">
        <f aca="false">(O2196*(N2196/100)*(J2196/1000))*1000</f>
        <v>0</v>
      </c>
      <c r="Q2196" s="3"/>
      <c r="R2196" s="3" t="n">
        <v>0</v>
      </c>
      <c r="S2196" s="3" t="n">
        <v>0</v>
      </c>
      <c r="T2196" s="0" t="n">
        <f aca="false">(S2196/32)*5</f>
        <v>0</v>
      </c>
      <c r="V2196" s="0" t="n">
        <v>0</v>
      </c>
      <c r="W2196" s="0" t="n">
        <v>4</v>
      </c>
      <c r="X2196" s="3" t="n">
        <v>0</v>
      </c>
      <c r="Y2196" s="2" t="n">
        <v>0</v>
      </c>
      <c r="Z2196" s="3" t="n">
        <f aca="false">(X2196*(V2196/100)*((W2196+T2196)/1000))*1000</f>
        <v>0</v>
      </c>
    </row>
    <row r="2197" customFormat="false" ht="15" hidden="false" customHeight="false" outlineLevel="0" collapsed="false">
      <c r="A2197" s="0" t="s">
        <v>102</v>
      </c>
      <c r="B2197" s="0" t="s">
        <v>103</v>
      </c>
      <c r="C2197" s="0" t="s">
        <v>81</v>
      </c>
      <c r="D2197" s="0" t="s">
        <v>173</v>
      </c>
      <c r="E2197" s="0" t="n">
        <v>46</v>
      </c>
      <c r="F2197" s="0" t="n">
        <v>0</v>
      </c>
      <c r="G2197" s="1"/>
      <c r="H2197" s="1"/>
      <c r="I2197" s="0" t="n">
        <v>0</v>
      </c>
      <c r="J2197" s="0" t="n">
        <f aca="false">(I2197/32)*5</f>
        <v>0</v>
      </c>
      <c r="L2197" s="0" t="n">
        <v>0</v>
      </c>
      <c r="M2197" s="0" t="n">
        <v>0</v>
      </c>
      <c r="N2197" s="0" t="n">
        <f aca="false">L2197</f>
        <v>0</v>
      </c>
      <c r="O2197" s="3" t="n">
        <v>0</v>
      </c>
      <c r="P2197" s="3" t="n">
        <f aca="false">(O2197*(N2197/100)*(J2197/1000))*1000</f>
        <v>0</v>
      </c>
      <c r="Q2197" s="3"/>
      <c r="R2197" s="3" t="n">
        <v>2</v>
      </c>
      <c r="S2197" s="3" t="n">
        <v>2.9</v>
      </c>
      <c r="T2197" s="0" t="n">
        <f aca="false">(S2197/32)*5</f>
        <v>0.453125</v>
      </c>
      <c r="V2197" s="0" t="n">
        <v>5</v>
      </c>
      <c r="W2197" s="0" t="n">
        <v>4</v>
      </c>
      <c r="X2197" s="3" t="n">
        <f aca="false">LOOKUP(V2197,$AB$3:$AC$123)</f>
        <v>1.0179</v>
      </c>
      <c r="Y2197" s="2" t="n">
        <f aca="false">(V2197*((W2197+T2197)/1000)*X2197)/((((W2197+T2197)/1000)*X2197)-((W2197/1000)*0.9982))</f>
        <v>41.9679101217223</v>
      </c>
      <c r="Z2197" s="3" t="n">
        <f aca="false">(X2197*(V2197/100)*((W2197+T2197)/1000))*1000</f>
        <v>0.226641796875</v>
      </c>
    </row>
    <row r="2198" customFormat="false" ht="15" hidden="false" customHeight="false" outlineLevel="0" collapsed="false">
      <c r="A2198" s="0" t="s">
        <v>104</v>
      </c>
      <c r="B2198" s="0" t="s">
        <v>105</v>
      </c>
      <c r="C2198" s="0" t="s">
        <v>106</v>
      </c>
      <c r="D2198" s="0" t="s">
        <v>173</v>
      </c>
      <c r="E2198" s="0" t="n">
        <v>46</v>
      </c>
      <c r="F2198" s="0" t="n">
        <v>3</v>
      </c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3" t="n">
        <v>7</v>
      </c>
      <c r="S2198" s="1"/>
      <c r="T2198" s="1"/>
      <c r="U2198" s="1"/>
      <c r="V2198" s="1"/>
      <c r="W2198" s="1"/>
      <c r="X2198" s="1"/>
      <c r="Y2198" s="5"/>
      <c r="Z2198" s="1"/>
    </row>
    <row r="2199" customFormat="false" ht="15" hidden="false" customHeight="false" outlineLevel="0" collapsed="false">
      <c r="A2199" s="0" t="s">
        <v>107</v>
      </c>
      <c r="B2199" s="0" t="s">
        <v>37</v>
      </c>
      <c r="C2199" s="0" t="s">
        <v>106</v>
      </c>
      <c r="D2199" s="0" t="s">
        <v>173</v>
      </c>
      <c r="E2199" s="0" t="n">
        <v>46</v>
      </c>
      <c r="F2199" s="0" t="n">
        <v>0</v>
      </c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3" t="n">
        <v>9</v>
      </c>
      <c r="S2199" s="1"/>
      <c r="T2199" s="1"/>
      <c r="U2199" s="1"/>
      <c r="V2199" s="1"/>
      <c r="W2199" s="1"/>
      <c r="X2199" s="1"/>
      <c r="Y2199" s="5"/>
      <c r="Z2199" s="1"/>
    </row>
    <row r="2200" customFormat="false" ht="15" hidden="false" customHeight="false" outlineLevel="0" collapsed="false">
      <c r="A2200" s="0" t="s">
        <v>108</v>
      </c>
      <c r="B2200" s="0" t="s">
        <v>109</v>
      </c>
      <c r="C2200" s="0" t="s">
        <v>106</v>
      </c>
      <c r="D2200" s="0" t="s">
        <v>173</v>
      </c>
      <c r="E2200" s="0" t="n">
        <v>46</v>
      </c>
      <c r="F2200" s="0" t="n">
        <v>4</v>
      </c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3" t="n">
        <v>12</v>
      </c>
      <c r="S2200" s="1"/>
      <c r="T2200" s="1"/>
      <c r="U2200" s="1"/>
      <c r="V2200" s="1"/>
      <c r="W2200" s="1"/>
      <c r="X2200" s="1"/>
      <c r="Y2200" s="5"/>
      <c r="Z2200" s="1"/>
    </row>
    <row r="2201" customFormat="false" ht="15" hidden="false" customHeight="false" outlineLevel="0" collapsed="false">
      <c r="A2201" s="0" t="s">
        <v>110</v>
      </c>
      <c r="B2201" s="0" t="s">
        <v>111</v>
      </c>
      <c r="C2201" s="0" t="s">
        <v>106</v>
      </c>
      <c r="D2201" s="0" t="s">
        <v>173</v>
      </c>
      <c r="E2201" s="0" t="n">
        <v>46</v>
      </c>
      <c r="F2201" s="0" t="n">
        <v>2</v>
      </c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3" t="n">
        <v>11</v>
      </c>
      <c r="S2201" s="1"/>
      <c r="T2201" s="1"/>
      <c r="U2201" s="1"/>
      <c r="V2201" s="1"/>
      <c r="W2201" s="1"/>
      <c r="X2201" s="1"/>
      <c r="Y2201" s="5"/>
      <c r="Z2201" s="1"/>
    </row>
    <row r="2202" customFormat="false" ht="15" hidden="false" customHeight="false" outlineLevel="0" collapsed="false">
      <c r="A2202" s="0" t="s">
        <v>112</v>
      </c>
      <c r="B2202" s="0" t="s">
        <v>113</v>
      </c>
      <c r="C2202" s="0" t="s">
        <v>106</v>
      </c>
      <c r="D2202" s="0" t="s">
        <v>173</v>
      </c>
      <c r="E2202" s="0" t="n">
        <v>46</v>
      </c>
      <c r="F2202" s="0" t="n">
        <v>1</v>
      </c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3" t="n">
        <v>11</v>
      </c>
      <c r="S2202" s="1"/>
      <c r="T2202" s="1"/>
      <c r="U2202" s="1"/>
      <c r="V2202" s="1"/>
      <c r="W2202" s="1"/>
      <c r="X2202" s="1"/>
      <c r="Y2202" s="5"/>
      <c r="Z2202" s="1"/>
    </row>
    <row r="2203" customFormat="false" ht="15" hidden="false" customHeight="false" outlineLevel="0" collapsed="false">
      <c r="A2203" s="0" t="s">
        <v>114</v>
      </c>
      <c r="B2203" s="0" t="s">
        <v>115</v>
      </c>
      <c r="C2203" s="0" t="s">
        <v>106</v>
      </c>
      <c r="D2203" s="0" t="s">
        <v>173</v>
      </c>
      <c r="E2203" s="0" t="n">
        <v>46</v>
      </c>
      <c r="F2203" s="0" t="n">
        <v>1</v>
      </c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3" t="n">
        <v>7</v>
      </c>
      <c r="S2203" s="1"/>
      <c r="T2203" s="1"/>
      <c r="U2203" s="1"/>
      <c r="V2203" s="1"/>
      <c r="W2203" s="1"/>
      <c r="X2203" s="1"/>
      <c r="Y2203" s="5"/>
      <c r="Z2203" s="1"/>
    </row>
    <row r="2204" customFormat="false" ht="15" hidden="false" customHeight="false" outlineLevel="0" collapsed="false">
      <c r="A2204" s="0" t="s">
        <v>116</v>
      </c>
      <c r="B2204" s="0" t="s">
        <v>117</v>
      </c>
      <c r="C2204" s="0" t="s">
        <v>106</v>
      </c>
      <c r="D2204" s="0" t="s">
        <v>173</v>
      </c>
      <c r="E2204" s="0" t="n">
        <v>46</v>
      </c>
      <c r="F2204" s="0" t="n">
        <v>4</v>
      </c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3" t="n">
        <v>5</v>
      </c>
      <c r="S2204" s="1"/>
      <c r="T2204" s="1"/>
      <c r="U2204" s="1"/>
      <c r="V2204" s="1"/>
      <c r="W2204" s="1"/>
      <c r="X2204" s="1"/>
      <c r="Y2204" s="5"/>
      <c r="Z2204" s="1"/>
    </row>
    <row r="2205" customFormat="false" ht="15" hidden="false" customHeight="false" outlineLevel="0" collapsed="false">
      <c r="A2205" s="0" t="s">
        <v>118</v>
      </c>
      <c r="B2205" s="0" t="s">
        <v>119</v>
      </c>
      <c r="C2205" s="0" t="s">
        <v>106</v>
      </c>
      <c r="D2205" s="0" t="s">
        <v>173</v>
      </c>
      <c r="E2205" s="0" t="n">
        <v>46</v>
      </c>
      <c r="F2205" s="0" t="n">
        <v>1</v>
      </c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3" t="n">
        <v>14</v>
      </c>
      <c r="S2205" s="1"/>
      <c r="T2205" s="1"/>
      <c r="U2205" s="1"/>
      <c r="V2205" s="1"/>
      <c r="W2205" s="1"/>
      <c r="X2205" s="1"/>
      <c r="Y2205" s="5"/>
      <c r="Z2205" s="1"/>
    </row>
    <row r="2206" customFormat="false" ht="15" hidden="false" customHeight="false" outlineLevel="0" collapsed="false">
      <c r="A2206" s="0" t="s">
        <v>120</v>
      </c>
      <c r="B2206" s="0" t="s">
        <v>121</v>
      </c>
      <c r="C2206" s="0" t="s">
        <v>106</v>
      </c>
      <c r="D2206" s="0" t="s">
        <v>173</v>
      </c>
      <c r="E2206" s="0" t="n">
        <v>46</v>
      </c>
      <c r="F2206" s="0" t="n">
        <v>1</v>
      </c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3" t="n">
        <v>11</v>
      </c>
      <c r="S2206" s="1"/>
      <c r="T2206" s="1"/>
      <c r="U2206" s="1"/>
      <c r="V2206" s="1"/>
      <c r="W2206" s="1"/>
      <c r="X2206" s="1"/>
      <c r="Y2206" s="5"/>
      <c r="Z2206" s="1"/>
    </row>
    <row r="2207" customFormat="false" ht="15" hidden="false" customHeight="false" outlineLevel="0" collapsed="false">
      <c r="A2207" s="0" t="s">
        <v>122</v>
      </c>
      <c r="B2207" s="0" t="s">
        <v>123</v>
      </c>
      <c r="C2207" s="0" t="s">
        <v>106</v>
      </c>
      <c r="D2207" s="0" t="s">
        <v>173</v>
      </c>
      <c r="E2207" s="0" t="n">
        <v>46</v>
      </c>
      <c r="F2207" s="0" t="n">
        <v>0</v>
      </c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3" t="n">
        <v>16</v>
      </c>
      <c r="S2207" s="1"/>
      <c r="T2207" s="1"/>
      <c r="U2207" s="1"/>
      <c r="V2207" s="1"/>
      <c r="W2207" s="1"/>
      <c r="X2207" s="1"/>
      <c r="Y2207" s="5"/>
      <c r="Z2207" s="1"/>
    </row>
    <row r="2208" customFormat="false" ht="15" hidden="false" customHeight="false" outlineLevel="0" collapsed="false">
      <c r="A2208" s="0" t="s">
        <v>124</v>
      </c>
      <c r="B2208" s="0" t="s">
        <v>125</v>
      </c>
      <c r="C2208" s="0" t="s">
        <v>106</v>
      </c>
      <c r="D2208" s="0" t="s">
        <v>173</v>
      </c>
      <c r="E2208" s="0" t="n">
        <v>46</v>
      </c>
      <c r="F2208" s="0" t="n">
        <v>3</v>
      </c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3" t="n">
        <v>13</v>
      </c>
      <c r="S2208" s="1"/>
      <c r="T2208" s="1"/>
      <c r="U2208" s="1"/>
      <c r="V2208" s="1"/>
      <c r="W2208" s="1"/>
      <c r="X2208" s="1"/>
      <c r="Y2208" s="5"/>
      <c r="Z2208" s="1"/>
    </row>
    <row r="2209" customFormat="false" ht="15" hidden="false" customHeight="false" outlineLevel="0" collapsed="false">
      <c r="A2209" s="0" t="s">
        <v>126</v>
      </c>
      <c r="B2209" s="0" t="s">
        <v>127</v>
      </c>
      <c r="C2209" s="0" t="s">
        <v>106</v>
      </c>
      <c r="D2209" s="0" t="s">
        <v>173</v>
      </c>
      <c r="E2209" s="0" t="n">
        <v>46</v>
      </c>
      <c r="F2209" s="0" t="n">
        <v>3</v>
      </c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3" t="n">
        <v>10</v>
      </c>
      <c r="S2209" s="1"/>
      <c r="T2209" s="1"/>
      <c r="U2209" s="1"/>
      <c r="V2209" s="1"/>
      <c r="W2209" s="1"/>
      <c r="X2209" s="1"/>
      <c r="Y2209" s="5"/>
      <c r="Z2209" s="1"/>
    </row>
    <row r="2210" customFormat="false" ht="15" hidden="false" customHeight="false" outlineLevel="0" collapsed="false">
      <c r="A2210" s="0" t="s">
        <v>26</v>
      </c>
      <c r="B2210" s="0" t="s">
        <v>27</v>
      </c>
      <c r="C2210" s="0" t="s">
        <v>28</v>
      </c>
      <c r="D2210" s="0" t="s">
        <v>174</v>
      </c>
      <c r="E2210" s="0" t="n">
        <v>47</v>
      </c>
      <c r="F2210" s="0" t="n">
        <v>1</v>
      </c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3" t="n">
        <v>5</v>
      </c>
      <c r="S2210" s="0" t="n">
        <v>11.1</v>
      </c>
      <c r="T2210" s="0" t="n">
        <f aca="false">(S2210/32)*5</f>
        <v>1.734375</v>
      </c>
      <c r="V2210" s="0" t="n">
        <v>12</v>
      </c>
      <c r="W2210" s="0" t="n">
        <v>4</v>
      </c>
      <c r="X2210" s="3" t="n">
        <f aca="false">LOOKUP(V2210,$AB$3:$AC$123)</f>
        <v>1.0465</v>
      </c>
      <c r="Y2210" s="2" t="n">
        <f aca="false">(V2210*((W2210+T2210)/1000)*X2210)/((((W2210+T2210)/1000)*X2210)-((W2210/1000)*0.9982))</f>
        <v>35.858699736941</v>
      </c>
      <c r="Z2210" s="3" t="n">
        <f aca="false">(X2210*(V2210/100)*((W2210+T2210)/1000))*1000</f>
        <v>0.7201228125</v>
      </c>
    </row>
    <row r="2211" customFormat="false" ht="15" hidden="false" customHeight="false" outlineLevel="0" collapsed="false">
      <c r="A2211" s="0" t="s">
        <v>32</v>
      </c>
      <c r="B2211" s="0" t="s">
        <v>33</v>
      </c>
      <c r="C2211" s="0" t="s">
        <v>28</v>
      </c>
      <c r="D2211" s="0" t="s">
        <v>174</v>
      </c>
      <c r="E2211" s="0" t="n">
        <v>47</v>
      </c>
      <c r="F2211" s="0" t="n">
        <v>1</v>
      </c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3" t="n">
        <v>4</v>
      </c>
      <c r="S2211" s="0" t="n">
        <v>8.1</v>
      </c>
      <c r="T2211" s="0" t="n">
        <f aca="false">(S2211/32)*5</f>
        <v>1.265625</v>
      </c>
      <c r="V2211" s="0" t="n">
        <v>9</v>
      </c>
      <c r="W2211" s="0" t="n">
        <v>4</v>
      </c>
      <c r="X2211" s="3" t="n">
        <f aca="false">LOOKUP(V2211,$AB$3:$AC$123)</f>
        <v>1.0341</v>
      </c>
      <c r="Y2211" s="2" t="n">
        <f aca="false">(V2211*((W2211+T2211)/1000)*X2211)/((((W2211+T2211)/1000)*X2211)-((W2211/1000)*0.9982))</f>
        <v>33.742237164143</v>
      </c>
      <c r="Z2211" s="3" t="n">
        <f aca="false">(X2211*(V2211/100)*((W2211+T2211)/1000))*1000</f>
        <v>0.490066453125</v>
      </c>
    </row>
    <row r="2212" customFormat="false" ht="15" hidden="false" customHeight="false" outlineLevel="0" collapsed="false">
      <c r="A2212" s="0" t="s">
        <v>34</v>
      </c>
      <c r="B2212" s="0" t="s">
        <v>35</v>
      </c>
      <c r="C2212" s="0" t="s">
        <v>28</v>
      </c>
      <c r="D2212" s="0" t="s">
        <v>174</v>
      </c>
      <c r="E2212" s="0" t="n">
        <v>47</v>
      </c>
      <c r="F2212" s="0" t="n">
        <v>2</v>
      </c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3" t="n">
        <v>4</v>
      </c>
      <c r="S2212" s="0" t="n">
        <v>9.8</v>
      </c>
      <c r="T2212" s="0" t="n">
        <f aca="false">(S2212/32)*5</f>
        <v>1.53125</v>
      </c>
      <c r="V2212" s="0" t="n">
        <v>18</v>
      </c>
      <c r="W2212" s="0" t="n">
        <v>4</v>
      </c>
      <c r="X2212" s="3" t="n">
        <f aca="false">LOOKUP(V2212,$AB$3:$AC$123)</f>
        <v>1.0722</v>
      </c>
      <c r="Y2212" s="2" t="n">
        <f aca="false">(V2212*((W2212+T2212)/1000)*X2212)/((((W2212+T2212)/1000)*X2212)-((W2212/1000)*0.9982))</f>
        <v>55.0885376182475</v>
      </c>
      <c r="Z2212" s="3" t="n">
        <f aca="false">(X2212*(V2212/100)*((W2212+T2212)/1000))*1000</f>
        <v>1.067509125</v>
      </c>
    </row>
    <row r="2213" customFormat="false" ht="15" hidden="false" customHeight="false" outlineLevel="0" collapsed="false">
      <c r="A2213" s="0" t="s">
        <v>36</v>
      </c>
      <c r="B2213" s="0" t="s">
        <v>37</v>
      </c>
      <c r="C2213" s="0" t="s">
        <v>28</v>
      </c>
      <c r="D2213" s="0" t="s">
        <v>174</v>
      </c>
      <c r="E2213" s="0" t="n">
        <v>47</v>
      </c>
      <c r="F2213" s="0" t="n">
        <v>1</v>
      </c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3" t="n">
        <v>3</v>
      </c>
      <c r="S2213" s="0" t="n">
        <v>8.7</v>
      </c>
      <c r="T2213" s="0" t="n">
        <f aca="false">(S2213/32)*5</f>
        <v>1.359375</v>
      </c>
      <c r="V2213" s="0" t="n">
        <v>14</v>
      </c>
      <c r="W2213" s="0" t="n">
        <v>4</v>
      </c>
      <c r="X2213" s="3" t="n">
        <f aca="false">LOOKUP(V2213,$AB$3:$AC$123)</f>
        <v>1.0549</v>
      </c>
      <c r="Y2213" s="2" t="n">
        <f aca="false">(V2213*((W2213+T2213)/1000)*X2213)/((((W2213+T2213)/1000)*X2213)-((W2213/1000)*0.9982))</f>
        <v>47.6579011491982</v>
      </c>
      <c r="Z2213" s="3" t="n">
        <f aca="false">(X2213*(V2213/100)*((W2213+T2213)/1000))*1000</f>
        <v>0.79150465625</v>
      </c>
    </row>
    <row r="2214" customFormat="false" ht="15" hidden="false" customHeight="false" outlineLevel="0" collapsed="false">
      <c r="A2214" s="0" t="s">
        <v>38</v>
      </c>
      <c r="B2214" s="0" t="s">
        <v>39</v>
      </c>
      <c r="C2214" s="0" t="s">
        <v>28</v>
      </c>
      <c r="D2214" s="0" t="s">
        <v>174</v>
      </c>
      <c r="E2214" s="0" t="n">
        <v>47</v>
      </c>
      <c r="F2214" s="0" t="n">
        <v>2</v>
      </c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3" t="n">
        <v>5</v>
      </c>
      <c r="S2214" s="0" t="n">
        <v>14.6</v>
      </c>
      <c r="T2214" s="0" t="n">
        <f aca="false">(S2214/32)*5</f>
        <v>2.28125</v>
      </c>
      <c r="V2214" s="0" t="n">
        <v>19</v>
      </c>
      <c r="W2214" s="0" t="n">
        <v>4</v>
      </c>
      <c r="X2214" s="3" t="n">
        <f aca="false">LOOKUP(V2214,$AB$3:$AC$123)</f>
        <v>1.0765</v>
      </c>
      <c r="Y2214" s="2" t="n">
        <f aca="false">(V2214*((W2214+T2214)/1000)*X2214)/((((W2214+T2214)/1000)*X2214)-((W2214/1000)*0.9982))</f>
        <v>46.3976676759936</v>
      </c>
      <c r="Z2214" s="3" t="n">
        <f aca="false">(X2214*(V2214/100)*((W2214+T2214)/1000))*1000</f>
        <v>1.28473546875</v>
      </c>
    </row>
    <row r="2215" customFormat="false" ht="15" hidden="false" customHeight="false" outlineLevel="0" collapsed="false">
      <c r="A2215" s="0" t="s">
        <v>40</v>
      </c>
      <c r="B2215" s="0" t="s">
        <v>41</v>
      </c>
      <c r="C2215" s="0" t="s">
        <v>28</v>
      </c>
      <c r="D2215" s="0" t="s">
        <v>174</v>
      </c>
      <c r="E2215" s="0" t="n">
        <v>47</v>
      </c>
      <c r="F2215" s="0" t="n">
        <v>0</v>
      </c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3" t="n">
        <v>3</v>
      </c>
      <c r="S2215" s="0" t="n">
        <v>6.7</v>
      </c>
      <c r="T2215" s="0" t="n">
        <f aca="false">(S2215/32)*5</f>
        <v>1.046875</v>
      </c>
      <c r="V2215" s="0" t="n">
        <v>13</v>
      </c>
      <c r="W2215" s="0" t="n">
        <v>4</v>
      </c>
      <c r="X2215" s="3" t="n">
        <f aca="false">LOOKUP(V2215,$AB$3:$AC$123)</f>
        <v>1.0507</v>
      </c>
      <c r="Y2215" s="2" t="n">
        <f aca="false">(V2215*((W2215+T2215)/1000)*X2215)/((((W2215+T2215)/1000)*X2215)-((W2215/1000)*0.9982))</f>
        <v>52.6246712366512</v>
      </c>
      <c r="Z2215" s="3" t="n">
        <f aca="false">(X2215*(V2215/100)*((W2215+T2215)/1000))*1000</f>
        <v>0.689357703125</v>
      </c>
    </row>
    <row r="2216" customFormat="false" ht="15" hidden="false" customHeight="false" outlineLevel="0" collapsed="false">
      <c r="A2216" s="0" t="s">
        <v>42</v>
      </c>
      <c r="B2216" s="0" t="s">
        <v>43</v>
      </c>
      <c r="C2216" s="0" t="s">
        <v>28</v>
      </c>
      <c r="D2216" s="0" t="s">
        <v>174</v>
      </c>
      <c r="E2216" s="0" t="n">
        <v>47</v>
      </c>
      <c r="F2216" s="0" t="n">
        <v>0</v>
      </c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3" t="n">
        <v>4</v>
      </c>
      <c r="S2216" s="0" t="n">
        <v>2.7</v>
      </c>
      <c r="T2216" s="0" t="n">
        <f aca="false">(S2216/32)*5</f>
        <v>0.421875</v>
      </c>
      <c r="V2216" s="0" t="n">
        <v>6.5</v>
      </c>
      <c r="W2216" s="0" t="n">
        <v>4</v>
      </c>
      <c r="X2216" s="3" t="n">
        <f aca="false">LOOKUP(V2216,$AB$3:$AC$123)</f>
        <v>1.02385</v>
      </c>
      <c r="Y2216" s="2" t="n">
        <f aca="false">(V2216*((W2216+T2216)/1000)*X2216)/((((W2216+T2216)/1000)*X2216)-((W2216/1000)*0.9982))</f>
        <v>55.0526982331371</v>
      </c>
      <c r="Z2216" s="3" t="n">
        <f aca="false">(X2216*(V2216/100)*((W2216+T2216)/1000))*1000</f>
        <v>0.29427688671875</v>
      </c>
    </row>
    <row r="2217" customFormat="false" ht="15" hidden="false" customHeight="false" outlineLevel="0" collapsed="false">
      <c r="A2217" s="0" t="s">
        <v>44</v>
      </c>
      <c r="B2217" s="0" t="s">
        <v>45</v>
      </c>
      <c r="C2217" s="0" t="s">
        <v>28</v>
      </c>
      <c r="D2217" s="0" t="s">
        <v>174</v>
      </c>
      <c r="E2217" s="0" t="n">
        <v>47</v>
      </c>
      <c r="F2217" s="0" t="n">
        <v>0</v>
      </c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3" t="n">
        <v>1</v>
      </c>
      <c r="S2217" s="0" t="n">
        <v>2.4</v>
      </c>
      <c r="T2217" s="0" t="n">
        <f aca="false">(S2217/32)*5</f>
        <v>0.375</v>
      </c>
      <c r="V2217" s="0" t="n">
        <v>7.5</v>
      </c>
      <c r="W2217" s="0" t="n">
        <v>4</v>
      </c>
      <c r="X2217" s="3" t="n">
        <f aca="false">LOOKUP(V2217,$AB$3:$AC$123)</f>
        <v>1.0279</v>
      </c>
      <c r="Y2217" s="2" t="n">
        <f aca="false">(V2217*((W2217+T2217)/1000)*X2217)/((((W2217+T2217)/1000)*X2217)-((W2217/1000)*0.9982))</f>
        <v>66.8857365955232</v>
      </c>
      <c r="Z2217" s="3" t="n">
        <f aca="false">(X2217*(V2217/100)*((W2217+T2217)/1000))*1000</f>
        <v>0.3372796875</v>
      </c>
    </row>
    <row r="2218" customFormat="false" ht="15" hidden="false" customHeight="false" outlineLevel="0" collapsed="false">
      <c r="A2218" s="0" t="s">
        <v>46</v>
      </c>
      <c r="B2218" s="0" t="s">
        <v>47</v>
      </c>
      <c r="C2218" s="0" t="s">
        <v>28</v>
      </c>
      <c r="D2218" s="0" t="s">
        <v>174</v>
      </c>
      <c r="E2218" s="0" t="n">
        <v>47</v>
      </c>
      <c r="F2218" s="0" t="n">
        <v>0</v>
      </c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3" t="n">
        <v>3</v>
      </c>
      <c r="S2218" s="0" t="n">
        <v>3.1</v>
      </c>
      <c r="T2218" s="0" t="n">
        <f aca="false">(S2218/32)*5</f>
        <v>0.484375</v>
      </c>
      <c r="V2218" s="0" t="n">
        <v>6</v>
      </c>
      <c r="W2218" s="0" t="n">
        <v>4</v>
      </c>
      <c r="X2218" s="3" t="n">
        <f aca="false">LOOKUP(V2218,$AB$3:$AC$123)</f>
        <v>1.0218</v>
      </c>
      <c r="Y2218" s="2" t="n">
        <f aca="false">(V2218*((W2218+T2218)/1000)*X2218)/((((W2218+T2218)/1000)*X2218)-((W2218/1000)*0.9982))</f>
        <v>46.6506068817045</v>
      </c>
      <c r="Z2218" s="3" t="n">
        <f aca="false">(X2218*(V2218/100)*((W2218+T2218)/1000))*1000</f>
        <v>0.2749280625</v>
      </c>
    </row>
    <row r="2219" customFormat="false" ht="15" hidden="false" customHeight="false" outlineLevel="0" collapsed="false">
      <c r="A2219" s="0" t="s">
        <v>48</v>
      </c>
      <c r="B2219" s="0" t="s">
        <v>49</v>
      </c>
      <c r="C2219" s="0" t="s">
        <v>28</v>
      </c>
      <c r="D2219" s="0" t="s">
        <v>174</v>
      </c>
      <c r="E2219" s="0" t="n">
        <v>47</v>
      </c>
      <c r="F2219" s="0" t="n">
        <v>0</v>
      </c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3" t="n">
        <v>4</v>
      </c>
      <c r="S2219" s="0" t="n">
        <v>6.5</v>
      </c>
      <c r="T2219" s="0" t="n">
        <f aca="false">(S2219/32)*5</f>
        <v>1.015625</v>
      </c>
      <c r="V2219" s="0" t="n">
        <v>17</v>
      </c>
      <c r="W2219" s="0" t="n">
        <v>4</v>
      </c>
      <c r="X2219" s="3" t="n">
        <f aca="false">LOOKUP(V2219,$AB$3:$AC$123)</f>
        <v>1.0678</v>
      </c>
      <c r="Y2219" s="2" t="n">
        <f aca="false">(V2219*((W2219+T2219)/1000)*X2219)/((((W2219+T2219)/1000)*X2219)-((W2219/1000)*0.9982))</f>
        <v>66.8043717024785</v>
      </c>
      <c r="Z2219" s="3" t="n">
        <f aca="false">(X2219*(V2219/100)*((W2219+T2219)/1000))*1000</f>
        <v>0.91046634375</v>
      </c>
    </row>
    <row r="2220" customFormat="false" ht="15" hidden="false" customHeight="false" outlineLevel="0" collapsed="false">
      <c r="A2220" s="0" t="s">
        <v>50</v>
      </c>
      <c r="B2220" s="0" t="s">
        <v>51</v>
      </c>
      <c r="C2220" s="0" t="s">
        <v>28</v>
      </c>
      <c r="D2220" s="0" t="s">
        <v>174</v>
      </c>
      <c r="E2220" s="0" t="n">
        <v>47</v>
      </c>
      <c r="F2220" s="0" t="n">
        <v>0</v>
      </c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3" t="n">
        <v>4</v>
      </c>
      <c r="S2220" s="0" t="n">
        <v>3.6</v>
      </c>
      <c r="T2220" s="0" t="n">
        <f aca="false">(S2220/32)*5</f>
        <v>0.5625</v>
      </c>
      <c r="V2220" s="0" t="n">
        <v>9.5</v>
      </c>
      <c r="W2220" s="0" t="n">
        <v>4</v>
      </c>
      <c r="X2220" s="3" t="n">
        <f aca="false">LOOKUP(V2220,$AB$3:$AC$123)</f>
        <v>1.0361</v>
      </c>
      <c r="Y2220" s="2" t="n">
        <f aca="false">(V2220*((W2220+T2220)/1000)*X2220)/((((W2220+T2220)/1000)*X2220)-((W2220/1000)*0.9982))</f>
        <v>61.1493425811669</v>
      </c>
      <c r="Z2220" s="3" t="n">
        <f aca="false">(X2220*(V2220/100)*((W2220+T2220)/1000))*1000</f>
        <v>0.44908459375</v>
      </c>
    </row>
    <row r="2221" customFormat="false" ht="15" hidden="false" customHeight="false" outlineLevel="0" collapsed="false">
      <c r="A2221" s="0" t="s">
        <v>52</v>
      </c>
      <c r="B2221" s="0" t="s">
        <v>53</v>
      </c>
      <c r="C2221" s="0" t="s">
        <v>28</v>
      </c>
      <c r="D2221" s="0" t="s">
        <v>174</v>
      </c>
      <c r="E2221" s="0" t="n">
        <v>47</v>
      </c>
      <c r="F2221" s="0" t="n">
        <v>0</v>
      </c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3" t="n">
        <v>8</v>
      </c>
      <c r="S2221" s="0" t="n">
        <v>6</v>
      </c>
      <c r="T2221" s="0" t="n">
        <f aca="false">(S2221/32)*5</f>
        <v>0.9375</v>
      </c>
      <c r="V2221" s="0" t="n">
        <v>7</v>
      </c>
      <c r="W2221" s="0" t="n">
        <v>4</v>
      </c>
      <c r="X2221" s="3" t="n">
        <f aca="false">LOOKUP(V2221,$AB$3:$AC$123)</f>
        <v>1.0259</v>
      </c>
      <c r="Y2221" s="2" t="n">
        <f aca="false">(V2221*((W2221+T2221)/1000)*X2221)/((((W2221+T2221)/1000)*X2221)-((W2221/1000)*0.9982))</f>
        <v>33.0582589897036</v>
      </c>
      <c r="Z2221" s="3" t="n">
        <f aca="false">(X2221*(V2221/100)*((W2221+T2221)/1000))*1000</f>
        <v>0.3545766875</v>
      </c>
    </row>
    <row r="2222" customFormat="false" ht="15" hidden="false" customHeight="false" outlineLevel="0" collapsed="false">
      <c r="A2222" s="0" t="s">
        <v>54</v>
      </c>
      <c r="B2222" s="0" t="s">
        <v>55</v>
      </c>
      <c r="C2222" s="0" t="s">
        <v>56</v>
      </c>
      <c r="D2222" s="0" t="s">
        <v>174</v>
      </c>
      <c r="E2222" s="0" t="n">
        <v>47</v>
      </c>
      <c r="F2222" s="0" t="n">
        <v>0</v>
      </c>
      <c r="G2222" s="1"/>
      <c r="H2222" s="1"/>
      <c r="I2222" s="0" t="n">
        <v>0</v>
      </c>
      <c r="J2222" s="0" t="n">
        <f aca="false">(I2222/32)*5</f>
        <v>0</v>
      </c>
      <c r="L2222" s="0" t="n">
        <v>0</v>
      </c>
      <c r="M2222" s="0" t="n">
        <v>0</v>
      </c>
      <c r="N2222" s="2" t="n">
        <v>0</v>
      </c>
      <c r="O2222" s="3" t="n">
        <v>0</v>
      </c>
      <c r="P2222" s="3" t="n">
        <f aca="false">(O2222*(N2222/100)*(J2222/1000))*1000</f>
        <v>0</v>
      </c>
      <c r="Q2222" s="3"/>
      <c r="R2222" s="1"/>
      <c r="S2222" s="1"/>
      <c r="T2222" s="1"/>
      <c r="U2222" s="1"/>
      <c r="V2222" s="1"/>
      <c r="W2222" s="1"/>
      <c r="X2222" s="1"/>
      <c r="Y2222" s="5"/>
      <c r="Z2222" s="1"/>
    </row>
    <row r="2223" customFormat="false" ht="15" hidden="false" customHeight="false" outlineLevel="0" collapsed="false">
      <c r="A2223" s="0" t="s">
        <v>57</v>
      </c>
      <c r="B2223" s="0" t="s">
        <v>58</v>
      </c>
      <c r="C2223" s="0" t="s">
        <v>56</v>
      </c>
      <c r="D2223" s="0" t="s">
        <v>174</v>
      </c>
      <c r="E2223" s="0" t="n">
        <v>47</v>
      </c>
      <c r="F2223" s="0" t="n">
        <v>0</v>
      </c>
      <c r="G2223" s="1"/>
      <c r="H2223" s="1"/>
      <c r="I2223" s="0" t="n">
        <v>0</v>
      </c>
      <c r="J2223" s="0" t="n">
        <f aca="false">(I2223/32)*5</f>
        <v>0</v>
      </c>
      <c r="L2223" s="0" t="n">
        <v>0</v>
      </c>
      <c r="M2223" s="0" t="n">
        <v>0</v>
      </c>
      <c r="N2223" s="2" t="n">
        <v>0</v>
      </c>
      <c r="O2223" s="3" t="n">
        <v>0</v>
      </c>
      <c r="P2223" s="3" t="n">
        <f aca="false">(O2223*(N2223/100)*(J2223/1000))*1000</f>
        <v>0</v>
      </c>
      <c r="Q2223" s="3"/>
      <c r="R2223" s="1"/>
      <c r="S2223" s="1"/>
      <c r="T2223" s="1"/>
      <c r="U2223" s="1"/>
      <c r="V2223" s="1"/>
      <c r="W2223" s="1"/>
      <c r="X2223" s="1"/>
      <c r="Y2223" s="5"/>
      <c r="Z2223" s="1"/>
    </row>
    <row r="2224" customFormat="false" ht="15" hidden="false" customHeight="false" outlineLevel="0" collapsed="false">
      <c r="A2224" s="0" t="s">
        <v>59</v>
      </c>
      <c r="B2224" s="0" t="s">
        <v>60</v>
      </c>
      <c r="C2224" s="0" t="s">
        <v>56</v>
      </c>
      <c r="D2224" s="0" t="s">
        <v>174</v>
      </c>
      <c r="E2224" s="0" t="n">
        <v>47</v>
      </c>
      <c r="F2224" s="0" t="n">
        <v>0</v>
      </c>
      <c r="G2224" s="1"/>
      <c r="H2224" s="1"/>
      <c r="I2224" s="0" t="n">
        <v>0</v>
      </c>
      <c r="J2224" s="0" t="n">
        <f aca="false">(I2224/32)*5</f>
        <v>0</v>
      </c>
      <c r="L2224" s="0" t="n">
        <v>0</v>
      </c>
      <c r="M2224" s="0" t="n">
        <v>0</v>
      </c>
      <c r="N2224" s="2" t="n">
        <v>0</v>
      </c>
      <c r="O2224" s="3" t="n">
        <v>0</v>
      </c>
      <c r="P2224" s="3" t="n">
        <f aca="false">(O2224*(N2224/100)*(J2224/1000))*1000</f>
        <v>0</v>
      </c>
      <c r="Q2224" s="3"/>
      <c r="R2224" s="1"/>
      <c r="S2224" s="1"/>
      <c r="T2224" s="1"/>
      <c r="U2224" s="1"/>
      <c r="V2224" s="1"/>
      <c r="W2224" s="1"/>
      <c r="X2224" s="1"/>
      <c r="Y2224" s="5"/>
      <c r="Z2224" s="1"/>
    </row>
    <row r="2225" customFormat="false" ht="15" hidden="false" customHeight="false" outlineLevel="0" collapsed="false">
      <c r="A2225" s="0" t="s">
        <v>61</v>
      </c>
      <c r="B2225" s="0" t="s">
        <v>62</v>
      </c>
      <c r="C2225" s="0" t="s">
        <v>56</v>
      </c>
      <c r="D2225" s="0" t="s">
        <v>174</v>
      </c>
      <c r="E2225" s="0" t="n">
        <v>47</v>
      </c>
      <c r="F2225" s="0" t="n">
        <v>1</v>
      </c>
      <c r="G2225" s="1"/>
      <c r="H2225" s="1"/>
      <c r="I2225" s="0" t="n">
        <v>40.7</v>
      </c>
      <c r="J2225" s="0" t="n">
        <f aca="false">(I2225/32)*5</f>
        <v>6.359375</v>
      </c>
      <c r="L2225" s="0" t="n">
        <v>11</v>
      </c>
      <c r="M2225" s="0" t="n">
        <v>4</v>
      </c>
      <c r="N2225" s="2" t="n">
        <f aca="false">(L2225*((M2225+J2225)/1000)*O2225)/((((M2225+J2225)/1000)*O2225)-((M2225/1000)*0.9982))</f>
        <v>17.454407370558</v>
      </c>
      <c r="O2225" s="3" t="n">
        <f aca="false">LOOKUP(L2225,$AB$3:$AC$123)</f>
        <v>1.0423</v>
      </c>
      <c r="P2225" s="3" t="n">
        <f aca="false">(O2225*(N2225/100)*(J2225/1000))*1000</f>
        <v>1.15694384727334</v>
      </c>
      <c r="Q2225" s="3"/>
      <c r="R2225" s="1"/>
      <c r="S2225" s="1"/>
      <c r="T2225" s="1"/>
      <c r="U2225" s="1"/>
      <c r="V2225" s="1"/>
      <c r="W2225" s="1"/>
      <c r="X2225" s="1"/>
      <c r="Y2225" s="5"/>
      <c r="Z2225" s="1"/>
    </row>
    <row r="2226" customFormat="false" ht="15" hidden="false" customHeight="false" outlineLevel="0" collapsed="false">
      <c r="A2226" s="0" t="s">
        <v>63</v>
      </c>
      <c r="B2226" s="0" t="s">
        <v>64</v>
      </c>
      <c r="C2226" s="0" t="s">
        <v>56</v>
      </c>
      <c r="D2226" s="0" t="s">
        <v>174</v>
      </c>
      <c r="E2226" s="0" t="n">
        <v>47</v>
      </c>
      <c r="F2226" s="0" t="n">
        <v>0</v>
      </c>
      <c r="G2226" s="1"/>
      <c r="H2226" s="1"/>
      <c r="I2226" s="0" t="n">
        <v>0</v>
      </c>
      <c r="J2226" s="0" t="n">
        <f aca="false">(I2226/32)*5</f>
        <v>0</v>
      </c>
      <c r="L2226" s="0" t="n">
        <v>0</v>
      </c>
      <c r="M2226" s="0" t="n">
        <v>0</v>
      </c>
      <c r="N2226" s="2" t="n">
        <v>0</v>
      </c>
      <c r="O2226" s="3" t="n">
        <v>0</v>
      </c>
      <c r="P2226" s="3" t="n">
        <f aca="false">(O2226*(N2226/100)*(J2226/1000))*1000</f>
        <v>0</v>
      </c>
      <c r="Q2226" s="3"/>
      <c r="R2226" s="1"/>
      <c r="S2226" s="1"/>
      <c r="T2226" s="1"/>
      <c r="U2226" s="1"/>
      <c r="V2226" s="1"/>
      <c r="W2226" s="1"/>
      <c r="X2226" s="1"/>
      <c r="Y2226" s="5"/>
      <c r="Z2226" s="1"/>
    </row>
    <row r="2227" customFormat="false" ht="15" hidden="false" customHeight="false" outlineLevel="0" collapsed="false">
      <c r="A2227" s="0" t="s">
        <v>65</v>
      </c>
      <c r="B2227" s="0" t="s">
        <v>66</v>
      </c>
      <c r="C2227" s="0" t="s">
        <v>56</v>
      </c>
      <c r="D2227" s="0" t="s">
        <v>174</v>
      </c>
      <c r="E2227" s="0" t="n">
        <v>47</v>
      </c>
      <c r="F2227" s="0" t="n">
        <v>1</v>
      </c>
      <c r="G2227" s="1"/>
      <c r="H2227" s="1"/>
      <c r="I2227" s="0" t="n">
        <v>29.4</v>
      </c>
      <c r="J2227" s="0" t="n">
        <f aca="false">(I2227/32)*5</f>
        <v>4.59375</v>
      </c>
      <c r="L2227" s="0" t="n">
        <v>13</v>
      </c>
      <c r="M2227" s="0" t="n">
        <v>4</v>
      </c>
      <c r="N2227" s="2" t="n">
        <f aca="false">(L2227*((M2227+J2227)/1000)*O2227)/((((M2227+J2227)/1000)*O2227)-((M2227/1000)*0.9982))</f>
        <v>23.3057325394033</v>
      </c>
      <c r="O2227" s="3" t="n">
        <f aca="false">LOOKUP(L2227,$AB$3:$AC$123)</f>
        <v>1.0507</v>
      </c>
      <c r="P2227" s="3" t="n">
        <f aca="false">(O2227*(N2227/100)*(J2227/1000))*1000</f>
        <v>1.12488686791725</v>
      </c>
      <c r="Q2227" s="3"/>
      <c r="R2227" s="1"/>
      <c r="S2227" s="1"/>
      <c r="T2227" s="1"/>
      <c r="U2227" s="1"/>
      <c r="V2227" s="1"/>
      <c r="W2227" s="1"/>
      <c r="X2227" s="1"/>
      <c r="Y2227" s="5"/>
      <c r="Z2227" s="1"/>
    </row>
    <row r="2228" customFormat="false" ht="15" hidden="false" customHeight="false" outlineLevel="0" collapsed="false">
      <c r="A2228" s="0" t="s">
        <v>67</v>
      </c>
      <c r="B2228" s="0" t="s">
        <v>68</v>
      </c>
      <c r="C2228" s="0" t="s">
        <v>56</v>
      </c>
      <c r="D2228" s="0" t="s">
        <v>174</v>
      </c>
      <c r="E2228" s="0" t="n">
        <v>47</v>
      </c>
      <c r="F2228" s="0" t="n">
        <v>1</v>
      </c>
      <c r="G2228" s="1"/>
      <c r="H2228" s="1"/>
      <c r="I2228" s="0" t="n">
        <v>85</v>
      </c>
      <c r="J2228" s="0" t="n">
        <f aca="false">(I2228/32)*5</f>
        <v>13.28125</v>
      </c>
      <c r="L2228" s="0" t="n">
        <v>18.5</v>
      </c>
      <c r="M2228" s="0" t="n">
        <v>4</v>
      </c>
      <c r="N2228" s="2" t="n">
        <f aca="false">(L2228*((M2228+J2228)/1000)*O2228)/((((M2228+J2228)/1000)*O2228)-((M2228/1000)*0.9982))</f>
        <v>23.5686354196922</v>
      </c>
      <c r="O2228" s="3" t="n">
        <f aca="false">LOOKUP(L2228,$AB$3:$AC$123)</f>
        <v>1.07435</v>
      </c>
      <c r="P2228" s="3" t="n">
        <f aca="false">(O2228*(N2228/100)*(J2228/1000))*1000</f>
        <v>3.36294045994912</v>
      </c>
      <c r="Q2228" s="3"/>
      <c r="R2228" s="1"/>
      <c r="S2228" s="1"/>
      <c r="T2228" s="1"/>
      <c r="U2228" s="1"/>
      <c r="V2228" s="1"/>
      <c r="W2228" s="1"/>
      <c r="X2228" s="1"/>
      <c r="Y2228" s="5"/>
      <c r="Z2228" s="1"/>
    </row>
    <row r="2229" customFormat="false" ht="15" hidden="false" customHeight="false" outlineLevel="0" collapsed="false">
      <c r="A2229" s="0" t="s">
        <v>69</v>
      </c>
      <c r="B2229" s="0" t="s">
        <v>70</v>
      </c>
      <c r="C2229" s="0" t="s">
        <v>56</v>
      </c>
      <c r="D2229" s="0" t="s">
        <v>174</v>
      </c>
      <c r="E2229" s="0" t="n">
        <v>47</v>
      </c>
      <c r="F2229" s="0" t="n">
        <v>0</v>
      </c>
      <c r="G2229" s="1"/>
      <c r="H2229" s="1"/>
      <c r="I2229" s="0" t="n">
        <v>0</v>
      </c>
      <c r="J2229" s="0" t="n">
        <f aca="false">(I2229/32)*5</f>
        <v>0</v>
      </c>
      <c r="L2229" s="0" t="n">
        <v>0</v>
      </c>
      <c r="M2229" s="0" t="n">
        <v>0</v>
      </c>
      <c r="N2229" s="2" t="n">
        <v>0</v>
      </c>
      <c r="O2229" s="3" t="n">
        <v>0</v>
      </c>
      <c r="P2229" s="3" t="n">
        <f aca="false">(O2229*(N2229/100)*(J2229/1000))*1000</f>
        <v>0</v>
      </c>
      <c r="Q2229" s="3"/>
      <c r="R2229" s="1"/>
      <c r="S2229" s="1"/>
      <c r="T2229" s="1"/>
      <c r="U2229" s="1"/>
      <c r="V2229" s="1"/>
      <c r="W2229" s="1"/>
      <c r="X2229" s="1"/>
      <c r="Y2229" s="5"/>
      <c r="Z2229" s="1"/>
    </row>
    <row r="2230" customFormat="false" ht="15" hidden="false" customHeight="false" outlineLevel="0" collapsed="false">
      <c r="A2230" s="0" t="s">
        <v>71</v>
      </c>
      <c r="B2230" s="0" t="s">
        <v>72</v>
      </c>
      <c r="C2230" s="0" t="s">
        <v>56</v>
      </c>
      <c r="D2230" s="0" t="s">
        <v>174</v>
      </c>
      <c r="E2230" s="0" t="n">
        <v>47</v>
      </c>
      <c r="F2230" s="0" t="n">
        <v>0</v>
      </c>
      <c r="G2230" s="1"/>
      <c r="H2230" s="1"/>
      <c r="I2230" s="0" t="n">
        <v>0</v>
      </c>
      <c r="J2230" s="0" t="n">
        <f aca="false">(I2230/32)*5</f>
        <v>0</v>
      </c>
      <c r="L2230" s="0" t="n">
        <v>0</v>
      </c>
      <c r="M2230" s="0" t="n">
        <v>0</v>
      </c>
      <c r="N2230" s="2" t="n">
        <v>0</v>
      </c>
      <c r="O2230" s="3" t="n">
        <v>0</v>
      </c>
      <c r="P2230" s="3" t="n">
        <f aca="false">(O2230*(N2230/100)*(J2230/1000))*1000</f>
        <v>0</v>
      </c>
      <c r="Q2230" s="3"/>
      <c r="R2230" s="1"/>
      <c r="S2230" s="1"/>
      <c r="T2230" s="1"/>
      <c r="U2230" s="1"/>
      <c r="V2230" s="1"/>
      <c r="W2230" s="1"/>
      <c r="X2230" s="1"/>
      <c r="Y2230" s="5"/>
      <c r="Z2230" s="1"/>
    </row>
    <row r="2231" customFormat="false" ht="15" hidden="false" customHeight="false" outlineLevel="0" collapsed="false">
      <c r="A2231" s="0" t="s">
        <v>73</v>
      </c>
      <c r="B2231" s="0" t="s">
        <v>74</v>
      </c>
      <c r="C2231" s="0" t="s">
        <v>56</v>
      </c>
      <c r="D2231" s="0" t="s">
        <v>174</v>
      </c>
      <c r="E2231" s="0" t="n">
        <v>47</v>
      </c>
      <c r="F2231" s="0" t="n">
        <v>1</v>
      </c>
      <c r="G2231" s="1"/>
      <c r="H2231" s="1"/>
      <c r="I2231" s="0" t="n">
        <v>70.8</v>
      </c>
      <c r="J2231" s="0" t="n">
        <f aca="false">(I2231/32)*5</f>
        <v>11.0625</v>
      </c>
      <c r="L2231" s="0" t="n">
        <v>20</v>
      </c>
      <c r="M2231" s="0" t="n">
        <v>4</v>
      </c>
      <c r="N2231" s="2" t="n">
        <f aca="false">(L2231*((M2231+J2231)/1000)*O2231)/((((M2231+J2231)/1000)*O2231)-((M2231/1000)*0.9982))</f>
        <v>26.4977659250942</v>
      </c>
      <c r="O2231" s="3" t="n">
        <f aca="false">LOOKUP(L2231,$AB$3:$AC$123)</f>
        <v>1.081</v>
      </c>
      <c r="P2231" s="3" t="n">
        <f aca="false">(O2231*(N2231/100)*(J2231/1000))*1000</f>
        <v>3.16875189925609</v>
      </c>
      <c r="Q2231" s="3"/>
      <c r="R2231" s="1"/>
      <c r="S2231" s="1"/>
      <c r="T2231" s="1"/>
      <c r="U2231" s="1"/>
      <c r="V2231" s="1"/>
      <c r="W2231" s="1"/>
      <c r="X2231" s="1"/>
      <c r="Y2231" s="5"/>
      <c r="Z2231" s="1"/>
    </row>
    <row r="2232" customFormat="false" ht="15" hidden="false" customHeight="false" outlineLevel="0" collapsed="false">
      <c r="A2232" s="0" t="s">
        <v>75</v>
      </c>
      <c r="B2232" s="0" t="s">
        <v>76</v>
      </c>
      <c r="C2232" s="0" t="s">
        <v>56</v>
      </c>
      <c r="D2232" s="0" t="s">
        <v>174</v>
      </c>
      <c r="E2232" s="0" t="n">
        <v>47</v>
      </c>
      <c r="F2232" s="0" t="n">
        <v>1</v>
      </c>
      <c r="G2232" s="1"/>
      <c r="H2232" s="1"/>
      <c r="I2232" s="0" t="n">
        <v>67.8</v>
      </c>
      <c r="J2232" s="0" t="n">
        <f aca="false">(I2232/32)*5</f>
        <v>10.59375</v>
      </c>
      <c r="L2232" s="0" t="n">
        <v>15</v>
      </c>
      <c r="M2232" s="0" t="n">
        <v>4</v>
      </c>
      <c r="N2232" s="2" t="n">
        <f aca="false">(L2232*((M2232+J2232)/1000)*O2232)/((((M2232+J2232)/1000)*O2232)-((M2232/1000)*0.9982))</f>
        <v>20.2239443867805</v>
      </c>
      <c r="O2232" s="3" t="n">
        <f aca="false">LOOKUP(L2232,$AB$3:$AC$123)</f>
        <v>1.0592</v>
      </c>
      <c r="P2232" s="3" t="n">
        <f aca="false">(O2232*(N2232/100)*(J2232/1000))*1000</f>
        <v>2.26930857569626</v>
      </c>
      <c r="Q2232" s="3"/>
      <c r="R2232" s="1"/>
      <c r="S2232" s="1"/>
      <c r="T2232" s="1"/>
      <c r="U2232" s="1"/>
      <c r="V2232" s="1"/>
      <c r="W2232" s="1"/>
      <c r="X2232" s="1"/>
      <c r="Y2232" s="5"/>
      <c r="Z2232" s="1"/>
    </row>
    <row r="2233" customFormat="false" ht="15" hidden="false" customHeight="false" outlineLevel="0" collapsed="false">
      <c r="A2233" s="0" t="s">
        <v>77</v>
      </c>
      <c r="B2233" s="0" t="s">
        <v>78</v>
      </c>
      <c r="C2233" s="0" t="s">
        <v>56</v>
      </c>
      <c r="D2233" s="0" t="s">
        <v>174</v>
      </c>
      <c r="E2233" s="0" t="n">
        <v>47</v>
      </c>
      <c r="F2233" s="0" t="n">
        <v>1</v>
      </c>
      <c r="G2233" s="1"/>
      <c r="H2233" s="1"/>
      <c r="I2233" s="0" t="n">
        <v>27.2</v>
      </c>
      <c r="J2233" s="0" t="n">
        <f aca="false">(I2233/32)*5</f>
        <v>4.25</v>
      </c>
      <c r="L2233" s="0" t="n">
        <v>11</v>
      </c>
      <c r="M2233" s="0" t="n">
        <v>4</v>
      </c>
      <c r="N2233" s="2" t="n">
        <f aca="false">(L2233*((M2233+J2233)/1000)*O2233)/((((M2233+J2233)/1000)*O2233)-((M2233/1000)*0.9982))</f>
        <v>20.535200030394</v>
      </c>
      <c r="O2233" s="3" t="n">
        <f aca="false">LOOKUP(L2233,$AB$3:$AC$123)</f>
        <v>1.0423</v>
      </c>
      <c r="P2233" s="3" t="n">
        <f aca="false">(O2233*(N2233/100)*(J2233/1000))*1000</f>
        <v>0.909663157146385</v>
      </c>
      <c r="Q2233" s="3"/>
      <c r="R2233" s="1"/>
      <c r="S2233" s="1"/>
      <c r="T2233" s="1"/>
      <c r="U2233" s="1"/>
      <c r="V2233" s="1"/>
      <c r="W2233" s="1"/>
      <c r="X2233" s="1"/>
      <c r="Y2233" s="5"/>
      <c r="Z2233" s="1"/>
    </row>
    <row r="2234" customFormat="false" ht="15" hidden="false" customHeight="false" outlineLevel="0" collapsed="false">
      <c r="A2234" s="0" t="s">
        <v>79</v>
      </c>
      <c r="B2234" s="0" t="s">
        <v>80</v>
      </c>
      <c r="C2234" s="0" t="s">
        <v>81</v>
      </c>
      <c r="D2234" s="0" t="s">
        <v>174</v>
      </c>
      <c r="E2234" s="0" t="n">
        <v>47</v>
      </c>
      <c r="F2234" s="0" t="n">
        <v>0</v>
      </c>
      <c r="G2234" s="1"/>
      <c r="H2234" s="1"/>
      <c r="I2234" s="0" t="n">
        <v>0</v>
      </c>
      <c r="J2234" s="0" t="n">
        <f aca="false">(I2234/32)*5</f>
        <v>0</v>
      </c>
      <c r="L2234" s="0" t="n">
        <v>0</v>
      </c>
      <c r="M2234" s="0" t="n">
        <v>0</v>
      </c>
      <c r="N2234" s="2" t="n">
        <v>0</v>
      </c>
      <c r="O2234" s="3" t="n">
        <v>0</v>
      </c>
      <c r="P2234" s="3" t="n">
        <f aca="false">(O2234*(N2234/100)*(J2234/1000))*1000</f>
        <v>0</v>
      </c>
      <c r="Q2234" s="3"/>
      <c r="R2234" s="3" t="n">
        <v>2</v>
      </c>
      <c r="S2234" s="3" t="n">
        <v>3.3</v>
      </c>
      <c r="T2234" s="0" t="n">
        <f aca="false">(S2234/32)*5</f>
        <v>0.515625</v>
      </c>
      <c r="V2234" s="0" t="n">
        <v>2</v>
      </c>
      <c r="W2234" s="0" t="n">
        <v>4</v>
      </c>
      <c r="X2234" s="3" t="n">
        <f aca="false">LOOKUP(V2234,$AB$3:$AC$123)</f>
        <v>1.006</v>
      </c>
      <c r="Y2234" s="2" t="n">
        <f aca="false">(V2234*((W2234+T2234)/1000)*X2234)/((((W2234+T2234)/1000)*X2234)-((W2234/1000)*0.9982))</f>
        <v>16.5214179367407</v>
      </c>
      <c r="Z2234" s="3" t="n">
        <f aca="false">(X2234*(V2234/100)*((W2234+T2234)/1000))*1000</f>
        <v>0.090854375</v>
      </c>
    </row>
    <row r="2235" customFormat="false" ht="15" hidden="false" customHeight="false" outlineLevel="0" collapsed="false">
      <c r="A2235" s="0" t="s">
        <v>82</v>
      </c>
      <c r="B2235" s="0" t="s">
        <v>83</v>
      </c>
      <c r="C2235" s="0" t="s">
        <v>81</v>
      </c>
      <c r="D2235" s="0" t="s">
        <v>174</v>
      </c>
      <c r="E2235" s="0" t="n">
        <v>47</v>
      </c>
      <c r="F2235" s="0" t="n">
        <v>1</v>
      </c>
      <c r="G2235" s="1"/>
      <c r="H2235" s="1"/>
      <c r="I2235" s="0" t="n">
        <v>29.6</v>
      </c>
      <c r="J2235" s="0" t="n">
        <f aca="false">(I2235/32)*5</f>
        <v>4.625</v>
      </c>
      <c r="L2235" s="0" t="n">
        <v>11</v>
      </c>
      <c r="M2235" s="0" t="n">
        <v>4</v>
      </c>
      <c r="N2235" s="2" t="n">
        <f aca="false">(L2235*((M2235+J2235)/1000)*O2235)/((((M2235+J2235)/1000)*O2235)-((M2235/1000)*0.9982))</f>
        <v>19.7893677003625</v>
      </c>
      <c r="O2235" s="3" t="n">
        <f aca="false">LOOKUP(L2235,$AB$3:$AC$123)</f>
        <v>1.0423</v>
      </c>
      <c r="P2235" s="3" t="n">
        <f aca="false">(O2235*(N2235/100)*(J2235/1000))*1000</f>
        <v>0.953973680376561</v>
      </c>
      <c r="Q2235" s="3"/>
      <c r="R2235" s="0" t="n">
        <v>3</v>
      </c>
      <c r="S2235" s="0" t="n">
        <v>7.3</v>
      </c>
      <c r="T2235" s="0" t="n">
        <f aca="false">(S2235/32)*5</f>
        <v>1.140625</v>
      </c>
      <c r="V2235" s="0" t="n">
        <v>8</v>
      </c>
      <c r="W2235" s="0" t="n">
        <v>4</v>
      </c>
      <c r="X2235" s="3" t="n">
        <f aca="false">LOOKUP(V2235,$AB$3:$AC$123)</f>
        <v>1.0299</v>
      </c>
      <c r="Y2235" s="2" t="n">
        <f aca="false">(V2235*((W2235+T2235)/1000)*X2235)/((((W2235+T2235)/1000)*X2235)-((W2235/1000)*0.9982))</f>
        <v>32.5421985428204</v>
      </c>
      <c r="Z2235" s="3" t="n">
        <f aca="false">(X2235*(V2235/100)*((W2235+T2235)/1000))*1000</f>
        <v>0.423546375</v>
      </c>
    </row>
    <row r="2236" customFormat="false" ht="15" hidden="false" customHeight="false" outlineLevel="0" collapsed="false">
      <c r="A2236" s="0" t="s">
        <v>84</v>
      </c>
      <c r="B2236" s="0" t="s">
        <v>85</v>
      </c>
      <c r="C2236" s="0" t="s">
        <v>81</v>
      </c>
      <c r="D2236" s="0" t="s">
        <v>174</v>
      </c>
      <c r="E2236" s="0" t="n">
        <v>47</v>
      </c>
      <c r="F2236" s="0" t="n">
        <v>0</v>
      </c>
      <c r="G2236" s="1"/>
      <c r="H2236" s="1"/>
      <c r="I2236" s="0" t="n">
        <v>0</v>
      </c>
      <c r="J2236" s="0" t="n">
        <f aca="false">(I2236/32)*5</f>
        <v>0</v>
      </c>
      <c r="L2236" s="0" t="n">
        <v>0</v>
      </c>
      <c r="M2236" s="0" t="n">
        <v>0</v>
      </c>
      <c r="N2236" s="2" t="n">
        <v>0</v>
      </c>
      <c r="O2236" s="3" t="n">
        <v>0</v>
      </c>
      <c r="P2236" s="3" t="n">
        <f aca="false">(O2236*(N2236/100)*(J2236/1000))*1000</f>
        <v>0</v>
      </c>
      <c r="Q2236" s="3"/>
      <c r="R2236" s="3" t="n">
        <v>4</v>
      </c>
      <c r="S2236" s="3" t="n">
        <v>10.2</v>
      </c>
      <c r="T2236" s="0" t="n">
        <f aca="false">(S2236/32)*5</f>
        <v>1.59375</v>
      </c>
      <c r="V2236" s="0" t="n">
        <v>13</v>
      </c>
      <c r="W2236" s="0" t="n">
        <v>4</v>
      </c>
      <c r="X2236" s="3" t="n">
        <f aca="false">LOOKUP(V2236,$AB$3:$AC$123)</f>
        <v>1.0507</v>
      </c>
      <c r="Y2236" s="2" t="n">
        <f aca="false">(V2236*((W2236+T2236)/1000)*X2236)/((((W2236+T2236)/1000)*X2236)-((W2236/1000)*0.9982))</f>
        <v>40.543081333937</v>
      </c>
      <c r="Z2236" s="3" t="n">
        <f aca="false">(X2236*(V2236/100)*((W2236+T2236)/1000))*1000</f>
        <v>0.76405590625</v>
      </c>
    </row>
    <row r="2237" customFormat="false" ht="15" hidden="false" customHeight="false" outlineLevel="0" collapsed="false">
      <c r="A2237" s="0" t="s">
        <v>86</v>
      </c>
      <c r="B2237" s="0" t="s">
        <v>87</v>
      </c>
      <c r="C2237" s="0" t="s">
        <v>81</v>
      </c>
      <c r="D2237" s="0" t="s">
        <v>174</v>
      </c>
      <c r="E2237" s="0" t="n">
        <v>47</v>
      </c>
      <c r="F2237" s="0" t="n">
        <v>0</v>
      </c>
      <c r="G2237" s="1"/>
      <c r="H2237" s="1"/>
      <c r="I2237" s="0" t="n">
        <v>0</v>
      </c>
      <c r="J2237" s="0" t="n">
        <f aca="false">(I2237/32)*5</f>
        <v>0</v>
      </c>
      <c r="L2237" s="0" t="n">
        <v>0</v>
      </c>
      <c r="M2237" s="0" t="n">
        <v>0</v>
      </c>
      <c r="N2237" s="2" t="n">
        <v>0</v>
      </c>
      <c r="O2237" s="3" t="n">
        <v>0</v>
      </c>
      <c r="P2237" s="3" t="n">
        <f aca="false">(O2237*(N2237/100)*(J2237/1000))*1000</f>
        <v>0</v>
      </c>
      <c r="Q2237" s="3"/>
      <c r="R2237" s="3" t="n">
        <v>3</v>
      </c>
      <c r="S2237" s="3" t="n">
        <v>7.5</v>
      </c>
      <c r="T2237" s="0" t="n">
        <f aca="false">(S2237/32)*5</f>
        <v>1.171875</v>
      </c>
      <c r="V2237" s="0" t="n">
        <v>6</v>
      </c>
      <c r="W2237" s="0" t="n">
        <v>4</v>
      </c>
      <c r="X2237" s="3" t="n">
        <f aca="false">LOOKUP(V2237,$AB$3:$AC$123)</f>
        <v>1.0218</v>
      </c>
      <c r="Y2237" s="2" t="n">
        <f aca="false">(V2237*((W2237+T2237)/1000)*X2237)/((((W2237+T2237)/1000)*X2237)-((W2237/1000)*0.9982))</f>
        <v>24.5449716122821</v>
      </c>
      <c r="Z2237" s="3" t="n">
        <f aca="false">(X2237*(V2237/100)*((W2237+T2237)/1000))*1000</f>
        <v>0.3170773125</v>
      </c>
    </row>
    <row r="2238" customFormat="false" ht="15" hidden="false" customHeight="false" outlineLevel="0" collapsed="false">
      <c r="A2238" s="0" t="s">
        <v>88</v>
      </c>
      <c r="B2238" s="0" t="s">
        <v>89</v>
      </c>
      <c r="C2238" s="0" t="s">
        <v>81</v>
      </c>
      <c r="D2238" s="0" t="s">
        <v>174</v>
      </c>
      <c r="E2238" s="0" t="n">
        <v>47</v>
      </c>
      <c r="F2238" s="0" t="n">
        <v>2</v>
      </c>
      <c r="G2238" s="1"/>
      <c r="H2238" s="1"/>
      <c r="I2238" s="0" t="n">
        <f aca="false">32+17.2</f>
        <v>49.2</v>
      </c>
      <c r="J2238" s="0" t="n">
        <f aca="false">(I2238/32)*5</f>
        <v>7.6875</v>
      </c>
      <c r="L2238" s="0" t="n">
        <v>12</v>
      </c>
      <c r="M2238" s="0" t="n">
        <v>4</v>
      </c>
      <c r="N2238" s="2" t="n">
        <f aca="false">(L2238*((M2238+J2238)/1000)*O2238)/((((M2238+J2238)/1000)*O2238)-((M2238/1000)*0.9982))</f>
        <v>17.8160498351044</v>
      </c>
      <c r="O2238" s="3" t="n">
        <f aca="false">LOOKUP(L2238,$AB$3:$AC$123)</f>
        <v>1.0465</v>
      </c>
      <c r="P2238" s="3" t="n">
        <f aca="false">(O2238*(N2238/100)*(J2238/1000))*1000</f>
        <v>1.43329564171858</v>
      </c>
      <c r="Q2238" s="3"/>
      <c r="R2238" s="3" t="n">
        <v>2</v>
      </c>
      <c r="S2238" s="3" t="n">
        <v>2.6</v>
      </c>
      <c r="T2238" s="0" t="n">
        <f aca="false">(S2238/32)*5</f>
        <v>0.40625</v>
      </c>
      <c r="V2238" s="0" t="n">
        <v>5</v>
      </c>
      <c r="W2238" s="0" t="n">
        <v>4</v>
      </c>
      <c r="X2238" s="3" t="n">
        <f aca="false">LOOKUP(V2238,$AB$3:$AC$123)</f>
        <v>1.0179</v>
      </c>
      <c r="Y2238" s="2" t="n">
        <f aca="false">(V2238*((W2238+T2238)/1000)*X2238)/((((W2238+T2238)/1000)*X2238)-((W2238/1000)*0.9982))</f>
        <v>45.5507067911619</v>
      </c>
      <c r="Z2238" s="3" t="n">
        <f aca="false">(X2238*(V2238/100)*((W2238+T2238)/1000))*1000</f>
        <v>0.22425609375</v>
      </c>
    </row>
    <row r="2239" customFormat="false" ht="15" hidden="false" customHeight="false" outlineLevel="0" collapsed="false">
      <c r="A2239" s="0" t="s">
        <v>90</v>
      </c>
      <c r="B2239" s="0" t="s">
        <v>91</v>
      </c>
      <c r="C2239" s="0" t="s">
        <v>81</v>
      </c>
      <c r="D2239" s="0" t="s">
        <v>174</v>
      </c>
      <c r="E2239" s="0" t="n">
        <v>47</v>
      </c>
      <c r="F2239" s="0" t="n">
        <v>0</v>
      </c>
      <c r="G2239" s="1"/>
      <c r="H2239" s="1"/>
      <c r="I2239" s="0" t="n">
        <v>0</v>
      </c>
      <c r="J2239" s="0" t="n">
        <f aca="false">(I2239/32)*5</f>
        <v>0</v>
      </c>
      <c r="L2239" s="0" t="n">
        <v>0</v>
      </c>
      <c r="M2239" s="0" t="n">
        <v>0</v>
      </c>
      <c r="N2239" s="2" t="n">
        <v>0</v>
      </c>
      <c r="O2239" s="3" t="n">
        <v>0</v>
      </c>
      <c r="P2239" s="3" t="n">
        <f aca="false">(O2239*(N2239/100)*(J2239/1000))*1000</f>
        <v>0</v>
      </c>
      <c r="Q2239" s="3"/>
      <c r="R2239" s="3" t="n">
        <v>5</v>
      </c>
      <c r="S2239" s="3" t="n">
        <v>13.4</v>
      </c>
      <c r="T2239" s="0" t="n">
        <f aca="false">(S2239/32)*5</f>
        <v>2.09375</v>
      </c>
      <c r="V2239" s="0" t="n">
        <v>20</v>
      </c>
      <c r="W2239" s="0" t="n">
        <v>4</v>
      </c>
      <c r="X2239" s="3" t="n">
        <f aca="false">LOOKUP(V2239,$AB$3:$AC$123)</f>
        <v>1.081</v>
      </c>
      <c r="Y2239" s="2" t="n">
        <f aca="false">(V2239*((W2239+T2239)/1000)*X2239)/((((W2239+T2239)/1000)*X2239)-((W2239/1000)*0.9982))</f>
        <v>50.7784364784753</v>
      </c>
      <c r="Z2239" s="3" t="n">
        <f aca="false">(X2239*(V2239/100)*((W2239+T2239)/1000))*1000</f>
        <v>1.31746875</v>
      </c>
    </row>
    <row r="2240" customFormat="false" ht="15" hidden="false" customHeight="false" outlineLevel="0" collapsed="false">
      <c r="A2240" s="0" t="s">
        <v>92</v>
      </c>
      <c r="B2240" s="0" t="s">
        <v>93</v>
      </c>
      <c r="C2240" s="0" t="s">
        <v>81</v>
      </c>
      <c r="D2240" s="0" t="s">
        <v>174</v>
      </c>
      <c r="E2240" s="0" t="n">
        <v>47</v>
      </c>
      <c r="F2240" s="0" t="n">
        <v>0</v>
      </c>
      <c r="G2240" s="1"/>
      <c r="H2240" s="1"/>
      <c r="I2240" s="0" t="n">
        <v>0</v>
      </c>
      <c r="J2240" s="0" t="n">
        <f aca="false">(I2240/32)*5</f>
        <v>0</v>
      </c>
      <c r="L2240" s="0" t="n">
        <v>0</v>
      </c>
      <c r="M2240" s="0" t="n">
        <v>0</v>
      </c>
      <c r="N2240" s="2" t="n">
        <v>0</v>
      </c>
      <c r="O2240" s="3" t="n">
        <v>0</v>
      </c>
      <c r="P2240" s="3" t="n">
        <f aca="false">(O2240*(N2240/100)*(J2240/1000))*1000</f>
        <v>0</v>
      </c>
      <c r="Q2240" s="3"/>
      <c r="R2240" s="3" t="n">
        <v>7</v>
      </c>
      <c r="S2240" s="3" t="n">
        <v>7</v>
      </c>
      <c r="T2240" s="0" t="n">
        <f aca="false">(S2240/32)*5</f>
        <v>1.09375</v>
      </c>
      <c r="V2240" s="0" t="n">
        <v>21</v>
      </c>
      <c r="W2240" s="0" t="n">
        <v>4</v>
      </c>
      <c r="X2240" s="3" t="n">
        <f aca="false">LOOKUP(V2240,$AB$3:$AC$123)</f>
        <v>1.08545</v>
      </c>
      <c r="Y2240" s="2" t="n">
        <f aca="false">(V2240*((W2240+T2240)/1000)*X2240)/((((W2240+T2240)/1000)*X2240)-((W2240/1000)*0.9982))</f>
        <v>75.5815668624609</v>
      </c>
      <c r="Z2240" s="3" t="n">
        <f aca="false">(X2240*(V2240/100)*((W2240+T2240)/1000))*1000</f>
        <v>1.161092296875</v>
      </c>
    </row>
    <row r="2241" customFormat="false" ht="15" hidden="false" customHeight="false" outlineLevel="0" collapsed="false">
      <c r="A2241" s="0" t="s">
        <v>94</v>
      </c>
      <c r="B2241" s="0" t="s">
        <v>95</v>
      </c>
      <c r="C2241" s="0" t="s">
        <v>81</v>
      </c>
      <c r="D2241" s="0" t="s">
        <v>174</v>
      </c>
      <c r="E2241" s="0" t="n">
        <v>47</v>
      </c>
      <c r="F2241" s="0" t="n">
        <v>1</v>
      </c>
      <c r="G2241" s="1"/>
      <c r="H2241" s="1"/>
      <c r="I2241" s="0" t="n">
        <v>48</v>
      </c>
      <c r="J2241" s="0" t="n">
        <f aca="false">(I2241/32)*5</f>
        <v>7.5</v>
      </c>
      <c r="L2241" s="0" t="n">
        <v>14.5</v>
      </c>
      <c r="M2241" s="0" t="n">
        <v>4</v>
      </c>
      <c r="N2241" s="2" t="n">
        <f aca="false">(L2241*((M2241+J2241)/1000)*O2241)/((((M2241+J2241)/1000)*O2241)-((M2241/1000)*0.9982))</f>
        <v>21.5922025780094</v>
      </c>
      <c r="O2241" s="3" t="n">
        <f aca="false">LOOKUP(L2241,$AB$3:$AC$123)</f>
        <v>1.05705</v>
      </c>
      <c r="P2241" s="3" t="n">
        <f aca="false">(O2241*(N2241/100)*(J2241/1000))*1000</f>
        <v>1.71180283013137</v>
      </c>
      <c r="Q2241" s="3"/>
      <c r="R2241" s="3" t="n">
        <v>7</v>
      </c>
      <c r="S2241" s="3" t="n">
        <v>5.5</v>
      </c>
      <c r="T2241" s="0" t="n">
        <f aca="false">(S2241/32)*5</f>
        <v>0.859375</v>
      </c>
      <c r="V2241" s="0" t="n">
        <v>14.5</v>
      </c>
      <c r="W2241" s="0" t="n">
        <v>4</v>
      </c>
      <c r="X2241" s="3" t="n">
        <f aca="false">LOOKUP(V2241,$AB$3:$AC$123)</f>
        <v>1.05705</v>
      </c>
      <c r="Y2241" s="2" t="n">
        <f aca="false">(V2241*((W2241+T2241)/1000)*X2241)/((((W2241+T2241)/1000)*X2241)-((W2241/1000)*0.9982))</f>
        <v>65.1167873464807</v>
      </c>
      <c r="Z2241" s="3" t="n">
        <f aca="false">(X2241*(V2241/100)*((W2241+T2241)/1000))*1000</f>
        <v>0.74480733984375</v>
      </c>
    </row>
    <row r="2242" customFormat="false" ht="15" hidden="false" customHeight="false" outlineLevel="0" collapsed="false">
      <c r="A2242" s="0" t="s">
        <v>96</v>
      </c>
      <c r="B2242" s="0" t="s">
        <v>97</v>
      </c>
      <c r="C2242" s="0" t="s">
        <v>81</v>
      </c>
      <c r="D2242" s="0" t="s">
        <v>174</v>
      </c>
      <c r="E2242" s="0" t="n">
        <v>47</v>
      </c>
      <c r="F2242" s="0" t="n">
        <v>0</v>
      </c>
      <c r="G2242" s="1"/>
      <c r="H2242" s="1"/>
      <c r="I2242" s="0" t="n">
        <v>0</v>
      </c>
      <c r="J2242" s="0" t="n">
        <f aca="false">(I2242/32)*5</f>
        <v>0</v>
      </c>
      <c r="L2242" s="0" t="n">
        <v>0</v>
      </c>
      <c r="M2242" s="0" t="n">
        <v>0</v>
      </c>
      <c r="N2242" s="2" t="n">
        <v>0</v>
      </c>
      <c r="O2242" s="3" t="n">
        <v>0</v>
      </c>
      <c r="P2242" s="3" t="n">
        <f aca="false">(O2242*(N2242/100)*(J2242/1000))*1000</f>
        <v>0</v>
      </c>
      <c r="Q2242" s="3"/>
      <c r="R2242" s="3" t="n">
        <v>3</v>
      </c>
      <c r="S2242" s="3" t="n">
        <v>1.9</v>
      </c>
      <c r="T2242" s="0" t="n">
        <f aca="false">(S2242/32)*5</f>
        <v>0.296875</v>
      </c>
      <c r="V2242" s="0" t="n">
        <v>4</v>
      </c>
      <c r="W2242" s="0" t="n">
        <v>4</v>
      </c>
      <c r="X2242" s="3" t="n">
        <f aca="false">LOOKUP(V2242,$AB$3:$AC$123)</f>
        <v>1.0139</v>
      </c>
      <c r="Y2242" s="2" t="n">
        <f aca="false">(V2242*((W2242+T2242)/1000)*X2242)/((((W2242+T2242)/1000)*X2242)-((W2242/1000)*0.9982))</f>
        <v>47.9008559783192</v>
      </c>
      <c r="Z2242" s="3" t="n">
        <f aca="false">(X2242*(V2242/100)*((W2242+T2242)/1000))*1000</f>
        <v>0.1742640625</v>
      </c>
    </row>
    <row r="2243" customFormat="false" ht="15" hidden="false" customHeight="false" outlineLevel="0" collapsed="false">
      <c r="A2243" s="0" t="s">
        <v>98</v>
      </c>
      <c r="B2243" s="0" t="s">
        <v>99</v>
      </c>
      <c r="C2243" s="0" t="s">
        <v>81</v>
      </c>
      <c r="D2243" s="0" t="s">
        <v>174</v>
      </c>
      <c r="E2243" s="0" t="n">
        <v>47</v>
      </c>
      <c r="F2243" s="0" t="n">
        <v>0</v>
      </c>
      <c r="G2243" s="1"/>
      <c r="H2243" s="1"/>
      <c r="I2243" s="0" t="n">
        <v>0</v>
      </c>
      <c r="J2243" s="0" t="n">
        <f aca="false">(I2243/32)*5</f>
        <v>0</v>
      </c>
      <c r="L2243" s="0" t="n">
        <v>0</v>
      </c>
      <c r="M2243" s="0" t="n">
        <v>0</v>
      </c>
      <c r="N2243" s="2" t="n">
        <v>0</v>
      </c>
      <c r="O2243" s="3" t="n">
        <v>0</v>
      </c>
      <c r="P2243" s="3" t="n">
        <f aca="false">(O2243*(N2243/100)*(J2243/1000))*1000</f>
        <v>0</v>
      </c>
      <c r="Q2243" s="3"/>
      <c r="R2243" s="3" t="n">
        <v>9</v>
      </c>
      <c r="S2243" s="3" t="n">
        <v>12</v>
      </c>
      <c r="T2243" s="0" t="n">
        <f aca="false">(S2243/32)*5</f>
        <v>1.875</v>
      </c>
      <c r="V2243" s="0" t="n">
        <v>27</v>
      </c>
      <c r="W2243" s="0" t="n">
        <v>4</v>
      </c>
      <c r="X2243" s="3" t="n">
        <f aca="false">LOOKUP(V2243,$AB$3:$AC$123)</f>
        <v>1.1128</v>
      </c>
      <c r="Y2243" s="2" t="n">
        <f aca="false">(V2243*((W2243+T2243)/1000)*X2243)/((((W2243+T2243)/1000)*X2243)-((W2243/1000)*0.9982))</f>
        <v>69.3614287398326</v>
      </c>
      <c r="Z2243" s="3" t="n">
        <f aca="false">(X2243*(V2243/100)*((W2243+T2243)/1000))*1000</f>
        <v>1.765179</v>
      </c>
    </row>
    <row r="2244" customFormat="false" ht="15" hidden="false" customHeight="false" outlineLevel="0" collapsed="false">
      <c r="A2244" s="0" t="s">
        <v>100</v>
      </c>
      <c r="B2244" s="0" t="s">
        <v>101</v>
      </c>
      <c r="C2244" s="0" t="s">
        <v>81</v>
      </c>
      <c r="D2244" s="0" t="s">
        <v>174</v>
      </c>
      <c r="E2244" s="0" t="n">
        <v>47</v>
      </c>
      <c r="F2244" s="0" t="n">
        <v>0</v>
      </c>
      <c r="G2244" s="1"/>
      <c r="H2244" s="1"/>
      <c r="I2244" s="0" t="n">
        <v>0</v>
      </c>
      <c r="J2244" s="0" t="n">
        <f aca="false">(I2244/32)*5</f>
        <v>0</v>
      </c>
      <c r="L2244" s="0" t="n">
        <v>0</v>
      </c>
      <c r="M2244" s="0" t="n">
        <v>0</v>
      </c>
      <c r="N2244" s="2" t="n">
        <v>0</v>
      </c>
      <c r="O2244" s="3" t="n">
        <v>0</v>
      </c>
      <c r="P2244" s="3" t="n">
        <f aca="false">(O2244*(N2244/100)*(J2244/1000))*1000</f>
        <v>0</v>
      </c>
      <c r="Q2244" s="3"/>
      <c r="R2244" s="3" t="n">
        <v>3</v>
      </c>
      <c r="S2244" s="3" t="n">
        <v>4.3</v>
      </c>
      <c r="T2244" s="0" t="n">
        <f aca="false">(S2244/32)*5</f>
        <v>0.671875</v>
      </c>
      <c r="V2244" s="0" t="n">
        <v>6.5</v>
      </c>
      <c r="W2244" s="0" t="n">
        <v>4</v>
      </c>
      <c r="X2244" s="3" t="n">
        <f aca="false">LOOKUP(V2244,$AB$3:$AC$123)</f>
        <v>1.02385</v>
      </c>
      <c r="Y2244" s="2" t="n">
        <f aca="false">(V2244*((W2244+T2244)/1000)*X2244)/((((W2244+T2244)/1000)*X2244)-((W2244/1000)*0.9982))</f>
        <v>39.3314049962494</v>
      </c>
      <c r="Z2244" s="3" t="n">
        <f aca="false">(X2244*(V2244/100)*((W2244+T2244)/1000))*1000</f>
        <v>0.31091444921875</v>
      </c>
    </row>
    <row r="2245" customFormat="false" ht="15" hidden="false" customHeight="false" outlineLevel="0" collapsed="false">
      <c r="A2245" s="0" t="s">
        <v>102</v>
      </c>
      <c r="B2245" s="0" t="s">
        <v>103</v>
      </c>
      <c r="C2245" s="0" t="s">
        <v>81</v>
      </c>
      <c r="D2245" s="0" t="s">
        <v>174</v>
      </c>
      <c r="E2245" s="0" t="n">
        <v>47</v>
      </c>
      <c r="F2245" s="0" t="n">
        <v>1</v>
      </c>
      <c r="G2245" s="1"/>
      <c r="H2245" s="1"/>
      <c r="I2245" s="0" t="n">
        <v>39.5</v>
      </c>
      <c r="J2245" s="0" t="n">
        <f aca="false">(I2245/32)*5</f>
        <v>6.171875</v>
      </c>
      <c r="L2245" s="0" t="n">
        <v>13</v>
      </c>
      <c r="M2245" s="0" t="n">
        <v>4</v>
      </c>
      <c r="N2245" s="2" t="n">
        <f aca="false">(L2245*((M2245+J2245)/1000)*O2245)/((((M2245+J2245)/1000)*O2245)-((M2245/1000)*0.9982))</f>
        <v>20.7532539883515</v>
      </c>
      <c r="O2245" s="3" t="n">
        <f aca="false">LOOKUP(L2245,$AB$3:$AC$123)</f>
        <v>1.0507</v>
      </c>
      <c r="P2245" s="3" t="n">
        <f aca="false">(O2245*(N2245/100)*(J2245/1000))*1000</f>
        <v>1.34580474474946</v>
      </c>
      <c r="Q2245" s="3"/>
      <c r="R2245" s="3" t="n">
        <v>4</v>
      </c>
      <c r="S2245" s="3" t="n">
        <v>5.9</v>
      </c>
      <c r="T2245" s="0" t="n">
        <f aca="false">(S2245/32)*5</f>
        <v>0.921875</v>
      </c>
      <c r="V2245" s="0" t="n">
        <v>13</v>
      </c>
      <c r="W2245" s="0" t="n">
        <v>4</v>
      </c>
      <c r="X2245" s="3" t="n">
        <f aca="false">LOOKUP(V2245,$AB$3:$AC$123)</f>
        <v>1.0507</v>
      </c>
      <c r="Y2245" s="2" t="n">
        <f aca="false">(V2245*((W2245+T2245)/1000)*X2245)/((((W2245+T2245)/1000)*X2245)-((W2245/1000)*0.9982))</f>
        <v>57.0402008184931</v>
      </c>
      <c r="Z2245" s="3" t="n">
        <f aca="false">(X2245*(V2245/100)*((W2245+T2245)/1000))*1000</f>
        <v>0.672283828125</v>
      </c>
    </row>
    <row r="2246" customFormat="false" ht="15" hidden="false" customHeight="false" outlineLevel="0" collapsed="false">
      <c r="A2246" s="0" t="s">
        <v>104</v>
      </c>
      <c r="B2246" s="0" t="s">
        <v>105</v>
      </c>
      <c r="C2246" s="0" t="s">
        <v>106</v>
      </c>
      <c r="D2246" s="0" t="s">
        <v>174</v>
      </c>
      <c r="E2246" s="0" t="n">
        <v>47</v>
      </c>
      <c r="F2246" s="0" t="n">
        <v>2</v>
      </c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3" t="n">
        <v>2</v>
      </c>
      <c r="S2246" s="1"/>
      <c r="T2246" s="1"/>
      <c r="U2246" s="1"/>
      <c r="V2246" s="1"/>
      <c r="W2246" s="1"/>
      <c r="X2246" s="1"/>
      <c r="Y2246" s="5"/>
      <c r="Z2246" s="1"/>
    </row>
    <row r="2247" customFormat="false" ht="15" hidden="false" customHeight="false" outlineLevel="0" collapsed="false">
      <c r="A2247" s="0" t="s">
        <v>107</v>
      </c>
      <c r="B2247" s="0" t="s">
        <v>37</v>
      </c>
      <c r="C2247" s="0" t="s">
        <v>106</v>
      </c>
      <c r="D2247" s="0" t="s">
        <v>174</v>
      </c>
      <c r="E2247" s="0" t="n">
        <v>47</v>
      </c>
      <c r="F2247" s="0" t="n">
        <v>1</v>
      </c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3" t="n">
        <v>1</v>
      </c>
      <c r="S2247" s="1"/>
      <c r="T2247" s="1"/>
      <c r="U2247" s="1"/>
      <c r="V2247" s="1"/>
      <c r="W2247" s="1"/>
      <c r="X2247" s="1"/>
      <c r="Y2247" s="5"/>
      <c r="Z2247" s="1"/>
    </row>
    <row r="2248" customFormat="false" ht="15" hidden="false" customHeight="false" outlineLevel="0" collapsed="false">
      <c r="A2248" s="0" t="s">
        <v>108</v>
      </c>
      <c r="B2248" s="0" t="s">
        <v>109</v>
      </c>
      <c r="C2248" s="0" t="s">
        <v>106</v>
      </c>
      <c r="D2248" s="0" t="s">
        <v>174</v>
      </c>
      <c r="E2248" s="0" t="n">
        <v>47</v>
      </c>
      <c r="F2248" s="0" t="n">
        <v>2</v>
      </c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3" t="n">
        <v>2</v>
      </c>
      <c r="S2248" s="1"/>
      <c r="T2248" s="1"/>
      <c r="U2248" s="1"/>
      <c r="V2248" s="1"/>
      <c r="W2248" s="1"/>
      <c r="X2248" s="1"/>
      <c r="Y2248" s="5"/>
      <c r="Z2248" s="1"/>
    </row>
    <row r="2249" customFormat="false" ht="15" hidden="false" customHeight="false" outlineLevel="0" collapsed="false">
      <c r="A2249" s="0" t="s">
        <v>110</v>
      </c>
      <c r="B2249" s="0" t="s">
        <v>111</v>
      </c>
      <c r="C2249" s="0" t="s">
        <v>106</v>
      </c>
      <c r="D2249" s="0" t="s">
        <v>174</v>
      </c>
      <c r="E2249" s="0" t="n">
        <v>47</v>
      </c>
      <c r="F2249" s="0" t="n">
        <v>0</v>
      </c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3" t="n">
        <v>0</v>
      </c>
      <c r="S2249" s="1"/>
      <c r="T2249" s="1"/>
      <c r="U2249" s="1"/>
      <c r="V2249" s="1"/>
      <c r="W2249" s="1"/>
      <c r="X2249" s="1"/>
      <c r="Y2249" s="5"/>
      <c r="Z2249" s="1"/>
    </row>
    <row r="2250" customFormat="false" ht="15" hidden="false" customHeight="false" outlineLevel="0" collapsed="false">
      <c r="A2250" s="0" t="s">
        <v>112</v>
      </c>
      <c r="B2250" s="0" t="s">
        <v>113</v>
      </c>
      <c r="C2250" s="0" t="s">
        <v>106</v>
      </c>
      <c r="D2250" s="0" t="s">
        <v>174</v>
      </c>
      <c r="E2250" s="0" t="n">
        <v>47</v>
      </c>
      <c r="F2250" s="0" t="n">
        <v>1</v>
      </c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3" t="n">
        <v>1</v>
      </c>
      <c r="S2250" s="1"/>
      <c r="T2250" s="1"/>
      <c r="U2250" s="1"/>
      <c r="V2250" s="1"/>
      <c r="W2250" s="1"/>
      <c r="X2250" s="1"/>
      <c r="Y2250" s="5"/>
      <c r="Z2250" s="1"/>
    </row>
    <row r="2251" customFormat="false" ht="15" hidden="false" customHeight="false" outlineLevel="0" collapsed="false">
      <c r="A2251" s="0" t="s">
        <v>114</v>
      </c>
      <c r="B2251" s="0" t="s">
        <v>115</v>
      </c>
      <c r="C2251" s="0" t="s">
        <v>106</v>
      </c>
      <c r="D2251" s="0" t="s">
        <v>174</v>
      </c>
      <c r="E2251" s="0" t="n">
        <v>47</v>
      </c>
      <c r="F2251" s="0" t="n">
        <v>2</v>
      </c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3" t="n">
        <v>2</v>
      </c>
      <c r="S2251" s="1"/>
      <c r="T2251" s="1"/>
      <c r="U2251" s="1"/>
      <c r="V2251" s="1"/>
      <c r="W2251" s="1"/>
      <c r="X2251" s="1"/>
      <c r="Y2251" s="5"/>
      <c r="Z2251" s="1"/>
    </row>
    <row r="2252" customFormat="false" ht="15" hidden="false" customHeight="false" outlineLevel="0" collapsed="false">
      <c r="A2252" s="0" t="s">
        <v>116</v>
      </c>
      <c r="B2252" s="0" t="s">
        <v>117</v>
      </c>
      <c r="C2252" s="0" t="s">
        <v>106</v>
      </c>
      <c r="D2252" s="0" t="s">
        <v>174</v>
      </c>
      <c r="E2252" s="0" t="n">
        <v>47</v>
      </c>
      <c r="F2252" s="0" t="n">
        <v>0</v>
      </c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3" t="n">
        <v>0</v>
      </c>
      <c r="S2252" s="1"/>
      <c r="T2252" s="1"/>
      <c r="U2252" s="1"/>
      <c r="V2252" s="1"/>
      <c r="W2252" s="1"/>
      <c r="X2252" s="1"/>
      <c r="Y2252" s="5"/>
      <c r="Z2252" s="1"/>
    </row>
    <row r="2253" customFormat="false" ht="15" hidden="false" customHeight="false" outlineLevel="0" collapsed="false">
      <c r="A2253" s="0" t="s">
        <v>118</v>
      </c>
      <c r="B2253" s="0" t="s">
        <v>119</v>
      </c>
      <c r="C2253" s="0" t="s">
        <v>106</v>
      </c>
      <c r="D2253" s="0" t="s">
        <v>174</v>
      </c>
      <c r="E2253" s="0" t="n">
        <v>47</v>
      </c>
      <c r="F2253" s="0" t="n">
        <v>0</v>
      </c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3" t="n">
        <v>0</v>
      </c>
      <c r="S2253" s="1"/>
      <c r="T2253" s="1"/>
      <c r="U2253" s="1"/>
      <c r="V2253" s="1"/>
      <c r="W2253" s="1"/>
      <c r="X2253" s="1"/>
      <c r="Y2253" s="5"/>
      <c r="Z2253" s="1"/>
    </row>
    <row r="2254" customFormat="false" ht="15" hidden="false" customHeight="false" outlineLevel="0" collapsed="false">
      <c r="A2254" s="0" t="s">
        <v>120</v>
      </c>
      <c r="B2254" s="0" t="s">
        <v>121</v>
      </c>
      <c r="C2254" s="0" t="s">
        <v>106</v>
      </c>
      <c r="D2254" s="0" t="s">
        <v>174</v>
      </c>
      <c r="E2254" s="0" t="n">
        <v>47</v>
      </c>
      <c r="F2254" s="0" t="n">
        <v>1</v>
      </c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3" t="n">
        <v>1</v>
      </c>
      <c r="S2254" s="1"/>
      <c r="T2254" s="1"/>
      <c r="U2254" s="1"/>
      <c r="V2254" s="1"/>
      <c r="W2254" s="1"/>
      <c r="X2254" s="1"/>
      <c r="Y2254" s="5"/>
      <c r="Z2254" s="1"/>
    </row>
    <row r="2255" customFormat="false" ht="15" hidden="false" customHeight="false" outlineLevel="0" collapsed="false">
      <c r="A2255" s="0" t="s">
        <v>122</v>
      </c>
      <c r="B2255" s="0" t="s">
        <v>123</v>
      </c>
      <c r="C2255" s="0" t="s">
        <v>106</v>
      </c>
      <c r="D2255" s="0" t="s">
        <v>174</v>
      </c>
      <c r="E2255" s="0" t="n">
        <v>47</v>
      </c>
      <c r="F2255" s="0" t="n">
        <v>0</v>
      </c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3" t="n">
        <v>0</v>
      </c>
      <c r="S2255" s="1"/>
      <c r="T2255" s="1"/>
      <c r="U2255" s="1"/>
      <c r="V2255" s="1"/>
      <c r="W2255" s="1"/>
      <c r="X2255" s="1"/>
      <c r="Y2255" s="5"/>
      <c r="Z2255" s="1"/>
    </row>
    <row r="2256" customFormat="false" ht="15" hidden="false" customHeight="false" outlineLevel="0" collapsed="false">
      <c r="A2256" s="0" t="s">
        <v>124</v>
      </c>
      <c r="B2256" s="0" t="s">
        <v>125</v>
      </c>
      <c r="C2256" s="0" t="s">
        <v>106</v>
      </c>
      <c r="D2256" s="0" t="s">
        <v>174</v>
      </c>
      <c r="E2256" s="0" t="n">
        <v>47</v>
      </c>
      <c r="F2256" s="0" t="n">
        <v>0</v>
      </c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3" t="n">
        <v>0</v>
      </c>
      <c r="S2256" s="1"/>
      <c r="T2256" s="1"/>
      <c r="U2256" s="1"/>
      <c r="V2256" s="1"/>
      <c r="W2256" s="1"/>
      <c r="X2256" s="1"/>
      <c r="Y2256" s="5"/>
      <c r="Z2256" s="1"/>
    </row>
    <row r="2257" customFormat="false" ht="15" hidden="false" customHeight="false" outlineLevel="0" collapsed="false">
      <c r="A2257" s="0" t="s">
        <v>126</v>
      </c>
      <c r="B2257" s="0" t="s">
        <v>127</v>
      </c>
      <c r="C2257" s="0" t="s">
        <v>106</v>
      </c>
      <c r="D2257" s="0" t="s">
        <v>174</v>
      </c>
      <c r="E2257" s="0" t="n">
        <v>47</v>
      </c>
      <c r="F2257" s="0" t="n">
        <v>0</v>
      </c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3" t="n">
        <v>0</v>
      </c>
      <c r="S2257" s="1"/>
      <c r="T2257" s="1"/>
      <c r="U2257" s="1"/>
      <c r="V2257" s="1"/>
      <c r="W2257" s="1"/>
      <c r="X2257" s="1"/>
      <c r="Y2257" s="5"/>
      <c r="Z2257" s="1"/>
    </row>
    <row r="2258" customFormat="false" ht="15" hidden="false" customHeight="false" outlineLevel="0" collapsed="false">
      <c r="A2258" s="0" t="s">
        <v>26</v>
      </c>
      <c r="B2258" s="0" t="s">
        <v>27</v>
      </c>
      <c r="C2258" s="0" t="s">
        <v>28</v>
      </c>
      <c r="D2258" s="0" t="s">
        <v>175</v>
      </c>
      <c r="E2258" s="0" t="n">
        <v>48</v>
      </c>
      <c r="F2258" s="0" t="n">
        <v>1</v>
      </c>
      <c r="G2258" s="1"/>
      <c r="H2258" s="1"/>
      <c r="I2258" s="0" t="n">
        <f aca="false">32+12.9</f>
        <v>44.9</v>
      </c>
      <c r="J2258" s="0" t="n">
        <f aca="false">(I2258/32)*5</f>
        <v>7.015625</v>
      </c>
      <c r="K2258" s="0" t="n">
        <f aca="false">J2258/F2258</f>
        <v>7.015625</v>
      </c>
      <c r="L2258" s="0" t="n">
        <v>32</v>
      </c>
      <c r="M2258" s="0" t="n">
        <v>0</v>
      </c>
      <c r="N2258" s="0" t="n">
        <f aca="false">L2258</f>
        <v>32</v>
      </c>
      <c r="O2258" s="3" t="n">
        <f aca="false">LOOKUP(L2258,$AB$3:$AC$123)</f>
        <v>1.1366</v>
      </c>
      <c r="P2258" s="3" t="n">
        <f aca="false">(O2258*(N2258/100)*(J2258/1000))*1000</f>
        <v>2.551667</v>
      </c>
      <c r="Q2258" s="3" t="n">
        <f aca="false">P2258/F2258</f>
        <v>2.551667</v>
      </c>
      <c r="R2258" s="3" t="n">
        <v>4</v>
      </c>
      <c r="S2258" s="0" t="n">
        <v>21</v>
      </c>
      <c r="T2258" s="0" t="n">
        <f aca="false">(S2258/32)*5</f>
        <v>3.28125</v>
      </c>
      <c r="U2258" s="0" t="n">
        <f aca="false">T2258/R2258</f>
        <v>0.8203125</v>
      </c>
      <c r="V2258" s="0" t="n">
        <v>29</v>
      </c>
      <c r="W2258" s="0" t="n">
        <v>4</v>
      </c>
      <c r="X2258" s="3" t="n">
        <f aca="false">LOOKUP(V2258,$AB$3:$AC$123)</f>
        <v>1.12225</v>
      </c>
      <c r="Y2258" s="2" t="n">
        <f aca="false">(V2258*((W2258+T2258)/1000)*X2258)/((((W2258+T2258)/1000)*X2258)-((W2258/1000)*0.9982))</f>
        <v>56.7106390361864</v>
      </c>
      <c r="Z2258" s="3" t="n">
        <f aca="false">(X2258*(V2258/100)*((W2258+T2258)/1000))*1000</f>
        <v>2.369701015625</v>
      </c>
      <c r="AA2258" s="0" t="n">
        <f aca="false">Z2258/R2258</f>
        <v>0.59242525390625</v>
      </c>
    </row>
    <row r="2259" customFormat="false" ht="15" hidden="false" customHeight="false" outlineLevel="0" collapsed="false">
      <c r="A2259" s="0" t="s">
        <v>32</v>
      </c>
      <c r="B2259" s="0" t="s">
        <v>33</v>
      </c>
      <c r="C2259" s="0" t="s">
        <v>28</v>
      </c>
      <c r="D2259" s="0" t="s">
        <v>175</v>
      </c>
      <c r="E2259" s="0" t="n">
        <v>48</v>
      </c>
      <c r="F2259" s="0" t="n">
        <v>0</v>
      </c>
      <c r="G2259" s="1"/>
      <c r="H2259" s="1"/>
      <c r="I2259" s="0" t="n">
        <v>0</v>
      </c>
      <c r="L2259" s="0" t="n">
        <v>0</v>
      </c>
      <c r="M2259" s="0" t="n">
        <v>0</v>
      </c>
      <c r="O2259" s="3" t="n">
        <v>0</v>
      </c>
      <c r="P2259" s="3"/>
      <c r="Q2259" s="3"/>
      <c r="R2259" s="3" t="n">
        <v>9</v>
      </c>
      <c r="S2259" s="0" t="n">
        <v>26.5</v>
      </c>
      <c r="T2259" s="0" t="n">
        <f aca="false">(S2259/32)*5</f>
        <v>4.140625</v>
      </c>
      <c r="U2259" s="0" t="n">
        <f aca="false">T2259/R2259</f>
        <v>0.460069444444444</v>
      </c>
      <c r="V2259" s="0" t="n">
        <v>40</v>
      </c>
      <c r="W2259" s="0" t="n">
        <v>4</v>
      </c>
      <c r="X2259" s="3" t="n">
        <f aca="false">LOOKUP(V2259,$AB$3:$AC$123)</f>
        <v>1.1765</v>
      </c>
      <c r="Y2259" s="2" t="n">
        <f aca="false">(V2259*((W2259+T2259)/1000)*X2259)/((((W2259+T2259)/1000)*X2259)-((W2259/1000)*0.9982))</f>
        <v>68.5984142345656</v>
      </c>
      <c r="Z2259" s="3" t="n">
        <f aca="false">(X2259*(V2259/100)*((W2259+T2259)/1000))*1000</f>
        <v>3.830978125</v>
      </c>
      <c r="AA2259" s="0" t="n">
        <f aca="false">Z2259/R2259</f>
        <v>0.425664236111111</v>
      </c>
    </row>
    <row r="2260" customFormat="false" ht="15" hidden="false" customHeight="false" outlineLevel="0" collapsed="false">
      <c r="A2260" s="0" t="s">
        <v>34</v>
      </c>
      <c r="B2260" s="0" t="s">
        <v>35</v>
      </c>
      <c r="C2260" s="0" t="s">
        <v>28</v>
      </c>
      <c r="D2260" s="0" t="s">
        <v>175</v>
      </c>
      <c r="E2260" s="0" t="n">
        <v>48</v>
      </c>
      <c r="F2260" s="0" t="n">
        <v>0</v>
      </c>
      <c r="G2260" s="1"/>
      <c r="H2260" s="1"/>
      <c r="I2260" s="0" t="n">
        <v>0</v>
      </c>
      <c r="L2260" s="0" t="n">
        <v>0</v>
      </c>
      <c r="M2260" s="0" t="n">
        <v>0</v>
      </c>
      <c r="O2260" s="3" t="n">
        <v>0</v>
      </c>
      <c r="P2260" s="3"/>
      <c r="Q2260" s="3"/>
      <c r="R2260" s="3" t="n">
        <v>4</v>
      </c>
      <c r="S2260" s="0" t="n">
        <v>28.6</v>
      </c>
      <c r="T2260" s="0" t="n">
        <f aca="false">(S2260/32)*5</f>
        <v>4.46875</v>
      </c>
      <c r="U2260" s="0" t="n">
        <f aca="false">T2260/R2260</f>
        <v>1.1171875</v>
      </c>
      <c r="V2260" s="0" t="n">
        <v>30</v>
      </c>
      <c r="W2260" s="0" t="n">
        <v>4</v>
      </c>
      <c r="X2260" s="3" t="n">
        <f aca="false">LOOKUP(V2260,$AB$3:$AC$123)</f>
        <v>1.127</v>
      </c>
      <c r="Y2260" s="2" t="n">
        <f aca="false">(V2260*((W2260+T2260)/1000)*X2260)/((((W2260+T2260)/1000)*X2260)-((W2260/1000)*0.9982))</f>
        <v>51.5769439912996</v>
      </c>
      <c r="Z2260" s="3" t="n">
        <f aca="false">(X2260*(V2260/100)*((W2260+T2260)/1000))*1000</f>
        <v>2.863284375</v>
      </c>
      <c r="AA2260" s="0" t="n">
        <f aca="false">Z2260/R2260</f>
        <v>0.71582109375</v>
      </c>
    </row>
    <row r="2261" customFormat="false" ht="15" hidden="false" customHeight="false" outlineLevel="0" collapsed="false">
      <c r="A2261" s="0" t="s">
        <v>36</v>
      </c>
      <c r="B2261" s="0" t="s">
        <v>37</v>
      </c>
      <c r="C2261" s="0" t="s">
        <v>28</v>
      </c>
      <c r="D2261" s="0" t="s">
        <v>175</v>
      </c>
      <c r="E2261" s="0" t="n">
        <v>48</v>
      </c>
      <c r="F2261" s="0" t="n">
        <v>0</v>
      </c>
      <c r="G2261" s="1"/>
      <c r="H2261" s="1"/>
      <c r="I2261" s="0" t="n">
        <v>0</v>
      </c>
      <c r="L2261" s="0" t="n">
        <v>0</v>
      </c>
      <c r="M2261" s="0" t="n">
        <v>0</v>
      </c>
      <c r="O2261" s="3" t="n">
        <v>0</v>
      </c>
      <c r="P2261" s="3"/>
      <c r="Q2261" s="3"/>
      <c r="R2261" s="3" t="n">
        <v>3</v>
      </c>
      <c r="S2261" s="0" t="n">
        <v>17.9</v>
      </c>
      <c r="T2261" s="0" t="n">
        <f aca="false">(S2261/32)*5</f>
        <v>2.796875</v>
      </c>
      <c r="U2261" s="0" t="n">
        <f aca="false">T2261/R2261</f>
        <v>0.932291666666667</v>
      </c>
      <c r="V2261" s="0" t="n">
        <v>20</v>
      </c>
      <c r="W2261" s="0" t="n">
        <v>4</v>
      </c>
      <c r="X2261" s="3" t="n">
        <f aca="false">LOOKUP(V2261,$AB$3:$AC$123)</f>
        <v>1.081</v>
      </c>
      <c r="Y2261" s="2" t="n">
        <f aca="false">(V2261*((W2261+T2261)/1000)*X2261)/((((W2261+T2261)/1000)*X2261)-((W2261/1000)*0.9982))</f>
        <v>43.8047693527307</v>
      </c>
      <c r="Z2261" s="3" t="n">
        <f aca="false">(X2261*(V2261/100)*((W2261+T2261)/1000))*1000</f>
        <v>1.469484375</v>
      </c>
      <c r="AA2261" s="0" t="n">
        <f aca="false">Z2261/R2261</f>
        <v>0.489828125</v>
      </c>
    </row>
    <row r="2262" customFormat="false" ht="15" hidden="false" customHeight="false" outlineLevel="0" collapsed="false">
      <c r="A2262" s="0" t="s">
        <v>38</v>
      </c>
      <c r="B2262" s="0" t="s">
        <v>39</v>
      </c>
      <c r="C2262" s="0" t="s">
        <v>28</v>
      </c>
      <c r="D2262" s="0" t="s">
        <v>175</v>
      </c>
      <c r="E2262" s="0" t="n">
        <v>48</v>
      </c>
      <c r="F2262" s="0" t="n">
        <v>0</v>
      </c>
      <c r="G2262" s="1"/>
      <c r="H2262" s="1"/>
      <c r="I2262" s="0" t="n">
        <v>0</v>
      </c>
      <c r="L2262" s="0" t="n">
        <v>0</v>
      </c>
      <c r="M2262" s="0" t="n">
        <v>0</v>
      </c>
      <c r="O2262" s="3" t="n">
        <v>0</v>
      </c>
      <c r="P2262" s="3"/>
      <c r="Q2262" s="3"/>
      <c r="R2262" s="3" t="n">
        <v>7</v>
      </c>
      <c r="S2262" s="0" t="n">
        <v>21.4</v>
      </c>
      <c r="T2262" s="0" t="n">
        <f aca="false">(S2262/32)*5</f>
        <v>3.34375</v>
      </c>
      <c r="U2262" s="0" t="n">
        <f aca="false">T2262/R2262</f>
        <v>0.477678571428571</v>
      </c>
      <c r="V2262" s="0" t="n">
        <v>28.5</v>
      </c>
      <c r="W2262" s="0" t="n">
        <v>4</v>
      </c>
      <c r="X2262" s="3" t="n">
        <f aca="false">LOOKUP(V2262,$AB$3:$AC$123)</f>
        <v>1.119875</v>
      </c>
      <c r="Y2262" s="2" t="n">
        <f aca="false">(V2262*((W2262+T2262)/1000)*X2262)/((((W2262+T2262)/1000)*X2262)-((W2262/1000)*0.9982))</f>
        <v>55.393693013033</v>
      </c>
      <c r="Z2262" s="3" t="n">
        <f aca="false">(X2262*(V2262/100)*((W2262+T2262)/1000))*1000</f>
        <v>2.34386337890625</v>
      </c>
      <c r="AA2262" s="0" t="n">
        <f aca="false">Z2262/R2262</f>
        <v>0.334837625558036</v>
      </c>
    </row>
    <row r="2263" customFormat="false" ht="15" hidden="false" customHeight="false" outlineLevel="0" collapsed="false">
      <c r="A2263" s="0" t="s">
        <v>40</v>
      </c>
      <c r="B2263" s="0" t="s">
        <v>41</v>
      </c>
      <c r="C2263" s="0" t="s">
        <v>28</v>
      </c>
      <c r="D2263" s="0" t="s">
        <v>175</v>
      </c>
      <c r="E2263" s="0" t="n">
        <v>48</v>
      </c>
      <c r="F2263" s="0" t="n">
        <v>1</v>
      </c>
      <c r="G2263" s="1"/>
      <c r="H2263" s="1"/>
      <c r="I2263" s="0" t="n">
        <f aca="false">32+14.5</f>
        <v>46.5</v>
      </c>
      <c r="J2263" s="0" t="n">
        <f aca="false">(I2263/32)*5</f>
        <v>7.265625</v>
      </c>
      <c r="K2263" s="0" t="n">
        <f aca="false">J2263/F2263</f>
        <v>7.265625</v>
      </c>
      <c r="L2263" s="0" t="n">
        <v>35</v>
      </c>
      <c r="M2263" s="0" t="n">
        <v>0</v>
      </c>
      <c r="N2263" s="0" t="n">
        <f aca="false">L2263</f>
        <v>35</v>
      </c>
      <c r="O2263" s="3" t="n">
        <f aca="false">LOOKUP(L2263,$AB$3:$AC$123)</f>
        <v>1.1513</v>
      </c>
      <c r="P2263" s="3" t="n">
        <f aca="false">(O2263*(N2263/100)*(J2263/1000))*1000</f>
        <v>2.927719921875</v>
      </c>
      <c r="Q2263" s="3" t="n">
        <f aca="false">P2263/F2263</f>
        <v>2.927719921875</v>
      </c>
      <c r="R2263" s="3" t="n">
        <v>7</v>
      </c>
      <c r="S2263" s="0" t="n">
        <v>24</v>
      </c>
      <c r="T2263" s="0" t="n">
        <f aca="false">(S2263/32)*5</f>
        <v>3.75</v>
      </c>
      <c r="U2263" s="0" t="n">
        <f aca="false">T2263/R2263</f>
        <v>0.535714285714286</v>
      </c>
      <c r="V2263" s="0" t="n">
        <v>29</v>
      </c>
      <c r="W2263" s="0" t="n">
        <v>4</v>
      </c>
      <c r="X2263" s="3" t="n">
        <f aca="false">LOOKUP(V2263,$AB$3:$AC$123)</f>
        <v>1.12225</v>
      </c>
      <c r="Y2263" s="2" t="n">
        <f aca="false">(V2263*((W2263+T2263)/1000)*X2263)/((((W2263+T2263)/1000)*X2263)-((W2263/1000)*0.9982))</f>
        <v>53.6121406803394</v>
      </c>
      <c r="Z2263" s="3" t="n">
        <f aca="false">(X2263*(V2263/100)*((W2263+T2263)/1000))*1000</f>
        <v>2.522256875</v>
      </c>
      <c r="AA2263" s="0" t="n">
        <f aca="false">Z2263/R2263</f>
        <v>0.360322410714286</v>
      </c>
    </row>
    <row r="2264" customFormat="false" ht="15" hidden="false" customHeight="false" outlineLevel="0" collapsed="false">
      <c r="A2264" s="0" t="s">
        <v>42</v>
      </c>
      <c r="B2264" s="0" t="s">
        <v>43</v>
      </c>
      <c r="C2264" s="0" t="s">
        <v>28</v>
      </c>
      <c r="D2264" s="0" t="s">
        <v>175</v>
      </c>
      <c r="E2264" s="0" t="n">
        <v>48</v>
      </c>
      <c r="F2264" s="0" t="n">
        <v>2</v>
      </c>
      <c r="G2264" s="1"/>
      <c r="H2264" s="1"/>
      <c r="I2264" s="0" t="n">
        <f aca="false">64+9.9</f>
        <v>73.9</v>
      </c>
      <c r="J2264" s="0" t="n">
        <f aca="false">(I2264/32)*5</f>
        <v>11.546875</v>
      </c>
      <c r="K2264" s="0" t="n">
        <f aca="false">J2264/F2264</f>
        <v>5.7734375</v>
      </c>
      <c r="L2264" s="0" t="n">
        <v>26</v>
      </c>
      <c r="M2264" s="0" t="n">
        <v>0</v>
      </c>
      <c r="N2264" s="0" t="n">
        <f aca="false">L2264</f>
        <v>26</v>
      </c>
      <c r="O2264" s="3" t="n">
        <f aca="false">LOOKUP(L2264,$AB$3:$AC$123)</f>
        <v>1.1081</v>
      </c>
      <c r="P2264" s="3" t="n">
        <f aca="false">(O2264*(N2264/100)*(J2264/1000))*1000</f>
        <v>3.32672396875</v>
      </c>
      <c r="Q2264" s="3" t="n">
        <f aca="false">P2264/F2264</f>
        <v>1.663361984375</v>
      </c>
      <c r="R2264" s="3" t="n">
        <v>3</v>
      </c>
      <c r="S2264" s="0" t="n">
        <f aca="false">5.6+1.5</f>
        <v>7.1</v>
      </c>
      <c r="T2264" s="0" t="n">
        <f aca="false">(S2264/32)*5</f>
        <v>1.109375</v>
      </c>
      <c r="U2264" s="0" t="n">
        <f aca="false">T2264/R2264</f>
        <v>0.369791666666667</v>
      </c>
      <c r="V2264" s="0" t="n">
        <v>11</v>
      </c>
      <c r="W2264" s="0" t="n">
        <v>4</v>
      </c>
      <c r="X2264" s="3" t="n">
        <f aca="false">LOOKUP(V2264,$AB$3:$AC$123)</f>
        <v>1.0423</v>
      </c>
      <c r="Y2264" s="2" t="n">
        <f aca="false">(V2264*((W2264+0.875)/1000)*X2264)/((((W2264+0.875)/1000)*X2264)-((W2264/1000)*0.9982))</f>
        <v>51.3530830452609</v>
      </c>
      <c r="Z2264" s="3" t="n">
        <f aca="false">(X2264*(V2264/100)*((W2264+T2264)/1000))*1000</f>
        <v>0.585805171875</v>
      </c>
      <c r="AA2264" s="0" t="n">
        <f aca="false">Z2264/R2264</f>
        <v>0.195268390625</v>
      </c>
    </row>
    <row r="2265" customFormat="false" ht="15" hidden="false" customHeight="false" outlineLevel="0" collapsed="false">
      <c r="A2265" s="0" t="s">
        <v>44</v>
      </c>
      <c r="B2265" s="0" t="s">
        <v>45</v>
      </c>
      <c r="C2265" s="0" t="s">
        <v>28</v>
      </c>
      <c r="D2265" s="0" t="s">
        <v>175</v>
      </c>
      <c r="E2265" s="0" t="n">
        <v>48</v>
      </c>
      <c r="F2265" s="0" t="n">
        <v>0</v>
      </c>
      <c r="G2265" s="1"/>
      <c r="H2265" s="1"/>
      <c r="I2265" s="0" t="n">
        <v>0</v>
      </c>
      <c r="L2265" s="0" t="n">
        <v>0</v>
      </c>
      <c r="M2265" s="0" t="n">
        <v>0</v>
      </c>
      <c r="O2265" s="3" t="n">
        <v>0</v>
      </c>
      <c r="P2265" s="3"/>
      <c r="Q2265" s="3"/>
      <c r="R2265" s="3" t="n">
        <v>2</v>
      </c>
      <c r="S2265" s="0" t="n">
        <v>4.5</v>
      </c>
      <c r="T2265" s="0" t="n">
        <f aca="false">(S2265/32)*5</f>
        <v>0.703125</v>
      </c>
      <c r="U2265" s="0" t="n">
        <f aca="false">T2265/R2265</f>
        <v>0.3515625</v>
      </c>
      <c r="V2265" s="0" t="n">
        <v>5</v>
      </c>
      <c r="W2265" s="0" t="n">
        <v>4</v>
      </c>
      <c r="X2265" s="3" t="n">
        <f aca="false">LOOKUP(V2265,$AB$3:$AC$123)</f>
        <v>1.0179</v>
      </c>
      <c r="Y2265" s="2" t="n">
        <f aca="false">(V2265*((W2265+0.390625)/1000)*X2265)/((((W2265+0.390625)/1000)*X2265)-((W2265/1000)*0.9982))</f>
        <v>46.9044495534703</v>
      </c>
      <c r="Z2265" s="3" t="n">
        <f aca="false">(X2265*(V2265/100)*((W2265+T2265)/1000))*1000</f>
        <v>0.239365546875</v>
      </c>
      <c r="AA2265" s="0" t="n">
        <f aca="false">Z2265/R2265</f>
        <v>0.1196827734375</v>
      </c>
    </row>
    <row r="2266" customFormat="false" ht="15" hidden="false" customHeight="false" outlineLevel="0" collapsed="false">
      <c r="A2266" s="0" t="s">
        <v>46</v>
      </c>
      <c r="B2266" s="0" t="s">
        <v>47</v>
      </c>
      <c r="C2266" s="0" t="s">
        <v>28</v>
      </c>
      <c r="D2266" s="0" t="s">
        <v>175</v>
      </c>
      <c r="E2266" s="0" t="n">
        <v>48</v>
      </c>
      <c r="F2266" s="0" t="n">
        <v>1</v>
      </c>
      <c r="G2266" s="1"/>
      <c r="H2266" s="1"/>
      <c r="I2266" s="0" t="n">
        <v>28.1</v>
      </c>
      <c r="J2266" s="0" t="n">
        <f aca="false">(I2266/32)*5</f>
        <v>4.390625</v>
      </c>
      <c r="K2266" s="0" t="n">
        <f aca="false">J2266/F2266</f>
        <v>4.390625</v>
      </c>
      <c r="L2266" s="0" t="n">
        <v>27</v>
      </c>
      <c r="M2266" s="0" t="n">
        <v>0</v>
      </c>
      <c r="N2266" s="0" t="n">
        <f aca="false">L2266</f>
        <v>27</v>
      </c>
      <c r="O2266" s="3" t="n">
        <f aca="false">LOOKUP(L2266,$AB$3:$AC$123)</f>
        <v>1.1128</v>
      </c>
      <c r="P2266" s="3" t="n">
        <f aca="false">(O2266*(N2266/100)*(J2266/1000))*1000</f>
        <v>1.319189625</v>
      </c>
      <c r="Q2266" s="3" t="n">
        <f aca="false">P2266/F2266</f>
        <v>1.319189625</v>
      </c>
      <c r="R2266" s="3" t="n">
        <v>6</v>
      </c>
      <c r="S2266" s="0" t="n">
        <v>7.5</v>
      </c>
      <c r="T2266" s="0" t="n">
        <f aca="false">(S2266/32)*5</f>
        <v>1.171875</v>
      </c>
      <c r="U2266" s="0" t="n">
        <f aca="false">T2266/R2266</f>
        <v>0.1953125</v>
      </c>
      <c r="V2266" s="0" t="n">
        <v>14.5</v>
      </c>
      <c r="W2266" s="0" t="n">
        <v>4</v>
      </c>
      <c r="X2266" s="3" t="n">
        <f aca="false">LOOKUP(V2266,$AB$3:$AC$123)</f>
        <v>1.05705</v>
      </c>
      <c r="Y2266" s="2" t="n">
        <f aca="false">(V2266*((W2266+T2266)/1000)*X2266)/((((W2266+T2266)/1000)*X2266)-((W2266/1000)*0.9982))</f>
        <v>53.7744069994652</v>
      </c>
      <c r="Z2266" s="3" t="n">
        <f aca="false">(X2266*(V2266/100)*((W2266+T2266)/1000))*1000</f>
        <v>0.79270491796875</v>
      </c>
      <c r="AA2266" s="0" t="n">
        <f aca="false">Z2266/R2266</f>
        <v>0.132117486328125</v>
      </c>
    </row>
    <row r="2267" customFormat="false" ht="15" hidden="false" customHeight="false" outlineLevel="0" collapsed="false">
      <c r="A2267" s="0" t="s">
        <v>48</v>
      </c>
      <c r="B2267" s="0" t="s">
        <v>49</v>
      </c>
      <c r="C2267" s="0" t="s">
        <v>28</v>
      </c>
      <c r="D2267" s="0" t="s">
        <v>175</v>
      </c>
      <c r="E2267" s="0" t="n">
        <v>48</v>
      </c>
      <c r="F2267" s="0" t="n">
        <v>2</v>
      </c>
      <c r="G2267" s="1"/>
      <c r="H2267" s="1"/>
      <c r="I2267" s="0" t="n">
        <f aca="false">32*3+10.9</f>
        <v>106.9</v>
      </c>
      <c r="J2267" s="0" t="n">
        <f aca="false">(I2267/32)*5</f>
        <v>16.703125</v>
      </c>
      <c r="K2267" s="0" t="n">
        <f aca="false">J2267/F2267</f>
        <v>8.3515625</v>
      </c>
      <c r="L2267" s="0" t="n">
        <v>31.5</v>
      </c>
      <c r="M2267" s="0" t="n">
        <v>0</v>
      </c>
      <c r="N2267" s="0" t="n">
        <f aca="false">L2267</f>
        <v>31.5</v>
      </c>
      <c r="O2267" s="3" t="n">
        <f aca="false">LOOKUP(L2267,$AB$3:$AC$123)</f>
        <v>1.1342</v>
      </c>
      <c r="P2267" s="3" t="n">
        <f aca="false">(O2267*(N2267/100)*(J2267/1000))*1000</f>
        <v>5.967575578125</v>
      </c>
      <c r="Q2267" s="3" t="n">
        <f aca="false">P2267/F2267</f>
        <v>2.9837877890625</v>
      </c>
      <c r="R2267" s="3" t="n">
        <v>4</v>
      </c>
      <c r="S2267" s="0" t="n">
        <v>14.5</v>
      </c>
      <c r="T2267" s="0" t="n">
        <f aca="false">(S2267/32)*5</f>
        <v>2.265625</v>
      </c>
      <c r="U2267" s="0" t="n">
        <f aca="false">T2267/R2267</f>
        <v>0.56640625</v>
      </c>
      <c r="V2267" s="0" t="n">
        <v>20</v>
      </c>
      <c r="W2267" s="0" t="n">
        <v>4</v>
      </c>
      <c r="X2267" s="3" t="n">
        <f aca="false">LOOKUP(V2267,$AB$3:$AC$123)</f>
        <v>1.081</v>
      </c>
      <c r="Y2267" s="2" t="n">
        <f aca="false">(V2267*((W2267+T2267)/1000)*X2267)/((((W2267+T2267)/1000)*X2267)-((W2267/1000)*0.9982))</f>
        <v>48.7216606778171</v>
      </c>
      <c r="Z2267" s="3" t="n">
        <f aca="false">(X2267*(V2267/100)*((W2267+T2267)/1000))*1000</f>
        <v>1.354628125</v>
      </c>
      <c r="AA2267" s="0" t="n">
        <f aca="false">Z2267/R2267</f>
        <v>0.33865703125</v>
      </c>
    </row>
    <row r="2268" customFormat="false" ht="15" hidden="false" customHeight="false" outlineLevel="0" collapsed="false">
      <c r="A2268" s="0" t="s">
        <v>50</v>
      </c>
      <c r="B2268" s="0" t="s">
        <v>51</v>
      </c>
      <c r="C2268" s="0" t="s">
        <v>28</v>
      </c>
      <c r="D2268" s="0" t="s">
        <v>175</v>
      </c>
      <c r="E2268" s="0" t="n">
        <v>48</v>
      </c>
      <c r="F2268" s="0" t="n">
        <v>1</v>
      </c>
      <c r="G2268" s="1"/>
      <c r="H2268" s="1"/>
      <c r="I2268" s="0" t="n">
        <v>26</v>
      </c>
      <c r="J2268" s="0" t="n">
        <f aca="false">(I2268/32)*5</f>
        <v>4.0625</v>
      </c>
      <c r="K2268" s="0" t="n">
        <f aca="false">J2268/F2268</f>
        <v>4.0625</v>
      </c>
      <c r="L2268" s="0" t="n">
        <v>27</v>
      </c>
      <c r="M2268" s="0" t="n">
        <v>0</v>
      </c>
      <c r="N2268" s="0" t="n">
        <f aca="false">L2268</f>
        <v>27</v>
      </c>
      <c r="O2268" s="3" t="n">
        <f aca="false">LOOKUP(L2268,$AB$3:$AC$123)</f>
        <v>1.1128</v>
      </c>
      <c r="P2268" s="3" t="n">
        <f aca="false">(O2268*(N2268/100)*(J2268/1000))*1000</f>
        <v>1.2206025</v>
      </c>
      <c r="Q2268" s="3" t="n">
        <f aca="false">P2268/F2268</f>
        <v>1.2206025</v>
      </c>
      <c r="R2268" s="3" t="n">
        <v>5</v>
      </c>
      <c r="S2268" s="0" t="n">
        <v>5.2</v>
      </c>
      <c r="T2268" s="0" t="n">
        <f aca="false">(S2268/32)*5</f>
        <v>0.8125</v>
      </c>
      <c r="U2268" s="0" t="n">
        <f aca="false">T2268/R2268</f>
        <v>0.1625</v>
      </c>
      <c r="V2268" s="0" t="n">
        <v>8</v>
      </c>
      <c r="W2268" s="0" t="n">
        <v>4</v>
      </c>
      <c r="X2268" s="3" t="n">
        <f aca="false">LOOKUP(V2268,$AB$3:$AC$123)</f>
        <v>1.0299</v>
      </c>
      <c r="Y2268" s="2" t="n">
        <f aca="false">(V2268*((W2268+T2268)/1000)*X2268)/((((W2268+T2268)/1000)*X2268)-((W2268/1000)*0.9982))</f>
        <v>41.1492395005675</v>
      </c>
      <c r="Z2268" s="3" t="n">
        <f aca="false">(X2268*(V2268/100)*((W2268+T2268)/1000))*1000</f>
        <v>0.3965115</v>
      </c>
      <c r="AA2268" s="0" t="n">
        <f aca="false">Z2268/R2268</f>
        <v>0.0793023</v>
      </c>
    </row>
    <row r="2269" customFormat="false" ht="15" hidden="false" customHeight="false" outlineLevel="0" collapsed="false">
      <c r="A2269" s="0" t="s">
        <v>52</v>
      </c>
      <c r="B2269" s="0" t="s">
        <v>53</v>
      </c>
      <c r="C2269" s="0" t="s">
        <v>28</v>
      </c>
      <c r="D2269" s="0" t="s">
        <v>175</v>
      </c>
      <c r="E2269" s="0" t="n">
        <v>48</v>
      </c>
      <c r="F2269" s="0" t="n">
        <v>0</v>
      </c>
      <c r="G2269" s="1"/>
      <c r="H2269" s="1"/>
      <c r="I2269" s="0" t="n">
        <v>0</v>
      </c>
      <c r="L2269" s="0" t="n">
        <v>0</v>
      </c>
      <c r="M2269" s="0" t="n">
        <v>0</v>
      </c>
      <c r="O2269" s="3" t="n">
        <v>0</v>
      </c>
      <c r="P2269" s="3"/>
      <c r="Q2269" s="3"/>
      <c r="R2269" s="3" t="n">
        <v>2</v>
      </c>
      <c r="S2269" s="0" t="n">
        <v>3.6</v>
      </c>
      <c r="T2269" s="0" t="n">
        <f aca="false">(S2269/32)*5</f>
        <v>0.5625</v>
      </c>
      <c r="U2269" s="0" t="n">
        <f aca="false">T2269/R2269</f>
        <v>0.28125</v>
      </c>
      <c r="V2269" s="0" t="n">
        <v>5</v>
      </c>
      <c r="W2269" s="0" t="n">
        <v>4</v>
      </c>
      <c r="X2269" s="3" t="n">
        <f aca="false">LOOKUP(V2269,$AB$3:$AC$123)</f>
        <v>1.0179</v>
      </c>
      <c r="Y2269" s="2" t="n">
        <f aca="false">(V2269*((W2269+T2269)/1000)*X2269)/((((W2269+T2269)/1000)*X2269)-((W2269/1000)*0.9982))</f>
        <v>35.6493057887717</v>
      </c>
      <c r="Z2269" s="3" t="n">
        <f aca="false">(X2269*(V2269/100)*((W2269+T2269)/1000))*1000</f>
        <v>0.2322084375</v>
      </c>
      <c r="AA2269" s="0" t="n">
        <f aca="false">Z2269/R2269</f>
        <v>0.11610421875</v>
      </c>
    </row>
    <row r="2270" customFormat="false" ht="15" hidden="false" customHeight="false" outlineLevel="0" collapsed="false">
      <c r="A2270" s="0" t="s">
        <v>54</v>
      </c>
      <c r="B2270" s="0" t="s">
        <v>55</v>
      </c>
      <c r="C2270" s="0" t="s">
        <v>56</v>
      </c>
      <c r="D2270" s="0" t="s">
        <v>175</v>
      </c>
      <c r="E2270" s="0" t="n">
        <v>48</v>
      </c>
      <c r="F2270" s="0" t="n">
        <v>0</v>
      </c>
      <c r="G2270" s="1"/>
      <c r="H2270" s="1"/>
      <c r="I2270" s="0" t="n">
        <v>0</v>
      </c>
      <c r="L2270" s="0" t="n">
        <v>0</v>
      </c>
      <c r="M2270" s="0" t="n">
        <v>0</v>
      </c>
      <c r="O2270" s="3" t="n">
        <v>0</v>
      </c>
      <c r="P2270" s="3"/>
      <c r="Q2270" s="3"/>
      <c r="R2270" s="3" t="n">
        <v>2</v>
      </c>
      <c r="S2270" s="0" t="n">
        <v>10.3</v>
      </c>
      <c r="T2270" s="0" t="n">
        <f aca="false">(S2270/32)*5</f>
        <v>1.609375</v>
      </c>
      <c r="U2270" s="0" t="n">
        <f aca="false">T2270/R2270</f>
        <v>0.8046875</v>
      </c>
      <c r="V2270" s="0" t="n">
        <v>14</v>
      </c>
      <c r="W2270" s="0" t="n">
        <v>4</v>
      </c>
      <c r="X2270" s="3" t="n">
        <f aca="false">LOOKUP(V2270,$AB$3:$AC$123)</f>
        <v>1.0549</v>
      </c>
      <c r="Y2270" s="2" t="n">
        <f aca="false">(V2270*((W2270+T2270)/1000)*X2270)/((((W2270+T2270)/1000)*X2270)-((W2270/1000)*0.9982))</f>
        <v>43.0456418329478</v>
      </c>
      <c r="Z2270" s="3" t="n">
        <f aca="false">(X2270*(V2270/100)*((W2270+T2270)/1000))*1000</f>
        <v>0.82842615625</v>
      </c>
      <c r="AA2270" s="0" t="n">
        <f aca="false">Z2270/R2270</f>
        <v>0.414213078125</v>
      </c>
    </row>
    <row r="2271" customFormat="false" ht="15" hidden="false" customHeight="false" outlineLevel="0" collapsed="false">
      <c r="A2271" s="0" t="s">
        <v>57</v>
      </c>
      <c r="B2271" s="0" t="s">
        <v>58</v>
      </c>
      <c r="C2271" s="0" t="s">
        <v>56</v>
      </c>
      <c r="D2271" s="0" t="s">
        <v>175</v>
      </c>
      <c r="E2271" s="0" t="n">
        <v>48</v>
      </c>
      <c r="F2271" s="0" t="n">
        <v>3</v>
      </c>
      <c r="G2271" s="1"/>
      <c r="H2271" s="1"/>
      <c r="I2271" s="0" t="n">
        <f aca="false">32*5+12.3+13.2</f>
        <v>185.5</v>
      </c>
      <c r="J2271" s="0" t="n">
        <f aca="false">(I2271/32)*5</f>
        <v>28.984375</v>
      </c>
      <c r="K2271" s="0" t="n">
        <f aca="false">J2271/F2271</f>
        <v>9.66145833333333</v>
      </c>
      <c r="L2271" s="0" t="n">
        <v>25</v>
      </c>
      <c r="M2271" s="0" t="n">
        <v>0</v>
      </c>
      <c r="N2271" s="0" t="n">
        <f aca="false">L2271</f>
        <v>25</v>
      </c>
      <c r="O2271" s="3" t="n">
        <f aca="false">LOOKUP(L2271,$AB$3:$AC$123)</f>
        <v>1.10355</v>
      </c>
      <c r="P2271" s="3" t="n">
        <f aca="false">(O2271*(N2271/100)*(J2271/1000))*1000</f>
        <v>7.9964267578125</v>
      </c>
      <c r="Q2271" s="3" t="n">
        <f aca="false">P2271/F2271</f>
        <v>2.6654755859375</v>
      </c>
      <c r="R2271" s="3" t="n">
        <v>4</v>
      </c>
      <c r="S2271" s="0" t="n">
        <v>17.8</v>
      </c>
      <c r="T2271" s="0" t="n">
        <f aca="false">(S2271/32)*5</f>
        <v>2.78125</v>
      </c>
      <c r="U2271" s="0" t="n">
        <f aca="false">T2271/R2271</f>
        <v>0.6953125</v>
      </c>
      <c r="V2271" s="0" t="n">
        <v>26</v>
      </c>
      <c r="W2271" s="0" t="n">
        <v>4</v>
      </c>
      <c r="X2271" s="3" t="n">
        <f aca="false">LOOKUP(V2271,$AB$3:$AC$123)</f>
        <v>1.1081</v>
      </c>
      <c r="Y2271" s="2" t="n">
        <f aca="false">(V2271*((W2271+T2271)/1000)*X2271)/((((W2271+T2271)/1000)*X2271)-((W2271/1000)*0.9982))</f>
        <v>55.4796841902561</v>
      </c>
      <c r="Z2271" s="3" t="n">
        <f aca="false">(X2271*(V2271/100)*((W2271+T2271)/1000))*1000</f>
        <v>1.9537188125</v>
      </c>
      <c r="AA2271" s="0" t="n">
        <f aca="false">Z2271/R2271</f>
        <v>0.488429703125</v>
      </c>
    </row>
    <row r="2272" customFormat="false" ht="15" hidden="false" customHeight="false" outlineLevel="0" collapsed="false">
      <c r="A2272" s="0" t="s">
        <v>59</v>
      </c>
      <c r="B2272" s="0" t="s">
        <v>60</v>
      </c>
      <c r="C2272" s="0" t="s">
        <v>56</v>
      </c>
      <c r="D2272" s="0" t="s">
        <v>175</v>
      </c>
      <c r="E2272" s="0" t="n">
        <v>48</v>
      </c>
      <c r="F2272" s="0" t="n">
        <v>3</v>
      </c>
      <c r="G2272" s="1"/>
      <c r="H2272" s="1"/>
      <c r="I2272" s="0" t="n">
        <f aca="false">32*6-8.6-10.2</f>
        <v>173.2</v>
      </c>
      <c r="J2272" s="0" t="n">
        <f aca="false">(I2272/32)*5</f>
        <v>27.0625</v>
      </c>
      <c r="K2272" s="0" t="n">
        <f aca="false">J2272/F2272</f>
        <v>9.02083333333333</v>
      </c>
      <c r="L2272" s="0" t="n">
        <v>29</v>
      </c>
      <c r="M2272" s="0" t="n">
        <v>0</v>
      </c>
      <c r="N2272" s="0" t="n">
        <f aca="false">L2272</f>
        <v>29</v>
      </c>
      <c r="O2272" s="3" t="n">
        <f aca="false">LOOKUP(L2272,$AB$3:$AC$123)</f>
        <v>1.12225</v>
      </c>
      <c r="P2272" s="3" t="n">
        <f aca="false">(O2272*(N2272/100)*(J2272/1000))*1000</f>
        <v>8.80755828125</v>
      </c>
      <c r="Q2272" s="3" t="n">
        <f aca="false">P2272/F2272</f>
        <v>2.93585276041667</v>
      </c>
      <c r="R2272" s="3" t="n">
        <v>5</v>
      </c>
      <c r="S2272" s="0" t="n">
        <v>22.2</v>
      </c>
      <c r="T2272" s="0" t="n">
        <f aca="false">(S2272/32)*5</f>
        <v>3.46875</v>
      </c>
      <c r="U2272" s="0" t="n">
        <f aca="false">T2272/R2272</f>
        <v>0.69375</v>
      </c>
      <c r="V2272" s="0" t="n">
        <v>34</v>
      </c>
      <c r="W2272" s="0" t="n">
        <v>4</v>
      </c>
      <c r="X2272" s="3" t="n">
        <f aca="false">LOOKUP(V2272,$AB$3:$AC$123)</f>
        <v>1.1464</v>
      </c>
      <c r="Y2272" s="2" t="n">
        <f aca="false">(V2272*((W2272+T2272)/1000)*X2272)/((((W2272+T2272)/1000)*X2272)-((W2272/1000)*0.9982))</f>
        <v>63.7097961975106</v>
      </c>
      <c r="Z2272" s="3" t="n">
        <f aca="false">(X2272*(V2272/100)*((W2272+T2272)/1000))*1000</f>
        <v>2.9111395</v>
      </c>
      <c r="AA2272" s="0" t="n">
        <f aca="false">Z2272/R2272</f>
        <v>0.5822279</v>
      </c>
    </row>
    <row r="2273" customFormat="false" ht="15" hidden="false" customHeight="false" outlineLevel="0" collapsed="false">
      <c r="A2273" s="0" t="s">
        <v>61</v>
      </c>
      <c r="B2273" s="0" t="s">
        <v>62</v>
      </c>
      <c r="C2273" s="0" t="s">
        <v>56</v>
      </c>
      <c r="D2273" s="0" t="s">
        <v>175</v>
      </c>
      <c r="E2273" s="0" t="n">
        <v>48</v>
      </c>
      <c r="F2273" s="0" t="n">
        <v>3</v>
      </c>
      <c r="G2273" s="1"/>
      <c r="H2273" s="1"/>
      <c r="I2273" s="0" t="n">
        <f aca="false">32*4</f>
        <v>128</v>
      </c>
      <c r="J2273" s="0" t="n">
        <f aca="false">(I2273/32)*5</f>
        <v>20</v>
      </c>
      <c r="K2273" s="0" t="n">
        <f aca="false">J2273/F2273</f>
        <v>6.66666666666667</v>
      </c>
      <c r="L2273" s="0" t="n">
        <v>26</v>
      </c>
      <c r="M2273" s="0" t="n">
        <v>0</v>
      </c>
      <c r="N2273" s="0" t="n">
        <f aca="false">L2273</f>
        <v>26</v>
      </c>
      <c r="O2273" s="3" t="n">
        <f aca="false">LOOKUP(L2273,$AB$3:$AC$123)</f>
        <v>1.1081</v>
      </c>
      <c r="P2273" s="3" t="n">
        <f aca="false">(O2273*(N2273/100)*(J2273/1000))*1000</f>
        <v>5.76212</v>
      </c>
      <c r="Q2273" s="3" t="n">
        <f aca="false">P2273/F2273</f>
        <v>1.92070666666667</v>
      </c>
      <c r="R2273" s="3" t="n">
        <v>6</v>
      </c>
      <c r="S2273" s="0" t="n">
        <v>16</v>
      </c>
      <c r="T2273" s="0" t="n">
        <f aca="false">(S2273/32)*5</f>
        <v>2.5</v>
      </c>
      <c r="U2273" s="0" t="n">
        <f aca="false">T2273/R2273</f>
        <v>0.416666666666667</v>
      </c>
      <c r="V2273" s="0" t="n">
        <v>19</v>
      </c>
      <c r="W2273" s="0" t="n">
        <v>4</v>
      </c>
      <c r="X2273" s="3" t="n">
        <f aca="false">LOOKUP(V2273,$AB$3:$AC$123)</f>
        <v>1.0765</v>
      </c>
      <c r="Y2273" s="2" t="n">
        <f aca="false">(V2273*((W2273+T2273)/1000)*X2273)/((((W2273+T2273)/1000)*X2273)-((W2273/1000)*0.9982))</f>
        <v>44.2502787531828</v>
      </c>
      <c r="Z2273" s="3" t="n">
        <f aca="false">(X2273*(V2273/100)*((W2273+T2273)/1000))*1000</f>
        <v>1.3294775</v>
      </c>
      <c r="AA2273" s="0" t="n">
        <f aca="false">Z2273/R2273</f>
        <v>0.221579583333333</v>
      </c>
    </row>
    <row r="2274" customFormat="false" ht="15" hidden="false" customHeight="false" outlineLevel="0" collapsed="false">
      <c r="A2274" s="0" t="s">
        <v>63</v>
      </c>
      <c r="B2274" s="0" t="s">
        <v>64</v>
      </c>
      <c r="C2274" s="0" t="s">
        <v>56</v>
      </c>
      <c r="D2274" s="0" t="s">
        <v>175</v>
      </c>
      <c r="E2274" s="0" t="n">
        <v>48</v>
      </c>
      <c r="F2274" s="0" t="n">
        <v>0</v>
      </c>
      <c r="G2274" s="1"/>
      <c r="H2274" s="1"/>
      <c r="I2274" s="0" t="n">
        <v>0</v>
      </c>
      <c r="L2274" s="0" t="n">
        <v>0</v>
      </c>
      <c r="M2274" s="0" t="n">
        <v>0</v>
      </c>
      <c r="O2274" s="3" t="n">
        <v>0</v>
      </c>
      <c r="P2274" s="3"/>
      <c r="Q2274" s="3"/>
      <c r="R2274" s="3" t="n">
        <v>3</v>
      </c>
      <c r="S2274" s="0" t="n">
        <v>4</v>
      </c>
      <c r="T2274" s="0" t="n">
        <f aca="false">(S2274/32)*5</f>
        <v>0.625</v>
      </c>
      <c r="U2274" s="0" t="n">
        <f aca="false">T2274/R2274</f>
        <v>0.208333333333333</v>
      </c>
      <c r="V2274" s="0" t="n">
        <v>5</v>
      </c>
      <c r="W2274" s="0" t="n">
        <v>4</v>
      </c>
      <c r="X2274" s="3" t="n">
        <f aca="false">LOOKUP(V2274,$AB$3:$AC$123)</f>
        <v>1.0179</v>
      </c>
      <c r="Y2274" s="2" t="n">
        <f aca="false">(V2274*((W2274+T2274)/1000)*X2274)/((((W2274+T2274)/1000)*X2274)-((W2274/1000)*0.9982))</f>
        <v>32.9221664714418</v>
      </c>
      <c r="Z2274" s="3" t="n">
        <f aca="false">(X2274*(V2274/100)*((W2274+T2274)/1000))*1000</f>
        <v>0.235389375</v>
      </c>
      <c r="AA2274" s="0" t="n">
        <f aca="false">Z2274/R2274</f>
        <v>0.078463125</v>
      </c>
    </row>
    <row r="2275" customFormat="false" ht="15" hidden="false" customHeight="false" outlineLevel="0" collapsed="false">
      <c r="A2275" s="0" t="s">
        <v>65</v>
      </c>
      <c r="B2275" s="0" t="s">
        <v>66</v>
      </c>
      <c r="C2275" s="0" t="s">
        <v>56</v>
      </c>
      <c r="D2275" s="0" t="s">
        <v>175</v>
      </c>
      <c r="E2275" s="0" t="n">
        <v>48</v>
      </c>
      <c r="F2275" s="0" t="n">
        <v>3</v>
      </c>
      <c r="G2275" s="1"/>
      <c r="H2275" s="1"/>
      <c r="I2275" s="0" t="n">
        <f aca="false">32*4+28.9</f>
        <v>156.9</v>
      </c>
      <c r="J2275" s="0" t="n">
        <f aca="false">(I2275/32)*5</f>
        <v>24.515625</v>
      </c>
      <c r="K2275" s="0" t="n">
        <f aca="false">J2275/F2275</f>
        <v>8.171875</v>
      </c>
      <c r="L2275" s="0" t="n">
        <v>26</v>
      </c>
      <c r="M2275" s="0" t="n">
        <v>0</v>
      </c>
      <c r="N2275" s="0" t="n">
        <f aca="false">L2275</f>
        <v>26</v>
      </c>
      <c r="O2275" s="3" t="n">
        <f aca="false">LOOKUP(L2275,$AB$3:$AC$123)</f>
        <v>1.1081</v>
      </c>
      <c r="P2275" s="3" t="n">
        <f aca="false">(O2275*(N2275/100)*(J2275/1000))*1000</f>
        <v>7.06309865625</v>
      </c>
      <c r="Q2275" s="3" t="n">
        <f aca="false">P2275/F2275</f>
        <v>2.35436621875</v>
      </c>
      <c r="R2275" s="3" t="n">
        <v>8</v>
      </c>
      <c r="S2275" s="0" t="n">
        <v>26.4</v>
      </c>
      <c r="T2275" s="0" t="n">
        <f aca="false">(S2275/32)*5</f>
        <v>4.125</v>
      </c>
      <c r="U2275" s="0" t="n">
        <f aca="false">T2275/R2275</f>
        <v>0.515625</v>
      </c>
      <c r="V2275" s="0" t="n">
        <v>36.5</v>
      </c>
      <c r="W2275" s="0" t="n">
        <v>4</v>
      </c>
      <c r="X2275" s="3" t="n">
        <f aca="false">LOOKUP(V2275,$AB$3:$AC$123)</f>
        <v>1.158725</v>
      </c>
      <c r="Y2275" s="2" t="n">
        <f aca="false">(V2275*((W2275+T2275)/1000)*X2275)/((((W2275+T2275)/1000)*X2275)-((W2275/1000)*0.9982))</f>
        <v>63.3796539920426</v>
      </c>
      <c r="Z2275" s="3" t="n">
        <f aca="false">(X2275*(V2275/100)*((W2275+T2275)/1000))*1000</f>
        <v>3.436343828125</v>
      </c>
      <c r="AA2275" s="0" t="n">
        <f aca="false">Z2275/R2275</f>
        <v>0.429542978515625</v>
      </c>
    </row>
    <row r="2276" customFormat="false" ht="15" hidden="false" customHeight="false" outlineLevel="0" collapsed="false">
      <c r="A2276" s="0" t="s">
        <v>67</v>
      </c>
      <c r="B2276" s="0" t="s">
        <v>68</v>
      </c>
      <c r="C2276" s="0" t="s">
        <v>56</v>
      </c>
      <c r="D2276" s="0" t="s">
        <v>175</v>
      </c>
      <c r="E2276" s="0" t="n">
        <v>48</v>
      </c>
      <c r="F2276" s="0" t="n">
        <v>0</v>
      </c>
      <c r="G2276" s="1"/>
      <c r="H2276" s="1"/>
      <c r="I2276" s="0" t="n">
        <v>0</v>
      </c>
      <c r="L2276" s="0" t="n">
        <v>0</v>
      </c>
      <c r="M2276" s="0" t="n">
        <v>0</v>
      </c>
      <c r="O2276" s="3" t="n">
        <v>0</v>
      </c>
      <c r="P2276" s="3"/>
      <c r="Q2276" s="3"/>
      <c r="R2276" s="3" t="n">
        <v>3</v>
      </c>
      <c r="S2276" s="0" t="n">
        <v>12.3</v>
      </c>
      <c r="T2276" s="0" t="n">
        <f aca="false">(S2276/32)*5</f>
        <v>1.921875</v>
      </c>
      <c r="U2276" s="0" t="n">
        <f aca="false">T2276/R2276</f>
        <v>0.640625</v>
      </c>
      <c r="V2276" s="0" t="n">
        <v>22</v>
      </c>
      <c r="W2276" s="0" t="n">
        <v>4</v>
      </c>
      <c r="X2276" s="3" t="n">
        <f aca="false">LOOKUP(V2276,$AB$3:$AC$123)</f>
        <v>1.0899</v>
      </c>
      <c r="Y2276" s="2" t="n">
        <f aca="false">(V2276*((W2276+T2276)/1000)*X2276)/((((W2276+T2276)/1000)*X2276)-((W2276/1000)*0.9982))</f>
        <v>57.6869098454989</v>
      </c>
      <c r="Z2276" s="3" t="n">
        <f aca="false">(X2276*(V2276/100)*((W2276+T2276)/1000))*1000</f>
        <v>1.41993534375</v>
      </c>
      <c r="AA2276" s="0" t="n">
        <f aca="false">Z2276/R2276</f>
        <v>0.47331178125</v>
      </c>
    </row>
    <row r="2277" customFormat="false" ht="15" hidden="false" customHeight="false" outlineLevel="0" collapsed="false">
      <c r="A2277" s="0" t="s">
        <v>69</v>
      </c>
      <c r="B2277" s="0" t="s">
        <v>70</v>
      </c>
      <c r="C2277" s="0" t="s">
        <v>56</v>
      </c>
      <c r="D2277" s="0" t="s">
        <v>175</v>
      </c>
      <c r="E2277" s="0" t="n">
        <v>48</v>
      </c>
      <c r="F2277" s="0" t="n">
        <v>0</v>
      </c>
      <c r="G2277" s="1"/>
      <c r="H2277" s="1"/>
      <c r="I2277" s="0" t="n">
        <v>0</v>
      </c>
      <c r="L2277" s="0" t="n">
        <v>0</v>
      </c>
      <c r="M2277" s="0" t="n">
        <v>0</v>
      </c>
      <c r="O2277" s="3" t="n">
        <v>0</v>
      </c>
      <c r="P2277" s="3"/>
      <c r="Q2277" s="3"/>
      <c r="R2277" s="3" t="n">
        <v>10</v>
      </c>
      <c r="S2277" s="0" t="n">
        <v>23.9</v>
      </c>
      <c r="T2277" s="0" t="n">
        <f aca="false">(S2277/32)*5</f>
        <v>3.734375</v>
      </c>
      <c r="U2277" s="0" t="n">
        <f aca="false">T2277/R2277</f>
        <v>0.3734375</v>
      </c>
      <c r="V2277" s="0" t="n">
        <v>31.5</v>
      </c>
      <c r="W2277" s="0" t="n">
        <v>4</v>
      </c>
      <c r="X2277" s="3" t="n">
        <f aca="false">LOOKUP(V2277,$AB$3:$AC$123)</f>
        <v>1.1342</v>
      </c>
      <c r="Y2277" s="2" t="n">
        <f aca="false">(V2277*((W2277+T2277)/1000)*X2277)/((((W2277+T2277)/1000)*X2277)-((W2277/1000)*0.9982))</f>
        <v>57.8149827159977</v>
      </c>
      <c r="Z2277" s="3" t="n">
        <f aca="false">(X2277*(V2277/100)*((W2277+T2277)/1000))*1000</f>
        <v>2.763283359375</v>
      </c>
      <c r="AA2277" s="0" t="n">
        <f aca="false">Z2277/R2277</f>
        <v>0.2763283359375</v>
      </c>
    </row>
    <row r="2278" customFormat="false" ht="15" hidden="false" customHeight="false" outlineLevel="0" collapsed="false">
      <c r="A2278" s="0" t="s">
        <v>71</v>
      </c>
      <c r="B2278" s="0" t="s">
        <v>72</v>
      </c>
      <c r="C2278" s="0" t="s">
        <v>56</v>
      </c>
      <c r="D2278" s="0" t="s">
        <v>175</v>
      </c>
      <c r="E2278" s="0" t="n">
        <v>48</v>
      </c>
      <c r="F2278" s="0" t="n">
        <v>0</v>
      </c>
      <c r="G2278" s="1"/>
      <c r="H2278" s="1"/>
      <c r="I2278" s="0" t="n">
        <v>0</v>
      </c>
      <c r="L2278" s="0" t="n">
        <v>0</v>
      </c>
      <c r="M2278" s="0" t="n">
        <v>0</v>
      </c>
      <c r="O2278" s="3" t="n">
        <v>0</v>
      </c>
      <c r="P2278" s="3"/>
      <c r="Q2278" s="3"/>
      <c r="R2278" s="3" t="n">
        <v>8</v>
      </c>
      <c r="S2278" s="0" t="n">
        <v>24.6</v>
      </c>
      <c r="T2278" s="0" t="n">
        <f aca="false">(S2278/32)*5</f>
        <v>3.84375</v>
      </c>
      <c r="U2278" s="0" t="n">
        <f aca="false">T2278/R2278</f>
        <v>0.48046875</v>
      </c>
      <c r="V2278" s="0" t="n">
        <v>34</v>
      </c>
      <c r="W2278" s="0" t="n">
        <v>4</v>
      </c>
      <c r="X2278" s="3" t="n">
        <f aca="false">LOOKUP(V2278,$AB$3:$AC$123)</f>
        <v>1.1464</v>
      </c>
      <c r="Y2278" s="2" t="n">
        <f aca="false">(V2278*((W2278+T2278)/1000)*X2278)/((((W2278+T2278)/1000)*X2278)-((W2278/1000)*0.9982))</f>
        <v>61.1549774717334</v>
      </c>
      <c r="Z2278" s="3" t="n">
        <f aca="false">(X2278*(V2278/100)*((W2278+T2278)/1000))*1000</f>
        <v>3.0573055</v>
      </c>
      <c r="AA2278" s="0" t="n">
        <f aca="false">Z2278/R2278</f>
        <v>0.3821631875</v>
      </c>
    </row>
    <row r="2279" customFormat="false" ht="15" hidden="false" customHeight="false" outlineLevel="0" collapsed="false">
      <c r="A2279" s="0" t="s">
        <v>73</v>
      </c>
      <c r="B2279" s="0" t="s">
        <v>74</v>
      </c>
      <c r="C2279" s="0" t="s">
        <v>56</v>
      </c>
      <c r="D2279" s="0" t="s">
        <v>175</v>
      </c>
      <c r="E2279" s="0" t="n">
        <v>48</v>
      </c>
      <c r="F2279" s="0" t="n">
        <v>0</v>
      </c>
      <c r="G2279" s="1"/>
      <c r="H2279" s="1"/>
      <c r="I2279" s="0" t="n">
        <v>0</v>
      </c>
      <c r="L2279" s="0" t="n">
        <v>0</v>
      </c>
      <c r="M2279" s="0" t="n">
        <v>0</v>
      </c>
      <c r="O2279" s="3" t="n">
        <v>0</v>
      </c>
      <c r="P2279" s="3"/>
      <c r="Q2279" s="3"/>
      <c r="R2279" s="3" t="n">
        <v>3</v>
      </c>
      <c r="S2279" s="0" t="n">
        <v>15.4</v>
      </c>
      <c r="T2279" s="0" t="n">
        <f aca="false">(S2279/32)*5</f>
        <v>2.40625</v>
      </c>
      <c r="U2279" s="0" t="n">
        <f aca="false">T2279/R2279</f>
        <v>0.802083333333333</v>
      </c>
      <c r="V2279" s="0" t="n">
        <v>18</v>
      </c>
      <c r="W2279" s="0" t="n">
        <v>4</v>
      </c>
      <c r="X2279" s="3" t="n">
        <f aca="false">LOOKUP(V2279,$AB$3:$AC$123)</f>
        <v>1.0722</v>
      </c>
      <c r="Y2279" s="2" t="n">
        <f aca="false">(V2279*((W2279+T2279)/1000)*X2279)/((((W2279+T2279)/1000)*X2279)-((W2279/1000)*0.9982))</f>
        <v>42.9898708484278</v>
      </c>
      <c r="Z2279" s="3" t="n">
        <f aca="false">(X2279*(V2279/100)*((W2279+T2279)/1000))*1000</f>
        <v>1.236380625</v>
      </c>
      <c r="AA2279" s="0" t="n">
        <f aca="false">Z2279/R2279</f>
        <v>0.412126875</v>
      </c>
    </row>
    <row r="2280" customFormat="false" ht="15" hidden="false" customHeight="false" outlineLevel="0" collapsed="false">
      <c r="A2280" s="0" t="s">
        <v>75</v>
      </c>
      <c r="B2280" s="0" t="s">
        <v>76</v>
      </c>
      <c r="C2280" s="0" t="s">
        <v>56</v>
      </c>
      <c r="D2280" s="0" t="s">
        <v>175</v>
      </c>
      <c r="E2280" s="0" t="n">
        <v>48</v>
      </c>
      <c r="F2280" s="0" t="n">
        <v>3</v>
      </c>
      <c r="G2280" s="1"/>
      <c r="H2280" s="1"/>
      <c r="I2280" s="0" t="n">
        <f aca="false">32*5+5.5</f>
        <v>165.5</v>
      </c>
      <c r="J2280" s="0" t="n">
        <f aca="false">(I2280/32)*5</f>
        <v>25.859375</v>
      </c>
      <c r="K2280" s="0" t="n">
        <f aca="false">J2280/F2280</f>
        <v>8.61979166666667</v>
      </c>
      <c r="L2280" s="0" t="n">
        <v>32</v>
      </c>
      <c r="M2280" s="0" t="n">
        <v>0</v>
      </c>
      <c r="N2280" s="0" t="n">
        <f aca="false">L2280</f>
        <v>32</v>
      </c>
      <c r="O2280" s="3" t="n">
        <f aca="false">LOOKUP(L2280,$AB$3:$AC$123)</f>
        <v>1.1366</v>
      </c>
      <c r="P2280" s="3" t="n">
        <f aca="false">(O2280*(N2280/100)*(J2280/1000))*1000</f>
        <v>9.405365</v>
      </c>
      <c r="Q2280" s="3" t="n">
        <f aca="false">P2280/F2280</f>
        <v>3.13512166666667</v>
      </c>
      <c r="R2280" s="3" t="n">
        <v>7</v>
      </c>
      <c r="S2280" s="0" t="n">
        <v>24.3</v>
      </c>
      <c r="T2280" s="0" t="n">
        <f aca="false">(S2280/32)*5</f>
        <v>3.796875</v>
      </c>
      <c r="U2280" s="0" t="n">
        <f aca="false">T2280/R2280</f>
        <v>0.542410714285714</v>
      </c>
      <c r="V2280" s="0" t="n">
        <v>35</v>
      </c>
      <c r="W2280" s="0" t="n">
        <v>4</v>
      </c>
      <c r="X2280" s="3" t="n">
        <f aca="false">LOOKUP(V2280,$AB$3:$AC$123)</f>
        <v>1.1513</v>
      </c>
      <c r="Y2280" s="2" t="n">
        <f aca="false">(V2280*((W2280+T2280)/1000)*X2280)/((((W2280+T2280)/1000)*X2280)-((W2280/1000)*0.9982))</f>
        <v>63.0407763368076</v>
      </c>
      <c r="Z2280" s="3" t="n">
        <f aca="false">(X2280*(V2280/100)*((W2280+T2280)/1000))*1000</f>
        <v>3.141789765625</v>
      </c>
      <c r="AA2280" s="0" t="n">
        <f aca="false">Z2280/R2280</f>
        <v>0.448827109375</v>
      </c>
    </row>
    <row r="2281" customFormat="false" ht="15" hidden="false" customHeight="false" outlineLevel="0" collapsed="false">
      <c r="A2281" s="0" t="s">
        <v>77</v>
      </c>
      <c r="B2281" s="0" t="s">
        <v>78</v>
      </c>
      <c r="C2281" s="0" t="s">
        <v>56</v>
      </c>
      <c r="D2281" s="0" t="s">
        <v>175</v>
      </c>
      <c r="E2281" s="0" t="n">
        <v>48</v>
      </c>
      <c r="F2281" s="0" t="n">
        <v>0</v>
      </c>
      <c r="G2281" s="1"/>
      <c r="H2281" s="1"/>
      <c r="I2281" s="0" t="n">
        <v>0</v>
      </c>
      <c r="L2281" s="0" t="n">
        <v>0</v>
      </c>
      <c r="M2281" s="0" t="n">
        <v>0</v>
      </c>
      <c r="O2281" s="3" t="n">
        <v>0</v>
      </c>
      <c r="P2281" s="3"/>
      <c r="Q2281" s="3"/>
      <c r="R2281" s="3" t="n">
        <v>4</v>
      </c>
      <c r="S2281" s="0" t="n">
        <v>7.5</v>
      </c>
      <c r="T2281" s="0" t="n">
        <f aca="false">(S2281/32)*5</f>
        <v>1.171875</v>
      </c>
      <c r="U2281" s="0" t="n">
        <f aca="false">T2281/R2281</f>
        <v>0.29296875</v>
      </c>
      <c r="V2281" s="0" t="n">
        <v>13</v>
      </c>
      <c r="W2281" s="0" t="n">
        <v>4</v>
      </c>
      <c r="X2281" s="3" t="n">
        <f aca="false">LOOKUP(V2281,$AB$3:$AC$123)</f>
        <v>1.0507</v>
      </c>
      <c r="Y2281" s="2" t="n">
        <f aca="false">(V2281*((W2281+T2281)/1000)*X2281)/((((W2281+T2281)/1000)*X2281)-((W2281/1000)*0.9982))</f>
        <v>49.0138721305255</v>
      </c>
      <c r="Z2281" s="3" t="n">
        <f aca="false">(X2281*(V2281/100)*((W2281+T2281)/1000))*1000</f>
        <v>0.706431578125</v>
      </c>
      <c r="AA2281" s="0" t="n">
        <f aca="false">Z2281/R2281</f>
        <v>0.17660789453125</v>
      </c>
    </row>
    <row r="2282" customFormat="false" ht="15" hidden="false" customHeight="false" outlineLevel="0" collapsed="false">
      <c r="A2282" s="0" t="s">
        <v>79</v>
      </c>
      <c r="B2282" s="0" t="s">
        <v>80</v>
      </c>
      <c r="C2282" s="0" t="s">
        <v>81</v>
      </c>
      <c r="D2282" s="0" t="s">
        <v>175</v>
      </c>
      <c r="E2282" s="0" t="n">
        <v>48</v>
      </c>
      <c r="F2282" s="0" t="n">
        <v>0</v>
      </c>
      <c r="G2282" s="1"/>
      <c r="H2282" s="1"/>
      <c r="I2282" s="0" t="n">
        <v>0</v>
      </c>
      <c r="L2282" s="0" t="n">
        <v>0</v>
      </c>
      <c r="M2282" s="0" t="n">
        <v>0</v>
      </c>
      <c r="O2282" s="3" t="n">
        <v>0</v>
      </c>
      <c r="P2282" s="3"/>
      <c r="Q2282" s="3"/>
      <c r="R2282" s="3" t="n">
        <v>3</v>
      </c>
      <c r="S2282" s="0" t="n">
        <v>7.1</v>
      </c>
      <c r="T2282" s="0" t="n">
        <f aca="false">(S2282/32)*5</f>
        <v>1.109375</v>
      </c>
      <c r="U2282" s="0" t="n">
        <f aca="false">T2282/R2282</f>
        <v>0.369791666666667</v>
      </c>
      <c r="V2282" s="0" t="n">
        <v>15</v>
      </c>
      <c r="W2282" s="0" t="n">
        <v>4</v>
      </c>
      <c r="X2282" s="3" t="n">
        <f aca="false">LOOKUP(V2282,$AB$3:$AC$123)</f>
        <v>1.0592</v>
      </c>
      <c r="Y2282" s="2" t="n">
        <f aca="false">(V2282*((W2282+T2282)/1000)*X2282)/((((W2282+T2282)/1000)*X2282)-((W2282/1000)*0.9982))</f>
        <v>57.205700997146</v>
      </c>
      <c r="Z2282" s="3" t="n">
        <f aca="false">(X2282*(V2282/100)*((W2282+T2282)/1000))*1000</f>
        <v>0.8117775</v>
      </c>
      <c r="AA2282" s="0" t="n">
        <f aca="false">Z2282/R2282</f>
        <v>0.2705925</v>
      </c>
    </row>
    <row r="2283" customFormat="false" ht="15" hidden="false" customHeight="false" outlineLevel="0" collapsed="false">
      <c r="A2283" s="0" t="s">
        <v>82</v>
      </c>
      <c r="B2283" s="0" t="s">
        <v>83</v>
      </c>
      <c r="C2283" s="0" t="s">
        <v>81</v>
      </c>
      <c r="D2283" s="0" t="s">
        <v>175</v>
      </c>
      <c r="E2283" s="0" t="n">
        <v>48</v>
      </c>
      <c r="F2283" s="0" t="n">
        <v>0</v>
      </c>
      <c r="G2283" s="1"/>
      <c r="H2283" s="1"/>
      <c r="I2283" s="0" t="n">
        <v>0</v>
      </c>
      <c r="L2283" s="0" t="n">
        <v>0</v>
      </c>
      <c r="M2283" s="0" t="n">
        <v>0</v>
      </c>
      <c r="O2283" s="3" t="n">
        <v>0</v>
      </c>
      <c r="P2283" s="3"/>
      <c r="Q2283" s="3"/>
      <c r="R2283" s="3" t="n">
        <v>5</v>
      </c>
      <c r="S2283" s="0" t="n">
        <v>19.5</v>
      </c>
      <c r="T2283" s="0" t="n">
        <f aca="false">(S2283/32)*5</f>
        <v>3.046875</v>
      </c>
      <c r="U2283" s="0" t="n">
        <f aca="false">T2283/R2283</f>
        <v>0.609375</v>
      </c>
      <c r="V2283" s="0" t="n">
        <v>32.5</v>
      </c>
      <c r="W2283" s="0" t="n">
        <v>4</v>
      </c>
      <c r="X2283" s="3" t="n">
        <f aca="false">LOOKUP(V2283,$AB$3:$AC$123)</f>
        <v>1.13905</v>
      </c>
      <c r="Y2283" s="2" t="n">
        <f aca="false">(V2283*((W2283+T2283)/1000)*X2283)/((((W2283+T2283)/1000)*X2283)-((W2283/1000)*0.9982))</f>
        <v>64.6685261802823</v>
      </c>
      <c r="Z2283" s="3" t="n">
        <f aca="false">(X2283*(V2283/100)*((W2283+T2283)/1000))*1000</f>
        <v>2.60869146484375</v>
      </c>
      <c r="AA2283" s="0" t="n">
        <f aca="false">Z2283/R2283</f>
        <v>0.52173829296875</v>
      </c>
    </row>
    <row r="2284" customFormat="false" ht="15" hidden="false" customHeight="false" outlineLevel="0" collapsed="false">
      <c r="A2284" s="0" t="s">
        <v>84</v>
      </c>
      <c r="B2284" s="0" t="s">
        <v>85</v>
      </c>
      <c r="C2284" s="0" t="s">
        <v>81</v>
      </c>
      <c r="D2284" s="0" t="s">
        <v>175</v>
      </c>
      <c r="E2284" s="0" t="n">
        <v>48</v>
      </c>
      <c r="F2284" s="0" t="n">
        <v>1</v>
      </c>
      <c r="G2284" s="1"/>
      <c r="H2284" s="1"/>
      <c r="I2284" s="0" t="n">
        <v>37.6</v>
      </c>
      <c r="J2284" s="0" t="n">
        <f aca="false">(I2284/32)*5</f>
        <v>5.875</v>
      </c>
      <c r="K2284" s="0" t="n">
        <f aca="false">J2284/F2284</f>
        <v>5.875</v>
      </c>
      <c r="L2284" s="0" t="n">
        <v>27</v>
      </c>
      <c r="M2284" s="0" t="n">
        <v>0</v>
      </c>
      <c r="N2284" s="0" t="n">
        <f aca="false">L2284</f>
        <v>27</v>
      </c>
      <c r="O2284" s="3" t="n">
        <f aca="false">LOOKUP(L2284,$AB$3:$AC$123)</f>
        <v>1.1128</v>
      </c>
      <c r="P2284" s="3" t="n">
        <f aca="false">(O2284*(N2284/100)*(J2284/1000))*1000</f>
        <v>1.765179</v>
      </c>
      <c r="Q2284" s="3" t="n">
        <f aca="false">P2284/F2284</f>
        <v>1.765179</v>
      </c>
      <c r="R2284" s="3" t="n">
        <v>5</v>
      </c>
      <c r="S2284" s="0" t="n">
        <v>23.1</v>
      </c>
      <c r="T2284" s="0" t="n">
        <f aca="false">(S2284/32)*5</f>
        <v>3.609375</v>
      </c>
      <c r="U2284" s="0" t="n">
        <f aca="false">T2284/R2284</f>
        <v>0.721875</v>
      </c>
      <c r="V2284" s="0" t="n">
        <v>29.5</v>
      </c>
      <c r="W2284" s="0" t="n">
        <v>4</v>
      </c>
      <c r="X2284" s="3" t="n">
        <f aca="false">LOOKUP(V2284,$AB$3:$AC$123)</f>
        <v>1.124625</v>
      </c>
      <c r="Y2284" s="2" t="n">
        <f aca="false">(V2284*((W2284+T2284)/1000)*X2284)/((((W2284+T2284)/1000)*X2284)-((W2284/1000)*0.9982))</f>
        <v>55.3029247842335</v>
      </c>
      <c r="Z2284" s="3" t="n">
        <f aca="false">(X2284*(V2284/100)*((W2284+T2284)/1000))*1000</f>
        <v>2.52451954101562</v>
      </c>
      <c r="AA2284" s="0" t="n">
        <f aca="false">Z2284/R2284</f>
        <v>0.504903908203125</v>
      </c>
    </row>
    <row r="2285" customFormat="false" ht="15" hidden="false" customHeight="false" outlineLevel="0" collapsed="false">
      <c r="A2285" s="0" t="s">
        <v>86</v>
      </c>
      <c r="B2285" s="0" t="s">
        <v>87</v>
      </c>
      <c r="C2285" s="0" t="s">
        <v>81</v>
      </c>
      <c r="D2285" s="0" t="s">
        <v>175</v>
      </c>
      <c r="E2285" s="0" t="n">
        <v>48</v>
      </c>
      <c r="F2285" s="0" t="n">
        <v>2</v>
      </c>
      <c r="G2285" s="1"/>
      <c r="H2285" s="1"/>
      <c r="I2285" s="0" t="n">
        <f aca="false">64-9.5</f>
        <v>54.5</v>
      </c>
      <c r="J2285" s="0" t="n">
        <f aca="false">(I2285/32)*5</f>
        <v>8.515625</v>
      </c>
      <c r="K2285" s="0" t="n">
        <f aca="false">J2285/F2285</f>
        <v>4.2578125</v>
      </c>
      <c r="L2285" s="0" t="n">
        <v>29</v>
      </c>
      <c r="M2285" s="0" t="n">
        <v>0</v>
      </c>
      <c r="N2285" s="0" t="n">
        <f aca="false">L2285</f>
        <v>29</v>
      </c>
      <c r="O2285" s="3" t="n">
        <f aca="false">LOOKUP(L2285,$AB$3:$AC$123)</f>
        <v>1.12225</v>
      </c>
      <c r="P2285" s="3" t="n">
        <f aca="false">(O2285*(N2285/100)*(J2285/1000))*1000</f>
        <v>2.7714314453125</v>
      </c>
      <c r="Q2285" s="3" t="n">
        <f aca="false">P2285/F2285</f>
        <v>1.38571572265625</v>
      </c>
      <c r="R2285" s="3" t="n">
        <v>3</v>
      </c>
      <c r="S2285" s="0" t="n">
        <v>16</v>
      </c>
      <c r="T2285" s="0" t="n">
        <f aca="false">(S2285/32)*5</f>
        <v>2.5</v>
      </c>
      <c r="U2285" s="0" t="n">
        <f aca="false">T2285/R2285</f>
        <v>0.833333333333333</v>
      </c>
      <c r="V2285" s="0" t="n">
        <v>30</v>
      </c>
      <c r="W2285" s="0" t="n">
        <v>4</v>
      </c>
      <c r="X2285" s="3" t="n">
        <f aca="false">LOOKUP(V2285,$AB$3:$AC$123)</f>
        <v>1.127</v>
      </c>
      <c r="Y2285" s="2" t="n">
        <f aca="false">(V2285*((W2285+T2285)/1000)*X2285)/((((W2285+T2285)/1000)*X2285)-((W2285/1000)*0.9982))</f>
        <v>65.9420289855073</v>
      </c>
      <c r="Z2285" s="3" t="n">
        <f aca="false">(X2285*(V2285/100)*((W2285+T2285)/1000))*1000</f>
        <v>2.19765</v>
      </c>
      <c r="AA2285" s="0" t="n">
        <f aca="false">Z2285/R2285</f>
        <v>0.73255</v>
      </c>
    </row>
    <row r="2286" customFormat="false" ht="15" hidden="false" customHeight="false" outlineLevel="0" collapsed="false">
      <c r="A2286" s="0" t="s">
        <v>88</v>
      </c>
      <c r="B2286" s="0" t="s">
        <v>89</v>
      </c>
      <c r="C2286" s="0" t="s">
        <v>81</v>
      </c>
      <c r="D2286" s="0" t="s">
        <v>175</v>
      </c>
      <c r="E2286" s="0" t="n">
        <v>48</v>
      </c>
      <c r="F2286" s="0" t="n">
        <v>1</v>
      </c>
      <c r="G2286" s="1"/>
      <c r="H2286" s="1"/>
      <c r="I2286" s="0" t="n">
        <v>32</v>
      </c>
      <c r="J2286" s="0" t="n">
        <f aca="false">(I2286/32)*5</f>
        <v>5</v>
      </c>
      <c r="K2286" s="0" t="n">
        <f aca="false">J2286/F2286</f>
        <v>5</v>
      </c>
      <c r="L2286" s="0" t="n">
        <v>25.5</v>
      </c>
      <c r="M2286" s="0" t="n">
        <v>0</v>
      </c>
      <c r="N2286" s="0" t="n">
        <f aca="false">L2286</f>
        <v>25.5</v>
      </c>
      <c r="O2286" s="3" t="n">
        <f aca="false">LOOKUP(L2286,$AB$3:$AC$123)</f>
        <v>1.105825</v>
      </c>
      <c r="P2286" s="3" t="n">
        <f aca="false">(O2286*(N2286/100)*(J2286/1000))*1000</f>
        <v>1.409926875</v>
      </c>
      <c r="Q2286" s="3" t="n">
        <f aca="false">P2286/F2286</f>
        <v>1.409926875</v>
      </c>
      <c r="R2286" s="3" t="n">
        <v>2</v>
      </c>
      <c r="S2286" s="0" t="n">
        <v>1.3</v>
      </c>
      <c r="T2286" s="0" t="n">
        <f aca="false">(S2286/32)*5</f>
        <v>0.203125</v>
      </c>
      <c r="U2286" s="0" t="n">
        <f aca="false">T2286/R2286</f>
        <v>0.1015625</v>
      </c>
      <c r="V2286" s="0" t="n">
        <v>2.5</v>
      </c>
      <c r="W2286" s="0" t="n">
        <v>4</v>
      </c>
      <c r="X2286" s="3" t="n">
        <f aca="false">LOOKUP(V2286,$AB$3:$AC$123)</f>
        <v>1.00795</v>
      </c>
      <c r="Y2286" s="2" t="n">
        <f aca="false">(V2286*((W2286+T2286)/1000)*X2286)/((((W2286+T2286)/1000)*X2286)-((W2286/1000)*0.9982))</f>
        <v>43.453501267681</v>
      </c>
      <c r="Z2286" s="3" t="n">
        <f aca="false">(X2286*(V2286/100)*((W2286+T2286)/1000))*1000</f>
        <v>0.10591349609375</v>
      </c>
      <c r="AA2286" s="0" t="n">
        <f aca="false">Z2286/R2286</f>
        <v>0.052956748046875</v>
      </c>
    </row>
    <row r="2287" customFormat="false" ht="15" hidden="false" customHeight="false" outlineLevel="0" collapsed="false">
      <c r="A2287" s="0" t="s">
        <v>90</v>
      </c>
      <c r="B2287" s="0" t="s">
        <v>91</v>
      </c>
      <c r="C2287" s="0" t="s">
        <v>81</v>
      </c>
      <c r="D2287" s="0" t="s">
        <v>175</v>
      </c>
      <c r="E2287" s="0" t="n">
        <v>48</v>
      </c>
      <c r="F2287" s="0" t="n">
        <v>1</v>
      </c>
      <c r="G2287" s="1"/>
      <c r="H2287" s="1"/>
      <c r="I2287" s="0" t="n">
        <f aca="false">32+13.4</f>
        <v>45.4</v>
      </c>
      <c r="J2287" s="0" t="n">
        <f aca="false">(I2287/32)*5</f>
        <v>7.09375</v>
      </c>
      <c r="K2287" s="0" t="n">
        <f aca="false">J2287/F2287</f>
        <v>7.09375</v>
      </c>
      <c r="L2287" s="0" t="n">
        <v>29</v>
      </c>
      <c r="M2287" s="0" t="n">
        <v>0</v>
      </c>
      <c r="N2287" s="0" t="n">
        <f aca="false">L2287</f>
        <v>29</v>
      </c>
      <c r="O2287" s="3" t="n">
        <f aca="false">LOOKUP(L2287,$AB$3:$AC$123)</f>
        <v>1.12225</v>
      </c>
      <c r="P2287" s="3" t="n">
        <f aca="false">(O2287*(N2287/100)*(J2287/1000))*1000</f>
        <v>2.308678671875</v>
      </c>
      <c r="Q2287" s="3" t="n">
        <f aca="false">P2287/F2287</f>
        <v>2.308678671875</v>
      </c>
      <c r="R2287" s="3" t="n">
        <v>5</v>
      </c>
      <c r="S2287" s="0" t="n">
        <v>18.4</v>
      </c>
      <c r="T2287" s="0" t="n">
        <f aca="false">(S2287/32)*5</f>
        <v>2.875</v>
      </c>
      <c r="U2287" s="0" t="n">
        <f aca="false">T2287/R2287</f>
        <v>0.575</v>
      </c>
      <c r="V2287" s="0" t="n">
        <v>28</v>
      </c>
      <c r="W2287" s="0" t="n">
        <v>4</v>
      </c>
      <c r="X2287" s="3" t="n">
        <f aca="false">LOOKUP(V2287,$AB$3:$AC$123)</f>
        <v>1.1175</v>
      </c>
      <c r="Y2287" s="2" t="n">
        <f aca="false">(V2287*((W2287+T2287)/1000)*X2287)/((((W2287+T2287)/1000)*X2287)-((W2287/1000)*0.9982))</f>
        <v>58.2975667426601</v>
      </c>
      <c r="Z2287" s="3" t="n">
        <f aca="false">(X2287*(V2287/100)*((W2287+T2287)/1000))*1000</f>
        <v>2.1511875</v>
      </c>
      <c r="AA2287" s="0" t="n">
        <f aca="false">Z2287/R2287</f>
        <v>0.4302375</v>
      </c>
    </row>
    <row r="2288" customFormat="false" ht="15" hidden="false" customHeight="false" outlineLevel="0" collapsed="false">
      <c r="A2288" s="0" t="s">
        <v>92</v>
      </c>
      <c r="B2288" s="0" t="s">
        <v>93</v>
      </c>
      <c r="C2288" s="0" t="s">
        <v>81</v>
      </c>
      <c r="D2288" s="0" t="s">
        <v>175</v>
      </c>
      <c r="E2288" s="0" t="n">
        <v>48</v>
      </c>
      <c r="F2288" s="0" t="n">
        <v>1</v>
      </c>
      <c r="G2288" s="1"/>
      <c r="H2288" s="1"/>
      <c r="I2288" s="0" t="n">
        <v>13.3</v>
      </c>
      <c r="J2288" s="0" t="n">
        <f aca="false">(I2288/32)*5</f>
        <v>2.078125</v>
      </c>
      <c r="K2288" s="0" t="n">
        <f aca="false">J2288/F2288</f>
        <v>2.078125</v>
      </c>
      <c r="L2288" s="0" t="n">
        <v>30</v>
      </c>
      <c r="M2288" s="0" t="n">
        <v>0</v>
      </c>
      <c r="N2288" s="0" t="n">
        <f aca="false">L2288</f>
        <v>30</v>
      </c>
      <c r="O2288" s="3" t="n">
        <f aca="false">LOOKUP(L2288,$AB$3:$AC$123)</f>
        <v>1.127</v>
      </c>
      <c r="P2288" s="3" t="n">
        <f aca="false">(O2288*(N2288/100)*(J2288/1000))*1000</f>
        <v>0.7026140625</v>
      </c>
      <c r="Q2288" s="3" t="n">
        <f aca="false">P2288/F2288</f>
        <v>0.7026140625</v>
      </c>
      <c r="R2288" s="3" t="n">
        <v>3</v>
      </c>
      <c r="S2288" s="0" t="n">
        <v>5.1</v>
      </c>
      <c r="T2288" s="0" t="n">
        <f aca="false">(S2288/32)*5</f>
        <v>0.796875</v>
      </c>
      <c r="U2288" s="0" t="n">
        <f aca="false">T2288/R2288</f>
        <v>0.265625</v>
      </c>
      <c r="V2288" s="0" t="n">
        <v>10</v>
      </c>
      <c r="W2288" s="0" t="n">
        <v>4</v>
      </c>
      <c r="X2288" s="3" t="n">
        <f aca="false">LOOKUP(V2288,$AB$3:$AC$123)</f>
        <v>1.0381</v>
      </c>
      <c r="Y2288" s="2" t="n">
        <f aca="false">(V2288*((W2288+T2288)/1000)*X2288)/((((W2288+T2288)/1000)*X2288)-((W2288/1000)*0.9982))</f>
        <v>50.4606262122472</v>
      </c>
      <c r="Z2288" s="3" t="n">
        <f aca="false">(X2288*(V2288/100)*((W2288+T2288)/1000))*1000</f>
        <v>0.49796359375</v>
      </c>
      <c r="AA2288" s="0" t="n">
        <f aca="false">Z2288/R2288</f>
        <v>0.165987864583333</v>
      </c>
    </row>
    <row r="2289" customFormat="false" ht="15" hidden="false" customHeight="false" outlineLevel="0" collapsed="false">
      <c r="A2289" s="0" t="s">
        <v>94</v>
      </c>
      <c r="B2289" s="0" t="s">
        <v>95</v>
      </c>
      <c r="C2289" s="0" t="s">
        <v>81</v>
      </c>
      <c r="D2289" s="0" t="s">
        <v>175</v>
      </c>
      <c r="E2289" s="0" t="n">
        <v>48</v>
      </c>
      <c r="F2289" s="0" t="n">
        <v>2</v>
      </c>
      <c r="G2289" s="1"/>
      <c r="H2289" s="1"/>
      <c r="I2289" s="0" t="n">
        <f aca="false">32*3</f>
        <v>96</v>
      </c>
      <c r="J2289" s="0" t="n">
        <f aca="false">(I2289/32)*5</f>
        <v>15</v>
      </c>
      <c r="K2289" s="0" t="n">
        <f aca="false">J2289/F2289</f>
        <v>7.5</v>
      </c>
      <c r="L2289" s="0" t="n">
        <v>27</v>
      </c>
      <c r="M2289" s="0" t="n">
        <v>0</v>
      </c>
      <c r="N2289" s="0" t="n">
        <f aca="false">L2289</f>
        <v>27</v>
      </c>
      <c r="O2289" s="3" t="n">
        <f aca="false">LOOKUP(L2289,$AB$3:$AC$123)</f>
        <v>1.1128</v>
      </c>
      <c r="P2289" s="3" t="n">
        <f aca="false">(O2289*(N2289/100)*(J2289/1000))*1000</f>
        <v>4.50684</v>
      </c>
      <c r="Q2289" s="3" t="n">
        <f aca="false">P2289/F2289</f>
        <v>2.25342</v>
      </c>
      <c r="R2289" s="3" t="n">
        <v>5</v>
      </c>
      <c r="S2289" s="0" t="n">
        <v>16.1</v>
      </c>
      <c r="T2289" s="0" t="n">
        <f aca="false">(S2289/32)*5</f>
        <v>2.515625</v>
      </c>
      <c r="U2289" s="0" t="n">
        <f aca="false">T2289/R2289</f>
        <v>0.503125</v>
      </c>
      <c r="V2289" s="0" t="n">
        <v>27</v>
      </c>
      <c r="W2289" s="0" t="n">
        <v>4</v>
      </c>
      <c r="X2289" s="3" t="n">
        <f aca="false">LOOKUP(V2289,$AB$3:$AC$123)</f>
        <v>1.1128</v>
      </c>
      <c r="Y2289" s="2" t="n">
        <f aca="false">(V2289*((W2289+T2289)/1000)*X2289)/((((W2289+T2289)/1000)*X2289)-((W2289/1000)*0.9982))</f>
        <v>60.0916611350495</v>
      </c>
      <c r="Z2289" s="3" t="n">
        <f aca="false">(X2289*(V2289/100)*((W2289+T2289)/1000))*1000</f>
        <v>1.957658625</v>
      </c>
      <c r="AA2289" s="0" t="n">
        <f aca="false">Z2289/R2289</f>
        <v>0.391531725</v>
      </c>
    </row>
    <row r="2290" customFormat="false" ht="15" hidden="false" customHeight="false" outlineLevel="0" collapsed="false">
      <c r="A2290" s="0" t="s">
        <v>96</v>
      </c>
      <c r="B2290" s="0" t="s">
        <v>97</v>
      </c>
      <c r="C2290" s="0" t="s">
        <v>81</v>
      </c>
      <c r="D2290" s="0" t="s">
        <v>175</v>
      </c>
      <c r="E2290" s="0" t="n">
        <v>48</v>
      </c>
      <c r="F2290" s="0" t="n">
        <v>0</v>
      </c>
      <c r="G2290" s="1"/>
      <c r="H2290" s="1"/>
      <c r="I2290" s="0" t="n">
        <v>0</v>
      </c>
      <c r="L2290" s="0" t="n">
        <v>0</v>
      </c>
      <c r="M2290" s="0" t="n">
        <v>0</v>
      </c>
      <c r="O2290" s="3" t="n">
        <v>0</v>
      </c>
      <c r="P2290" s="3"/>
      <c r="Q2290" s="3"/>
      <c r="R2290" s="3" t="n">
        <v>3</v>
      </c>
      <c r="S2290" s="0" t="n">
        <v>0.8</v>
      </c>
      <c r="T2290" s="0" t="n">
        <f aca="false">(S2290/32)*5</f>
        <v>0.125</v>
      </c>
      <c r="U2290" s="0" t="n">
        <f aca="false">T2290/R2290</f>
        <v>0.0416666666666667</v>
      </c>
      <c r="V2290" s="0" t="n">
        <v>5</v>
      </c>
      <c r="W2290" s="0" t="n">
        <v>1</v>
      </c>
      <c r="X2290" s="3" t="n">
        <f aca="false">LOOKUP(V2290,$AB$3:$AC$123)</f>
        <v>1.0179</v>
      </c>
      <c r="Y2290" s="2" t="n">
        <f aca="false">(V2290*((W2290+T2290)/1000)*X2290)/((((W2290+T2290)/1000)*X2290)-((W2290/1000)*0.9982))</f>
        <v>38.9668226286687</v>
      </c>
      <c r="Z2290" s="3" t="n">
        <f aca="false">(X2290*(V2290/100)*((W2290+T2290)/1000))*1000</f>
        <v>0.057256875</v>
      </c>
      <c r="AA2290" s="0" t="n">
        <f aca="false">Z2290/R2290</f>
        <v>0.019085625</v>
      </c>
    </row>
    <row r="2291" customFormat="false" ht="15" hidden="false" customHeight="false" outlineLevel="0" collapsed="false">
      <c r="A2291" s="0" t="s">
        <v>98</v>
      </c>
      <c r="B2291" s="0" t="s">
        <v>99</v>
      </c>
      <c r="C2291" s="0" t="s">
        <v>81</v>
      </c>
      <c r="D2291" s="0" t="s">
        <v>175</v>
      </c>
      <c r="E2291" s="0" t="n">
        <v>48</v>
      </c>
      <c r="F2291" s="0" t="n">
        <v>0</v>
      </c>
      <c r="G2291" s="1"/>
      <c r="H2291" s="1"/>
      <c r="I2291" s="0" t="n">
        <v>0</v>
      </c>
      <c r="L2291" s="0" t="n">
        <v>0</v>
      </c>
      <c r="M2291" s="0" t="n">
        <v>0</v>
      </c>
      <c r="O2291" s="3" t="n">
        <v>0</v>
      </c>
      <c r="P2291" s="3"/>
      <c r="Q2291" s="3"/>
      <c r="R2291" s="3" t="n">
        <v>6</v>
      </c>
      <c r="S2291" s="0" t="n">
        <v>15.8</v>
      </c>
      <c r="T2291" s="0" t="n">
        <f aca="false">(S2291/32)*5</f>
        <v>2.46875</v>
      </c>
      <c r="U2291" s="0" t="n">
        <f aca="false">T2291/R2291</f>
        <v>0.411458333333333</v>
      </c>
      <c r="V2291" s="0" t="n">
        <v>30</v>
      </c>
      <c r="W2291" s="0" t="n">
        <v>4</v>
      </c>
      <c r="X2291" s="3" t="n">
        <f aca="false">LOOKUP(V2291,$AB$3:$AC$123)</f>
        <v>1.127</v>
      </c>
      <c r="Y2291" s="2" t="n">
        <f aca="false">(V2291*((W2291+T2291)/1000)*X2291)/((((W2291+T2291)/1000)*X2291)-((W2291/1000)*0.9982))</f>
        <v>66.3259078425389</v>
      </c>
      <c r="Z2291" s="3" t="n">
        <f aca="false">(X2291*(V2291/100)*((W2291+T2291)/1000))*1000</f>
        <v>2.187084375</v>
      </c>
      <c r="AA2291" s="0" t="n">
        <f aca="false">Z2291/R2291</f>
        <v>0.3645140625</v>
      </c>
    </row>
    <row r="2292" customFormat="false" ht="15" hidden="false" customHeight="false" outlineLevel="0" collapsed="false">
      <c r="A2292" s="0" t="s">
        <v>100</v>
      </c>
      <c r="B2292" s="0" t="s">
        <v>101</v>
      </c>
      <c r="C2292" s="0" t="s">
        <v>81</v>
      </c>
      <c r="D2292" s="0" t="s">
        <v>175</v>
      </c>
      <c r="E2292" s="0" t="n">
        <v>48</v>
      </c>
      <c r="F2292" s="0" t="n">
        <v>0</v>
      </c>
      <c r="G2292" s="1"/>
      <c r="H2292" s="1"/>
      <c r="I2292" s="0" t="n">
        <v>0</v>
      </c>
      <c r="L2292" s="0" t="n">
        <v>0</v>
      </c>
      <c r="M2292" s="0" t="n">
        <v>0</v>
      </c>
      <c r="O2292" s="3" t="n">
        <v>0</v>
      </c>
      <c r="P2292" s="3"/>
      <c r="Q2292" s="3"/>
      <c r="R2292" s="3" t="n">
        <v>2</v>
      </c>
      <c r="S2292" s="0" t="n">
        <v>9.1</v>
      </c>
      <c r="T2292" s="0" t="n">
        <f aca="false">(S2292/32)*5</f>
        <v>1.421875</v>
      </c>
      <c r="U2292" s="0" t="n">
        <f aca="false">T2292/R2292</f>
        <v>0.7109375</v>
      </c>
      <c r="V2292" s="0" t="n">
        <v>15</v>
      </c>
      <c r="W2292" s="0" t="n">
        <v>4</v>
      </c>
      <c r="X2292" s="3" t="n">
        <f aca="false">LOOKUP(V2292,$AB$3:$AC$123)</f>
        <v>1.0592</v>
      </c>
      <c r="Y2292" s="2" t="n">
        <f aca="false">(V2292*((W2292+T2292)/1000)*X2292)/((((W2292+T2292)/1000)*X2292)-((W2292/1000)*0.9982))</f>
        <v>49.2230221993657</v>
      </c>
      <c r="Z2292" s="3" t="n">
        <f aca="false">(X2292*(V2292/100)*((W2292+T2292)/1000))*1000</f>
        <v>0.8614275</v>
      </c>
      <c r="AA2292" s="0" t="n">
        <f aca="false">Z2292/R2292</f>
        <v>0.43071375</v>
      </c>
    </row>
    <row r="2293" customFormat="false" ht="15" hidden="false" customHeight="false" outlineLevel="0" collapsed="false">
      <c r="A2293" s="0" t="s">
        <v>102</v>
      </c>
      <c r="B2293" s="0" t="s">
        <v>103</v>
      </c>
      <c r="C2293" s="0" t="s">
        <v>81</v>
      </c>
      <c r="D2293" s="0" t="s">
        <v>175</v>
      </c>
      <c r="E2293" s="0" t="n">
        <v>48</v>
      </c>
      <c r="F2293" s="0" t="n">
        <v>0</v>
      </c>
      <c r="G2293" s="1"/>
      <c r="H2293" s="1"/>
      <c r="I2293" s="0" t="n">
        <v>0</v>
      </c>
      <c r="L2293" s="0" t="n">
        <v>0</v>
      </c>
      <c r="M2293" s="0" t="n">
        <v>0</v>
      </c>
      <c r="O2293" s="3" t="n">
        <v>0</v>
      </c>
      <c r="P2293" s="3"/>
      <c r="Q2293" s="3"/>
      <c r="R2293" s="3" t="n">
        <v>8</v>
      </c>
      <c r="S2293" s="0" t="n">
        <v>9.8</v>
      </c>
      <c r="T2293" s="0" t="n">
        <f aca="false">(S2293/32)*5</f>
        <v>1.53125</v>
      </c>
      <c r="U2293" s="0" t="n">
        <f aca="false">T2293/R2293</f>
        <v>0.19140625</v>
      </c>
      <c r="V2293" s="0" t="n">
        <v>19</v>
      </c>
      <c r="W2293" s="0" t="n">
        <v>4</v>
      </c>
      <c r="X2293" s="3" t="n">
        <f aca="false">LOOKUP(V2293,$AB$3:$AC$123)</f>
        <v>1.0765</v>
      </c>
      <c r="Y2293" s="2" t="n">
        <f aca="false">(V2293*((W2293+T2293)/1000)*X2293)/((((W2293+T2293)/1000)*X2293)-((W2293/1000)*0.9982))</f>
        <v>57.674328391022</v>
      </c>
      <c r="Z2293" s="3" t="n">
        <f aca="false">(X2293*(V2293/100)*((W2293+T2293)/1000))*1000</f>
        <v>1.13133421875</v>
      </c>
      <c r="AA2293" s="0" t="n">
        <f aca="false">Z2293/R2293</f>
        <v>0.14141677734375</v>
      </c>
    </row>
    <row r="2294" customFormat="false" ht="15" hidden="false" customHeight="false" outlineLevel="0" collapsed="false">
      <c r="A2294" s="0" t="s">
        <v>104</v>
      </c>
      <c r="B2294" s="0" t="s">
        <v>105</v>
      </c>
      <c r="C2294" s="0" t="s">
        <v>106</v>
      </c>
      <c r="D2294" s="0" t="s">
        <v>175</v>
      </c>
      <c r="E2294" s="0" t="n">
        <v>48</v>
      </c>
      <c r="F2294" s="0" t="n">
        <v>1</v>
      </c>
      <c r="G2294" s="1"/>
      <c r="H2294" s="1"/>
      <c r="I2294" s="0" t="n">
        <f aca="false">64-4.6</f>
        <v>59.4</v>
      </c>
      <c r="J2294" s="0" t="n">
        <f aca="false">(I2294/32)*5</f>
        <v>9.28125</v>
      </c>
      <c r="K2294" s="0" t="n">
        <f aca="false">J2294/F2294</f>
        <v>9.28125</v>
      </c>
      <c r="L2294" s="0" t="n">
        <v>28</v>
      </c>
      <c r="M2294" s="0" t="n">
        <v>0</v>
      </c>
      <c r="N2294" s="0" t="n">
        <f aca="false">L2294</f>
        <v>28</v>
      </c>
      <c r="O2294" s="3" t="n">
        <f aca="false">LOOKUP(L2294,$AB$3:$AC$123)</f>
        <v>1.1175</v>
      </c>
      <c r="P2294" s="3" t="n">
        <f aca="false">(O2294*(N2294/100)*(J2294/1000))*1000</f>
        <v>2.904103125</v>
      </c>
      <c r="Q2294" s="3" t="n">
        <f aca="false">P2294/F2294</f>
        <v>2.904103125</v>
      </c>
      <c r="R2294" s="3" t="n">
        <v>8</v>
      </c>
      <c r="S2294" s="0" t="n">
        <f aca="false">32+6.8</f>
        <v>38.8</v>
      </c>
      <c r="T2294" s="0" t="n">
        <f aca="false">(S2294/32)*5</f>
        <v>6.0625</v>
      </c>
      <c r="U2294" s="0" t="n">
        <f aca="false">T2294/R2294</f>
        <v>0.7578125</v>
      </c>
      <c r="V2294" s="0" t="n">
        <v>32.5</v>
      </c>
      <c r="W2294" s="0" t="n">
        <v>8</v>
      </c>
      <c r="X2294" s="3" t="n">
        <f aca="false">LOOKUP(V2294,$AB$3:$AC$123)</f>
        <v>1.13905</v>
      </c>
      <c r="Y2294" s="2" t="n">
        <f aca="false">(V2294*((W2294+T2294)/1000)*X2294)/((((W2294+T2294)/1000)*X2294)-((W2294/1000)*0.9982))</f>
        <v>64.8110818714929</v>
      </c>
      <c r="Z2294" s="3" t="n">
        <f aca="false">(X2294*(V2294/100)*((W2294+T2294)/1000))*1000</f>
        <v>5.205814453125</v>
      </c>
      <c r="AA2294" s="0" t="n">
        <f aca="false">Z2294/R2294</f>
        <v>0.650726806640625</v>
      </c>
    </row>
    <row r="2295" customFormat="false" ht="15" hidden="false" customHeight="false" outlineLevel="0" collapsed="false">
      <c r="A2295" s="0" t="s">
        <v>107</v>
      </c>
      <c r="B2295" s="0" t="s">
        <v>37</v>
      </c>
      <c r="C2295" s="0" t="s">
        <v>106</v>
      </c>
      <c r="D2295" s="0" t="s">
        <v>175</v>
      </c>
      <c r="E2295" s="0" t="n">
        <v>48</v>
      </c>
      <c r="F2295" s="0" t="n">
        <v>1</v>
      </c>
      <c r="G2295" s="1"/>
      <c r="H2295" s="1"/>
      <c r="I2295" s="0" t="n">
        <f aca="false">32+17.7</f>
        <v>49.7</v>
      </c>
      <c r="J2295" s="0" t="n">
        <f aca="false">(I2295/32)*5</f>
        <v>7.765625</v>
      </c>
      <c r="K2295" s="0" t="n">
        <f aca="false">J2295/F2295</f>
        <v>7.765625</v>
      </c>
      <c r="L2295" s="0" t="n">
        <v>31</v>
      </c>
      <c r="M2295" s="0" t="n">
        <v>0</v>
      </c>
      <c r="N2295" s="0" t="n">
        <f aca="false">L2295</f>
        <v>31</v>
      </c>
      <c r="O2295" s="3" t="n">
        <f aca="false">LOOKUP(L2295,$AB$3:$AC$123)</f>
        <v>1.1318</v>
      </c>
      <c r="P2295" s="3" t="n">
        <f aca="false">(O2295*(N2295/100)*(J2295/1000))*1000</f>
        <v>2.72463165625</v>
      </c>
      <c r="Q2295" s="3" t="n">
        <f aca="false">P2295/F2295</f>
        <v>2.72463165625</v>
      </c>
      <c r="R2295" s="3" t="n">
        <v>7</v>
      </c>
      <c r="S2295" s="0" t="n">
        <f aca="false">32+4.3</f>
        <v>36.3</v>
      </c>
      <c r="T2295" s="0" t="n">
        <f aca="false">(S2295/32)*5</f>
        <v>5.671875</v>
      </c>
      <c r="U2295" s="0" t="n">
        <f aca="false">T2295/R2295</f>
        <v>0.810267857142857</v>
      </c>
      <c r="V2295" s="0" t="n">
        <v>32</v>
      </c>
      <c r="W2295" s="0" t="n">
        <v>8</v>
      </c>
      <c r="X2295" s="3" t="n">
        <f aca="false">LOOKUP(V2295,$AB$3:$AC$123)</f>
        <v>1.1366</v>
      </c>
      <c r="Y2295" s="2" t="n">
        <f aca="false">(V2295*((W2295+T2295)/1000)*X2295)/((((W2295+T2295)/1000)*X2295)-((W2295/1000)*0.9982))</f>
        <v>65.8289871104689</v>
      </c>
      <c r="Z2295" s="3" t="n">
        <f aca="false">(X2295*(V2295/100)*((W2295+T2295)/1000))*1000</f>
        <v>4.972625</v>
      </c>
      <c r="AA2295" s="0" t="n">
        <f aca="false">Z2295/R2295</f>
        <v>0.710375</v>
      </c>
    </row>
    <row r="2296" customFormat="false" ht="15" hidden="false" customHeight="false" outlineLevel="0" collapsed="false">
      <c r="A2296" s="0" t="s">
        <v>108</v>
      </c>
      <c r="B2296" s="0" t="s">
        <v>109</v>
      </c>
      <c r="C2296" s="0" t="s">
        <v>106</v>
      </c>
      <c r="D2296" s="0" t="s">
        <v>175</v>
      </c>
      <c r="E2296" s="0" t="n">
        <v>48</v>
      </c>
      <c r="F2296" s="0" t="n">
        <v>3</v>
      </c>
      <c r="G2296" s="1"/>
      <c r="H2296" s="1"/>
      <c r="I2296" s="0" t="n">
        <f aca="false">32*5+22.7</f>
        <v>182.7</v>
      </c>
      <c r="J2296" s="0" t="n">
        <f aca="false">(I2296/32)*5</f>
        <v>28.546875</v>
      </c>
      <c r="K2296" s="0" t="n">
        <f aca="false">J2296/F2296</f>
        <v>9.515625</v>
      </c>
      <c r="L2296" s="0" t="n">
        <v>24</v>
      </c>
      <c r="M2296" s="0" t="n">
        <v>0</v>
      </c>
      <c r="N2296" s="0" t="n">
        <f aca="false">L2296</f>
        <v>24</v>
      </c>
      <c r="O2296" s="3" t="n">
        <f aca="false">LOOKUP(L2296,$AB$3:$AC$123)</f>
        <v>1.099</v>
      </c>
      <c r="P2296" s="3" t="n">
        <f aca="false">(O2296*(N2296/100)*(J2296/1000))*1000</f>
        <v>7.52952375</v>
      </c>
      <c r="Q2296" s="3" t="n">
        <f aca="false">P2296/F2296</f>
        <v>2.50984125</v>
      </c>
      <c r="R2296" s="3" t="n">
        <v>7</v>
      </c>
      <c r="S2296" s="0" t="n">
        <v>64</v>
      </c>
      <c r="T2296" s="0" t="n">
        <f aca="false">(S2296/32)*5</f>
        <v>10</v>
      </c>
      <c r="U2296" s="0" t="n">
        <f aca="false">T2296/R2296</f>
        <v>1.42857142857143</v>
      </c>
      <c r="V2296" s="0" t="n">
        <v>38</v>
      </c>
      <c r="W2296" s="0" t="n">
        <v>12</v>
      </c>
      <c r="X2296" s="3" t="n">
        <f aca="false">LOOKUP(V2296,$AB$3:$AC$123)</f>
        <v>1.1663</v>
      </c>
      <c r="Y2296" s="2" t="n">
        <f aca="false">(V2296*((W2296+T2296)/1000)*X2296)/((((W2296+T2296)/1000)*X2296)-((W2296/1000)*0.9982))</f>
        <v>71.2728468882034</v>
      </c>
      <c r="Z2296" s="3" t="n">
        <f aca="false">(X2296*(V2296/100)*((W2296+T2296)/1000))*1000</f>
        <v>9.750268</v>
      </c>
      <c r="AA2296" s="0" t="n">
        <f aca="false">Z2296/R2296</f>
        <v>1.39289542857143</v>
      </c>
    </row>
    <row r="2297" customFormat="false" ht="15" hidden="false" customHeight="false" outlineLevel="0" collapsed="false">
      <c r="A2297" s="0" t="s">
        <v>110</v>
      </c>
      <c r="B2297" s="0" t="s">
        <v>111</v>
      </c>
      <c r="C2297" s="0" t="s">
        <v>106</v>
      </c>
      <c r="D2297" s="0" t="s">
        <v>175</v>
      </c>
      <c r="E2297" s="0" t="n">
        <v>48</v>
      </c>
      <c r="F2297" s="0" t="n">
        <v>0</v>
      </c>
      <c r="G2297" s="1"/>
      <c r="H2297" s="1"/>
      <c r="I2297" s="0" t="n">
        <v>0</v>
      </c>
      <c r="L2297" s="0" t="n">
        <v>0</v>
      </c>
      <c r="M2297" s="0" t="n">
        <v>0</v>
      </c>
      <c r="O2297" s="3" t="n">
        <v>0</v>
      </c>
      <c r="P2297" s="3"/>
      <c r="Q2297" s="3"/>
      <c r="R2297" s="3" t="n">
        <v>6</v>
      </c>
      <c r="S2297" s="0" t="n">
        <f aca="false">32+6.6</f>
        <v>38.6</v>
      </c>
      <c r="T2297" s="0" t="n">
        <f aca="false">(S2297/32)*5</f>
        <v>6.03125</v>
      </c>
      <c r="U2297" s="0" t="n">
        <f aca="false">T2297/R2297</f>
        <v>1.00520833333333</v>
      </c>
      <c r="V2297" s="0" t="n">
        <v>9</v>
      </c>
      <c r="W2297" s="0" t="n">
        <v>4</v>
      </c>
      <c r="X2297" s="3" t="n">
        <f aca="false">LOOKUP(V2297,$AB$3:$AC$123)</f>
        <v>1.0341</v>
      </c>
      <c r="Y2297" s="2" t="n">
        <f aca="false">(V2297*((W2297+1.03125)/1000)*X2297)/((((W2297+1.03125)/1000)*X2297)-((W2297/1000)*0.9982))</f>
        <v>38.6981288981289</v>
      </c>
      <c r="Z2297" s="3" t="n">
        <f aca="false">(X2297*(V2297/100)*((W2297+T2297)/1000))*1000</f>
        <v>0.93359840625</v>
      </c>
      <c r="AA2297" s="0" t="n">
        <f aca="false">Z2297/R2297</f>
        <v>0.155599734375</v>
      </c>
    </row>
    <row r="2298" customFormat="false" ht="15" hidden="false" customHeight="false" outlineLevel="0" collapsed="false">
      <c r="A2298" s="0" t="s">
        <v>112</v>
      </c>
      <c r="B2298" s="0" t="s">
        <v>113</v>
      </c>
      <c r="C2298" s="0" t="s">
        <v>106</v>
      </c>
      <c r="D2298" s="0" t="s">
        <v>175</v>
      </c>
      <c r="E2298" s="0" t="n">
        <v>48</v>
      </c>
      <c r="F2298" s="0" t="n">
        <v>1</v>
      </c>
      <c r="G2298" s="1"/>
      <c r="H2298" s="1"/>
      <c r="I2298" s="0" t="n">
        <v>42.2</v>
      </c>
      <c r="J2298" s="0" t="n">
        <f aca="false">(I2298/32)*5</f>
        <v>6.59375</v>
      </c>
      <c r="K2298" s="0" t="n">
        <f aca="false">J2298/F2298</f>
        <v>6.59375</v>
      </c>
      <c r="L2298" s="0" t="n">
        <v>30.5</v>
      </c>
      <c r="M2298" s="0" t="n">
        <v>0</v>
      </c>
      <c r="N2298" s="0" t="n">
        <f aca="false">L2298</f>
        <v>30.5</v>
      </c>
      <c r="O2298" s="3" t="n">
        <f aca="false">LOOKUP(L2298,$AB$3:$AC$123)</f>
        <v>1.1294</v>
      </c>
      <c r="P2298" s="3" t="n">
        <f aca="false">(O2298*(N2298/100)*(J2298/1000))*1000</f>
        <v>2.27132928125</v>
      </c>
      <c r="Q2298" s="3" t="n">
        <f aca="false">P2298/F2298</f>
        <v>2.27132928125</v>
      </c>
      <c r="R2298" s="3" t="n">
        <v>7</v>
      </c>
      <c r="S2298" s="0" t="n">
        <f aca="false">32+6.4</f>
        <v>38.4</v>
      </c>
      <c r="T2298" s="0" t="n">
        <f aca="false">(S2298/32)*5</f>
        <v>6</v>
      </c>
      <c r="U2298" s="0" t="n">
        <f aca="false">T2298/R2298</f>
        <v>0.857142857142857</v>
      </c>
      <c r="V2298" s="0" t="n">
        <v>35</v>
      </c>
      <c r="W2298" s="0" t="n">
        <v>8</v>
      </c>
      <c r="X2298" s="3" t="n">
        <f aca="false">LOOKUP(V2298,$AB$3:$AC$123)</f>
        <v>1.1513</v>
      </c>
      <c r="Y2298" s="2" t="n">
        <f aca="false">(V2298*((W2298+T2298)/1000)*X2298)/((((W2298+T2298)/1000)*X2298)-((W2298/1000)*0.9982))</f>
        <v>69.3673609915648</v>
      </c>
      <c r="Z2298" s="3" t="n">
        <f aca="false">(X2298*(V2298/100)*((W2298+T2298)/1000))*1000</f>
        <v>5.64137</v>
      </c>
      <c r="AA2298" s="0" t="n">
        <f aca="false">Z2298/R2298</f>
        <v>0.80591</v>
      </c>
    </row>
    <row r="2299" customFormat="false" ht="15" hidden="false" customHeight="false" outlineLevel="0" collapsed="false">
      <c r="A2299" s="0" t="s">
        <v>114</v>
      </c>
      <c r="B2299" s="0" t="s">
        <v>115</v>
      </c>
      <c r="C2299" s="0" t="s">
        <v>106</v>
      </c>
      <c r="D2299" s="0" t="s">
        <v>175</v>
      </c>
      <c r="E2299" s="0" t="n">
        <v>48</v>
      </c>
      <c r="F2299" s="0" t="n">
        <v>1</v>
      </c>
      <c r="G2299" s="1"/>
      <c r="H2299" s="1"/>
      <c r="I2299" s="0" t="n">
        <v>17.4</v>
      </c>
      <c r="J2299" s="0" t="n">
        <f aca="false">(I2299/32)*5</f>
        <v>2.71875</v>
      </c>
      <c r="K2299" s="0" t="n">
        <f aca="false">J2299/F2299</f>
        <v>2.71875</v>
      </c>
      <c r="L2299" s="0" t="n">
        <v>25</v>
      </c>
      <c r="M2299" s="0" t="n">
        <v>0</v>
      </c>
      <c r="N2299" s="0" t="n">
        <f aca="false">L2299</f>
        <v>25</v>
      </c>
      <c r="O2299" s="3" t="n">
        <f aca="false">LOOKUP(L2299,$AB$3:$AC$123)</f>
        <v>1.10355</v>
      </c>
      <c r="P2299" s="3" t="n">
        <f aca="false">(O2299*(N2299/100)*(J2299/1000))*1000</f>
        <v>0.750069140625</v>
      </c>
      <c r="Q2299" s="3" t="n">
        <f aca="false">P2299/F2299</f>
        <v>0.750069140625</v>
      </c>
      <c r="R2299" s="3" t="n">
        <v>8</v>
      </c>
      <c r="S2299" s="0" t="n">
        <v>38</v>
      </c>
      <c r="T2299" s="0" t="n">
        <f aca="false">(S2299/32)*5</f>
        <v>5.9375</v>
      </c>
      <c r="U2299" s="0" t="n">
        <f aca="false">T2299/R2299</f>
        <v>0.7421875</v>
      </c>
      <c r="V2299" s="0" t="n">
        <v>33</v>
      </c>
      <c r="W2299" s="0" t="n">
        <v>8</v>
      </c>
      <c r="X2299" s="3" t="n">
        <f aca="false">LOOKUP(V2299,$AB$3:$AC$123)</f>
        <v>1.1415</v>
      </c>
      <c r="Y2299" s="2" t="n">
        <f aca="false">(V2299*((W2299+T2299)/1000)*X2299)/((((W2299+T2299)/1000)*X2299)-((W2299/1000)*0.9982))</f>
        <v>66.2563010263841</v>
      </c>
      <c r="Z2299" s="3" t="n">
        <f aca="false">(X2299*(V2299/100)*((W2299+T2299)/1000))*1000</f>
        <v>5.2501865625</v>
      </c>
      <c r="AA2299" s="0" t="n">
        <f aca="false">Z2299/R2299</f>
        <v>0.6562733203125</v>
      </c>
    </row>
    <row r="2300" customFormat="false" ht="15" hidden="false" customHeight="false" outlineLevel="0" collapsed="false">
      <c r="A2300" s="0" t="s">
        <v>116</v>
      </c>
      <c r="B2300" s="0" t="s">
        <v>117</v>
      </c>
      <c r="C2300" s="0" t="s">
        <v>106</v>
      </c>
      <c r="D2300" s="0" t="s">
        <v>175</v>
      </c>
      <c r="E2300" s="0" t="n">
        <v>48</v>
      </c>
      <c r="F2300" s="0" t="n">
        <v>0</v>
      </c>
      <c r="G2300" s="1"/>
      <c r="H2300" s="1"/>
      <c r="I2300" s="0" t="n">
        <v>0</v>
      </c>
      <c r="L2300" s="0" t="n">
        <v>0</v>
      </c>
      <c r="M2300" s="0" t="n">
        <v>0</v>
      </c>
      <c r="O2300" s="3" t="n">
        <v>0</v>
      </c>
      <c r="P2300" s="3"/>
      <c r="Q2300" s="3"/>
      <c r="R2300" s="3" t="n">
        <v>5</v>
      </c>
      <c r="S2300" s="0" t="n">
        <v>22.1</v>
      </c>
      <c r="T2300" s="0" t="n">
        <f aca="false">(S2300/32)*5</f>
        <v>3.453125</v>
      </c>
      <c r="U2300" s="0" t="n">
        <f aca="false">T2300/R2300</f>
        <v>0.690625</v>
      </c>
      <c r="V2300" s="0" t="n">
        <v>32.5</v>
      </c>
      <c r="W2300" s="0" t="n">
        <v>4</v>
      </c>
      <c r="X2300" s="3" t="n">
        <f aca="false">LOOKUP(V2300,$AB$3:$AC$123)</f>
        <v>1.13905</v>
      </c>
      <c r="Y2300" s="2" t="n">
        <f aca="false">(V2300*((W2300+T2300)/1000)*X2300)/((((W2300+T2300)/1000)*X2300)-((W2300/1000)*0.9982))</f>
        <v>61.3581667767884</v>
      </c>
      <c r="Z2300" s="3" t="n">
        <f aca="false">(X2300*(V2300/100)*((W2300+T2300)/1000))*1000</f>
        <v>2.75908166015625</v>
      </c>
      <c r="AA2300" s="0" t="n">
        <f aca="false">Z2300/R2300</f>
        <v>0.55181633203125</v>
      </c>
    </row>
    <row r="2301" customFormat="false" ht="15" hidden="false" customHeight="false" outlineLevel="0" collapsed="false">
      <c r="A2301" s="0" t="s">
        <v>118</v>
      </c>
      <c r="B2301" s="0" t="s">
        <v>119</v>
      </c>
      <c r="C2301" s="0" t="s">
        <v>106</v>
      </c>
      <c r="D2301" s="0" t="s">
        <v>175</v>
      </c>
      <c r="E2301" s="0" t="n">
        <v>48</v>
      </c>
      <c r="F2301" s="0" t="n">
        <v>2</v>
      </c>
      <c r="G2301" s="1"/>
      <c r="H2301" s="1"/>
      <c r="I2301" s="0" t="n">
        <f aca="false">32*3+8.2</f>
        <v>104.2</v>
      </c>
      <c r="J2301" s="0" t="n">
        <f aca="false">(I2301/32)*5</f>
        <v>16.28125</v>
      </c>
      <c r="K2301" s="0" t="n">
        <f aca="false">J2301/F2301</f>
        <v>8.140625</v>
      </c>
      <c r="L2301" s="0" t="n">
        <v>25.5</v>
      </c>
      <c r="M2301" s="0" t="n">
        <v>0</v>
      </c>
      <c r="N2301" s="0" t="n">
        <f aca="false">L2301</f>
        <v>25.5</v>
      </c>
      <c r="O2301" s="3" t="n">
        <f aca="false">LOOKUP(L2301,$AB$3:$AC$123)</f>
        <v>1.105825</v>
      </c>
      <c r="P2301" s="3" t="n">
        <f aca="false">(O2301*(N2301/100)*(J2301/1000))*1000</f>
        <v>4.59107438671875</v>
      </c>
      <c r="Q2301" s="3" t="n">
        <f aca="false">P2301/F2301</f>
        <v>2.29553719335937</v>
      </c>
      <c r="R2301" s="3" t="n">
        <v>7</v>
      </c>
      <c r="S2301" s="0" t="n">
        <v>26.1</v>
      </c>
      <c r="T2301" s="0" t="n">
        <f aca="false">(S2301/32)*5</f>
        <v>4.078125</v>
      </c>
      <c r="U2301" s="0" t="n">
        <f aca="false">T2301/R2301</f>
        <v>0.582589285714286</v>
      </c>
      <c r="V2301" s="0" t="n">
        <v>41</v>
      </c>
      <c r="W2301" s="0" t="n">
        <v>4</v>
      </c>
      <c r="X2301" s="3" t="n">
        <f aca="false">LOOKUP(V2301,$AB$3:$AC$123)</f>
        <v>1.1816</v>
      </c>
      <c r="Y2301" s="2" t="n">
        <f aca="false">(V2301*((W2301+T2301)/1000)*X2301)/((((W2301+T2301)/1000)*X2301)-((W2301/1000)*0.9982))</f>
        <v>70.4840753289733</v>
      </c>
      <c r="Z2301" s="3" t="n">
        <f aca="false">(X2301*(V2301/100)*((W2301+T2301)/1000))*1000</f>
        <v>3.913496125</v>
      </c>
      <c r="AA2301" s="0" t="n">
        <f aca="false">Z2301/R2301</f>
        <v>0.559070875</v>
      </c>
    </row>
    <row r="2302" customFormat="false" ht="15" hidden="false" customHeight="false" outlineLevel="0" collapsed="false">
      <c r="A2302" s="0" t="s">
        <v>120</v>
      </c>
      <c r="B2302" s="0" t="s">
        <v>121</v>
      </c>
      <c r="C2302" s="0" t="s">
        <v>106</v>
      </c>
      <c r="D2302" s="0" t="s">
        <v>175</v>
      </c>
      <c r="E2302" s="0" t="n">
        <v>48</v>
      </c>
      <c r="F2302" s="0" t="n">
        <v>3</v>
      </c>
      <c r="G2302" s="1"/>
      <c r="H2302" s="1"/>
      <c r="I2302" s="0" t="n">
        <f aca="false">32*4+20.9</f>
        <v>148.9</v>
      </c>
      <c r="J2302" s="0" t="n">
        <f aca="false">(I2302/32)*5</f>
        <v>23.265625</v>
      </c>
      <c r="K2302" s="0" t="n">
        <f aca="false">J2302/F2302</f>
        <v>7.75520833333333</v>
      </c>
      <c r="L2302" s="0" t="n">
        <v>33</v>
      </c>
      <c r="M2302" s="0" t="n">
        <v>0</v>
      </c>
      <c r="N2302" s="0" t="n">
        <f aca="false">L2302</f>
        <v>33</v>
      </c>
      <c r="O2302" s="3" t="n">
        <f aca="false">LOOKUP(L2302,$AB$3:$AC$123)</f>
        <v>1.1415</v>
      </c>
      <c r="P2302" s="3" t="n">
        <f aca="false">(O2302*(N2302/100)*(J2302/1000))*1000</f>
        <v>8.764044609375</v>
      </c>
      <c r="Q2302" s="3" t="n">
        <f aca="false">P2302/F2302</f>
        <v>2.921348203125</v>
      </c>
      <c r="R2302" s="3" t="n">
        <v>6</v>
      </c>
      <c r="S2302" s="0" t="n">
        <v>10</v>
      </c>
      <c r="T2302" s="0" t="n">
        <f aca="false">(S2302/32)*5</f>
        <v>1.5625</v>
      </c>
      <c r="U2302" s="0" t="n">
        <f aca="false">T2302/R2302</f>
        <v>0.260416666666667</v>
      </c>
      <c r="V2302" s="0" t="n">
        <v>20</v>
      </c>
      <c r="W2302" s="0" t="n">
        <v>4</v>
      </c>
      <c r="X2302" s="3" t="n">
        <f aca="false">LOOKUP(V2302,$AB$3:$AC$123)</f>
        <v>1.081</v>
      </c>
      <c r="Y2302" s="2" t="n">
        <f aca="false">(V2302*((W2302+T2302)/1000)*X2302)/((((W2302+T2302)/1000)*X2302)-((W2302/1000)*0.9982))</f>
        <v>59.5275366443717</v>
      </c>
      <c r="Z2302" s="3" t="n">
        <f aca="false">(X2302*(V2302/100)*((W2302+T2302)/1000))*1000</f>
        <v>1.2026125</v>
      </c>
      <c r="AA2302" s="0" t="n">
        <f aca="false">Z2302/R2302</f>
        <v>0.200435416666667</v>
      </c>
    </row>
    <row r="2303" customFormat="false" ht="15" hidden="false" customHeight="false" outlineLevel="0" collapsed="false">
      <c r="A2303" s="0" t="s">
        <v>122</v>
      </c>
      <c r="B2303" s="0" t="s">
        <v>123</v>
      </c>
      <c r="C2303" s="0" t="s">
        <v>106</v>
      </c>
      <c r="D2303" s="0" t="s">
        <v>175</v>
      </c>
      <c r="E2303" s="0" t="n">
        <v>48</v>
      </c>
      <c r="F2303" s="0" t="n">
        <v>2</v>
      </c>
      <c r="G2303" s="1"/>
      <c r="H2303" s="1"/>
      <c r="I2303" s="0" t="n">
        <f aca="false">32*3+11.3</f>
        <v>107.3</v>
      </c>
      <c r="J2303" s="0" t="n">
        <f aca="false">(I2303/32)*5</f>
        <v>16.765625</v>
      </c>
      <c r="K2303" s="0" t="n">
        <f aca="false">J2303/F2303</f>
        <v>8.3828125</v>
      </c>
      <c r="L2303" s="0" t="n">
        <v>30</v>
      </c>
      <c r="M2303" s="0" t="n">
        <v>0</v>
      </c>
      <c r="N2303" s="0" t="n">
        <f aca="false">L2303</f>
        <v>30</v>
      </c>
      <c r="O2303" s="3" t="n">
        <f aca="false">LOOKUP(L2303,$AB$3:$AC$123)</f>
        <v>1.127</v>
      </c>
      <c r="P2303" s="3" t="n">
        <f aca="false">(O2303*(N2303/100)*(J2303/1000))*1000</f>
        <v>5.6684578125</v>
      </c>
      <c r="Q2303" s="3" t="n">
        <f aca="false">P2303/F2303</f>
        <v>2.83422890625</v>
      </c>
      <c r="R2303" s="3" t="n">
        <v>4</v>
      </c>
      <c r="S2303" s="0" t="n">
        <v>15.5</v>
      </c>
      <c r="T2303" s="0" t="n">
        <f aca="false">(S2303/32)*5</f>
        <v>2.421875</v>
      </c>
      <c r="U2303" s="0" t="n">
        <f aca="false">T2303/R2303</f>
        <v>0.60546875</v>
      </c>
      <c r="V2303" s="0" t="n">
        <v>22</v>
      </c>
      <c r="W2303" s="0" t="n">
        <v>4</v>
      </c>
      <c r="X2303" s="3" t="n">
        <f aca="false">LOOKUP(V2303,$AB$3:$AC$123)</f>
        <v>1.0899</v>
      </c>
      <c r="Y2303" s="2" t="n">
        <f aca="false">(V2303*((W2303+T2303)/1000)*X2303)/((((W2303+T2303)/1000)*X2303)-((W2303/1000)*0.9982))</f>
        <v>51.2181859854259</v>
      </c>
      <c r="Z2303" s="3" t="n">
        <f aca="false">(X2303*(V2303/100)*((W2303+T2303)/1000))*1000</f>
        <v>1.53982434375</v>
      </c>
      <c r="AA2303" s="0" t="n">
        <f aca="false">Z2303/R2303</f>
        <v>0.3849560859375</v>
      </c>
    </row>
    <row r="2304" customFormat="false" ht="15" hidden="false" customHeight="false" outlineLevel="0" collapsed="false">
      <c r="A2304" s="0" t="s">
        <v>124</v>
      </c>
      <c r="B2304" s="0" t="s">
        <v>125</v>
      </c>
      <c r="C2304" s="0" t="s">
        <v>106</v>
      </c>
      <c r="D2304" s="0" t="s">
        <v>175</v>
      </c>
      <c r="E2304" s="0" t="n">
        <v>48</v>
      </c>
      <c r="F2304" s="0" t="n">
        <v>1</v>
      </c>
      <c r="G2304" s="1"/>
      <c r="H2304" s="1"/>
      <c r="I2304" s="0" t="n">
        <f aca="false">32*2+1.3</f>
        <v>65.3</v>
      </c>
      <c r="J2304" s="0" t="n">
        <f aca="false">(I2304/32)*5</f>
        <v>10.203125</v>
      </c>
      <c r="K2304" s="0" t="n">
        <f aca="false">J2304/F2304</f>
        <v>10.203125</v>
      </c>
      <c r="L2304" s="0" t="n">
        <v>29.5</v>
      </c>
      <c r="M2304" s="0" t="n">
        <v>0</v>
      </c>
      <c r="N2304" s="0" t="n">
        <f aca="false">L2304</f>
        <v>29.5</v>
      </c>
      <c r="O2304" s="3" t="n">
        <f aca="false">LOOKUP(L2304,$AB$3:$AC$123)</f>
        <v>1.124625</v>
      </c>
      <c r="P2304" s="3" t="n">
        <f aca="false">(O2304*(N2304/100)*(J2304/1000))*1000</f>
        <v>3.38503338867187</v>
      </c>
      <c r="Q2304" s="3" t="n">
        <f aca="false">P2304/F2304</f>
        <v>3.38503338867187</v>
      </c>
      <c r="R2304" s="3" t="n">
        <v>6</v>
      </c>
      <c r="S2304" s="0" t="n">
        <v>26.2</v>
      </c>
      <c r="T2304" s="0" t="n">
        <f aca="false">(S2304/32)*5</f>
        <v>4.09375</v>
      </c>
      <c r="U2304" s="0" t="n">
        <f aca="false">T2304/R2304</f>
        <v>0.682291666666667</v>
      </c>
      <c r="V2304" s="0" t="n">
        <v>31</v>
      </c>
      <c r="W2304" s="0" t="n">
        <v>4</v>
      </c>
      <c r="X2304" s="3" t="n">
        <f aca="false">LOOKUP(V2304,$AB$3:$AC$123)</f>
        <v>1.1318</v>
      </c>
      <c r="Y2304" s="2" t="n">
        <f aca="false">(V2304*((W2304+T2304)/1000)*X2304)/((((W2304+T2304)/1000)*X2304)-((W2304/1000)*0.9982))</f>
        <v>54.9519806297039</v>
      </c>
      <c r="Z2304" s="3" t="n">
        <f aca="false">(X2304*(V2304/100)*((W2304+T2304)/1000))*1000</f>
        <v>2.8397569375</v>
      </c>
      <c r="AA2304" s="0" t="n">
        <f aca="false">Z2304/R2304</f>
        <v>0.473292822916667</v>
      </c>
    </row>
    <row r="2305" customFormat="false" ht="15" hidden="false" customHeight="false" outlineLevel="0" collapsed="false">
      <c r="A2305" s="0" t="s">
        <v>126</v>
      </c>
      <c r="B2305" s="0" t="s">
        <v>127</v>
      </c>
      <c r="C2305" s="0" t="s">
        <v>106</v>
      </c>
      <c r="D2305" s="0" t="s">
        <v>175</v>
      </c>
      <c r="E2305" s="0" t="n">
        <v>48</v>
      </c>
      <c r="F2305" s="0" t="n">
        <v>0</v>
      </c>
      <c r="G2305" s="1"/>
      <c r="H2305" s="1"/>
      <c r="I2305" s="0" t="n">
        <v>0</v>
      </c>
      <c r="L2305" s="0" t="n">
        <v>0</v>
      </c>
      <c r="M2305" s="0" t="n">
        <v>0</v>
      </c>
      <c r="O2305" s="3" t="n">
        <v>0</v>
      </c>
      <c r="P2305" s="3"/>
      <c r="Q2305" s="3"/>
      <c r="R2305" s="3" t="n">
        <v>11</v>
      </c>
      <c r="S2305" s="0" t="n">
        <v>37</v>
      </c>
      <c r="T2305" s="0" t="n">
        <f aca="false">(S2305/32)*5</f>
        <v>5.78125</v>
      </c>
      <c r="U2305" s="0" t="n">
        <f aca="false">T2305/R2305</f>
        <v>0.525568181818182</v>
      </c>
      <c r="V2305" s="0" t="n">
        <v>29.5</v>
      </c>
      <c r="W2305" s="0" t="n">
        <v>8</v>
      </c>
      <c r="X2305" s="3" t="n">
        <f aca="false">LOOKUP(V2305,$AB$3:$AC$123)</f>
        <v>1.124625</v>
      </c>
      <c r="Y2305" s="2" t="n">
        <f aca="false">(V2305*((W2305+T2305)/1000)*X2305)/((((W2305+T2305)/1000)*X2305)-((W2305/1000)*0.9982))</f>
        <v>60.8550997175053</v>
      </c>
      <c r="Z2305" s="3" t="n">
        <f aca="false">(X2305*(V2305/100)*((W2305+T2305)/1000))*1000</f>
        <v>4.57212779296875</v>
      </c>
      <c r="AA2305" s="0" t="n">
        <f aca="false">Z2305/R2305</f>
        <v>0.415647981178977</v>
      </c>
    </row>
    <row r="2306" customFormat="false" ht="15" hidden="false" customHeight="false" outlineLevel="0" collapsed="false">
      <c r="A2306" s="0" t="s">
        <v>26</v>
      </c>
      <c r="B2306" s="0" t="s">
        <v>27</v>
      </c>
      <c r="C2306" s="0" t="s">
        <v>28</v>
      </c>
      <c r="D2306" s="0" t="s">
        <v>176</v>
      </c>
      <c r="E2306" s="0" t="n">
        <v>49</v>
      </c>
      <c r="F2306" s="0" t="n">
        <v>0</v>
      </c>
      <c r="G2306" s="1"/>
      <c r="H2306" s="1"/>
      <c r="I2306" s="0" t="n">
        <v>0</v>
      </c>
      <c r="L2306" s="0" t="n">
        <v>0</v>
      </c>
      <c r="M2306" s="0" t="n">
        <v>0</v>
      </c>
      <c r="O2306" s="3" t="n">
        <v>0</v>
      </c>
      <c r="P2306" s="3"/>
      <c r="Q2306" s="3"/>
      <c r="R2306" s="3" t="n">
        <v>1</v>
      </c>
      <c r="S2306" s="0" t="n">
        <v>4.8</v>
      </c>
      <c r="T2306" s="0" t="n">
        <f aca="false">(S2306/32)*5</f>
        <v>0.75</v>
      </c>
      <c r="U2306" s="0" t="n">
        <f aca="false">T2306/R2306</f>
        <v>0.75</v>
      </c>
      <c r="V2306" s="0" t="n">
        <v>5.5</v>
      </c>
      <c r="W2306" s="0" t="n">
        <v>4</v>
      </c>
      <c r="X2306" s="3" t="n">
        <f aca="false">LOOKUP(V2306,$AB$3:$AC$123)</f>
        <v>1.01985</v>
      </c>
      <c r="Y2306" s="2" t="n">
        <f aca="false">(V2306*((W2306+T2306)/1000)*X2306)/((((W2306+T2306)/1000)*X2306)-((W2306/1000)*0.9982))</f>
        <v>31.2906311014548</v>
      </c>
      <c r="Z2306" s="3" t="n">
        <f aca="false">(X2306*(V2306/100)*((W2306+T2306)/1000))*1000</f>
        <v>0.2664358125</v>
      </c>
      <c r="AA2306" s="0" t="n">
        <f aca="false">Z2306/R2306</f>
        <v>0.2664358125</v>
      </c>
    </row>
    <row r="2307" customFormat="false" ht="15" hidden="false" customHeight="false" outlineLevel="0" collapsed="false">
      <c r="A2307" s="0" t="s">
        <v>32</v>
      </c>
      <c r="B2307" s="0" t="s">
        <v>33</v>
      </c>
      <c r="C2307" s="0" t="s">
        <v>28</v>
      </c>
      <c r="D2307" s="0" t="s">
        <v>176</v>
      </c>
      <c r="E2307" s="0" t="n">
        <v>49</v>
      </c>
      <c r="F2307" s="0" t="n">
        <v>1</v>
      </c>
      <c r="G2307" s="1"/>
      <c r="H2307" s="1"/>
      <c r="I2307" s="0" t="n">
        <v>39.1</v>
      </c>
      <c r="J2307" s="0" t="n">
        <f aca="false">(I2307/32)*5</f>
        <v>6.109375</v>
      </c>
      <c r="K2307" s="0" t="n">
        <f aca="false">J2307/F2307</f>
        <v>6.109375</v>
      </c>
      <c r="L2307" s="0" t="n">
        <v>22.5</v>
      </c>
      <c r="M2307" s="0" t="n">
        <v>0</v>
      </c>
      <c r="N2307" s="0" t="n">
        <f aca="false">L2307</f>
        <v>22.5</v>
      </c>
      <c r="O2307" s="3" t="n">
        <f aca="false">LOOKUP(L2307,$AB$3:$AC$123)</f>
        <v>1.092175</v>
      </c>
      <c r="P2307" s="3" t="n">
        <f aca="false">(O2307*(N2307/100)*(J2307/1000))*1000</f>
        <v>1.50131399414063</v>
      </c>
      <c r="Q2307" s="3" t="n">
        <f aca="false">P2307/F2307</f>
        <v>1.50131399414063</v>
      </c>
      <c r="R2307" s="3" t="n">
        <v>8</v>
      </c>
      <c r="S2307" s="0" t="n">
        <v>19</v>
      </c>
      <c r="T2307" s="0" t="n">
        <f aca="false">(S2307/32)*5</f>
        <v>2.96875</v>
      </c>
      <c r="U2307" s="0" t="n">
        <f aca="false">T2307/R2307</f>
        <v>0.37109375</v>
      </c>
      <c r="V2307" s="0" t="n">
        <v>24</v>
      </c>
      <c r="W2307" s="0" t="n">
        <v>4</v>
      </c>
      <c r="X2307" s="3" t="n">
        <f aca="false">LOOKUP(V2307,$AB$3:$AC$123)</f>
        <v>1.099</v>
      </c>
      <c r="Y2307" s="2" t="n">
        <f aca="false">(V2307*((W2307+T2307)/1000)*X2307)/((((W2307+T2307)/1000)*X2307)-((W2307/1000)*0.9982))</f>
        <v>50.1404685467413</v>
      </c>
      <c r="Z2307" s="3" t="n">
        <f aca="false">(X2307*(V2307/100)*((W2307+T2307)/1000))*1000</f>
        <v>1.8380775</v>
      </c>
      <c r="AA2307" s="0" t="n">
        <f aca="false">Z2307/R2307</f>
        <v>0.2297596875</v>
      </c>
    </row>
    <row r="2308" customFormat="false" ht="15" hidden="false" customHeight="false" outlineLevel="0" collapsed="false">
      <c r="A2308" s="0" t="s">
        <v>34</v>
      </c>
      <c r="B2308" s="0" t="s">
        <v>35</v>
      </c>
      <c r="C2308" s="0" t="s">
        <v>28</v>
      </c>
      <c r="D2308" s="0" t="s">
        <v>176</v>
      </c>
      <c r="E2308" s="0" t="n">
        <v>49</v>
      </c>
      <c r="F2308" s="0" t="n">
        <v>2</v>
      </c>
      <c r="G2308" s="1"/>
      <c r="H2308" s="1"/>
      <c r="I2308" s="0" t="n">
        <f aca="false">64+21</f>
        <v>85</v>
      </c>
      <c r="J2308" s="0" t="n">
        <f aca="false">(I2308/32)*5</f>
        <v>13.28125</v>
      </c>
      <c r="K2308" s="0" t="n">
        <f aca="false">J2308/F2308</f>
        <v>6.640625</v>
      </c>
      <c r="L2308" s="0" t="n">
        <v>19</v>
      </c>
      <c r="M2308" s="0" t="n">
        <v>0</v>
      </c>
      <c r="N2308" s="0" t="n">
        <f aca="false">L2308</f>
        <v>19</v>
      </c>
      <c r="O2308" s="3" t="n">
        <f aca="false">LOOKUP(L2308,$AB$3:$AC$123)</f>
        <v>1.0765</v>
      </c>
      <c r="P2308" s="3" t="n">
        <f aca="false">(O2308*(N2308/100)*(J2308/1000))*1000</f>
        <v>2.71648046875</v>
      </c>
      <c r="Q2308" s="3" t="n">
        <f aca="false">P2308/F2308</f>
        <v>1.358240234375</v>
      </c>
      <c r="R2308" s="3" t="n">
        <v>4</v>
      </c>
      <c r="S2308" s="0" t="n">
        <v>16</v>
      </c>
      <c r="T2308" s="0" t="n">
        <f aca="false">(S2308/32)*5</f>
        <v>2.5</v>
      </c>
      <c r="U2308" s="0" t="n">
        <f aca="false">T2308/R2308</f>
        <v>0.625</v>
      </c>
      <c r="V2308" s="0" t="n">
        <v>25.5</v>
      </c>
      <c r="W2308" s="0" t="n">
        <v>4</v>
      </c>
      <c r="X2308" s="3" t="n">
        <f aca="false">LOOKUP(V2308,$AB$3:$AC$123)</f>
        <v>1.105825</v>
      </c>
      <c r="Y2308" s="2" t="n">
        <f aca="false">(V2308*((W2308+T2308)/1000)*X2308)/((((W2308+T2308)/1000)*X2308)-((W2308/1000)*0.9982))</f>
        <v>57.3667944680269</v>
      </c>
      <c r="Z2308" s="3" t="n">
        <f aca="false">(X2308*(V2308/100)*((W2308+T2308)/1000))*1000</f>
        <v>1.8329049375</v>
      </c>
      <c r="AA2308" s="0" t="n">
        <f aca="false">Z2308/R2308</f>
        <v>0.458226234375</v>
      </c>
    </row>
    <row r="2309" customFormat="false" ht="15" hidden="false" customHeight="false" outlineLevel="0" collapsed="false">
      <c r="A2309" s="0" t="s">
        <v>36</v>
      </c>
      <c r="B2309" s="0" t="s">
        <v>37</v>
      </c>
      <c r="C2309" s="0" t="s">
        <v>28</v>
      </c>
      <c r="D2309" s="0" t="s">
        <v>176</v>
      </c>
      <c r="E2309" s="0" t="n">
        <v>49</v>
      </c>
      <c r="F2309" s="0" t="n">
        <v>1</v>
      </c>
      <c r="G2309" s="1"/>
      <c r="H2309" s="1"/>
      <c r="I2309" s="0" t="n">
        <f aca="false">32+9.4</f>
        <v>41.4</v>
      </c>
      <c r="J2309" s="0" t="n">
        <f aca="false">(I2309/32)*5</f>
        <v>6.46875</v>
      </c>
      <c r="K2309" s="0" t="n">
        <f aca="false">J2309/F2309</f>
        <v>6.46875</v>
      </c>
      <c r="L2309" s="0" t="n">
        <v>22</v>
      </c>
      <c r="M2309" s="0" t="n">
        <v>0</v>
      </c>
      <c r="N2309" s="0" t="n">
        <f aca="false">L2309</f>
        <v>22</v>
      </c>
      <c r="O2309" s="3" t="n">
        <f aca="false">LOOKUP(L2309,$AB$3:$AC$123)</f>
        <v>1.0899</v>
      </c>
      <c r="P2309" s="3" t="n">
        <f aca="false">(O2309*(N2309/100)*(J2309/1000))*1000</f>
        <v>1.5510639375</v>
      </c>
      <c r="Q2309" s="3" t="n">
        <f aca="false">P2309/F2309</f>
        <v>1.5510639375</v>
      </c>
      <c r="R2309" s="3" t="n">
        <v>1</v>
      </c>
      <c r="S2309" s="0" t="n">
        <v>4.7</v>
      </c>
      <c r="T2309" s="0" t="n">
        <f aca="false">(S2309/32)*5</f>
        <v>0.734375</v>
      </c>
      <c r="U2309" s="0" t="n">
        <f aca="false">T2309/R2309</f>
        <v>0.734375</v>
      </c>
      <c r="V2309" s="0" t="n">
        <v>6</v>
      </c>
      <c r="W2309" s="0" t="n">
        <v>4</v>
      </c>
      <c r="X2309" s="3" t="n">
        <f aca="false">LOOKUP(V2309,$AB$3:$AC$123)</f>
        <v>1.0218</v>
      </c>
      <c r="Y2309" s="2" t="n">
        <f aca="false">(V2309*((W2309+T2309)/1000)*X2309)/((((W2309+T2309)/1000)*X2309)-((W2309/1000)*0.9982))</f>
        <v>34.3584790497575</v>
      </c>
      <c r="Z2309" s="3" t="n">
        <f aca="false">(X2309*(V2309/100)*((W2309+T2309)/1000))*1000</f>
        <v>0.2902550625</v>
      </c>
      <c r="AA2309" s="0" t="n">
        <f aca="false">Z2309/R2309</f>
        <v>0.2902550625</v>
      </c>
    </row>
    <row r="2310" customFormat="false" ht="15" hidden="false" customHeight="false" outlineLevel="0" collapsed="false">
      <c r="A2310" s="0" t="s">
        <v>38</v>
      </c>
      <c r="B2310" s="0" t="s">
        <v>39</v>
      </c>
      <c r="C2310" s="0" t="s">
        <v>28</v>
      </c>
      <c r="D2310" s="0" t="s">
        <v>176</v>
      </c>
      <c r="E2310" s="0" t="n">
        <v>49</v>
      </c>
      <c r="F2310" s="0" t="n">
        <v>1</v>
      </c>
      <c r="G2310" s="1"/>
      <c r="H2310" s="1"/>
      <c r="I2310" s="0" t="n">
        <f aca="false">32-12.4+7</f>
        <v>26.6</v>
      </c>
      <c r="J2310" s="0" t="n">
        <f aca="false">(I2310/32)*5</f>
        <v>4.15625</v>
      </c>
      <c r="K2310" s="0" t="n">
        <f aca="false">J2310/F2310</f>
        <v>4.15625</v>
      </c>
      <c r="L2310" s="0" t="n">
        <v>21</v>
      </c>
      <c r="M2310" s="0" t="n">
        <v>0</v>
      </c>
      <c r="N2310" s="0" t="n">
        <f aca="false">L2310</f>
        <v>21</v>
      </c>
      <c r="O2310" s="3" t="n">
        <f aca="false">LOOKUP(L2310,$AB$3:$AC$123)</f>
        <v>1.08545</v>
      </c>
      <c r="P2310" s="3" t="n">
        <f aca="false">(O2310*(N2310/100)*(J2310/1000))*1000</f>
        <v>0.947394328125</v>
      </c>
      <c r="Q2310" s="3" t="n">
        <f aca="false">P2310/F2310</f>
        <v>0.947394328125</v>
      </c>
      <c r="R2310" s="3" t="n">
        <v>12</v>
      </c>
      <c r="S2310" s="0" t="n">
        <f aca="false">8+25.7</f>
        <v>33.7</v>
      </c>
      <c r="T2310" s="0" t="n">
        <f aca="false">(S2310/32)*5</f>
        <v>5.265625</v>
      </c>
      <c r="U2310" s="0" t="n">
        <f aca="false">T2310/R2310</f>
        <v>0.438802083333333</v>
      </c>
      <c r="V2310" s="0" t="n">
        <v>41.5</v>
      </c>
      <c r="W2310" s="0" t="n">
        <v>4</v>
      </c>
      <c r="X2310" s="3" t="n">
        <f aca="false">LOOKUP(V2310,$AB$3:$AC$123)</f>
        <v>1.18415</v>
      </c>
      <c r="Y2310" s="2" t="n">
        <f aca="false">(V2310*((W2310+T2310)/1000)*X2310)/((((W2310+T2310)/1000)*X2310)-((W2310/1000)*0.9982))</f>
        <v>65.2425228374715</v>
      </c>
      <c r="Z2310" s="3" t="n">
        <f aca="false">(X2310*(V2310/100)*((W2310+T2310)/1000))*1000</f>
        <v>4.55333428515625</v>
      </c>
      <c r="AA2310" s="0" t="n">
        <f aca="false">Z2310/R2310</f>
        <v>0.379444523763021</v>
      </c>
    </row>
    <row r="2311" customFormat="false" ht="15" hidden="false" customHeight="false" outlineLevel="0" collapsed="false">
      <c r="A2311" s="0" t="s">
        <v>40</v>
      </c>
      <c r="B2311" s="0" t="s">
        <v>41</v>
      </c>
      <c r="C2311" s="0" t="s">
        <v>28</v>
      </c>
      <c r="D2311" s="0" t="s">
        <v>176</v>
      </c>
      <c r="E2311" s="0" t="n">
        <v>49</v>
      </c>
      <c r="F2311" s="0" t="n">
        <v>1</v>
      </c>
      <c r="G2311" s="1"/>
      <c r="H2311" s="1"/>
      <c r="I2311" s="0" t="n">
        <f aca="false">32+4.1</f>
        <v>36.1</v>
      </c>
      <c r="J2311" s="0" t="n">
        <f aca="false">(I2311/32)*5</f>
        <v>5.640625</v>
      </c>
      <c r="K2311" s="0" t="n">
        <f aca="false">J2311/F2311</f>
        <v>5.640625</v>
      </c>
      <c r="L2311" s="0" t="n">
        <v>19.5</v>
      </c>
      <c r="M2311" s="0" t="n">
        <v>0</v>
      </c>
      <c r="N2311" s="0" t="n">
        <f aca="false">L2311</f>
        <v>19.5</v>
      </c>
      <c r="O2311" s="3" t="n">
        <f aca="false">LOOKUP(L2311,$AB$3:$AC$123)</f>
        <v>1.07875</v>
      </c>
      <c r="P2311" s="3" t="n">
        <f aca="false">(O2311*(N2311/100)*(J2311/1000))*1000</f>
        <v>1.18654072265625</v>
      </c>
      <c r="Q2311" s="3" t="n">
        <f aca="false">P2311/F2311</f>
        <v>1.18654072265625</v>
      </c>
      <c r="R2311" s="3" t="n">
        <v>4</v>
      </c>
      <c r="S2311" s="0" t="n">
        <v>19.8</v>
      </c>
      <c r="T2311" s="0" t="n">
        <f aca="false">(S2311/32)*5</f>
        <v>3.09375</v>
      </c>
      <c r="U2311" s="0" t="n">
        <f aca="false">T2311/R2311</f>
        <v>0.7734375</v>
      </c>
      <c r="V2311" s="0" t="n">
        <v>25.5</v>
      </c>
      <c r="W2311" s="0" t="n">
        <v>4</v>
      </c>
      <c r="X2311" s="3" t="n">
        <f aca="false">LOOKUP(V2311,$AB$3:$AC$123)</f>
        <v>1.105825</v>
      </c>
      <c r="Y2311" s="2" t="n">
        <f aca="false">(V2311*((W2311+T2311)/1000)*X2311)/((((W2311+T2311)/1000)*X2311)-((W2311/1000)*0.9982))</f>
        <v>51.9345159242994</v>
      </c>
      <c r="Z2311" s="3" t="n">
        <f aca="false">(X2311*(V2311/100)*((W2311+T2311)/1000))*1000</f>
        <v>2.00033375390625</v>
      </c>
      <c r="AA2311" s="0" t="n">
        <f aca="false">Z2311/R2311</f>
        <v>0.500083438476562</v>
      </c>
    </row>
    <row r="2312" customFormat="false" ht="15" hidden="false" customHeight="false" outlineLevel="0" collapsed="false">
      <c r="A2312" s="0" t="s">
        <v>42</v>
      </c>
      <c r="B2312" s="0" t="s">
        <v>43</v>
      </c>
      <c r="C2312" s="0" t="s">
        <v>28</v>
      </c>
      <c r="D2312" s="0" t="s">
        <v>176</v>
      </c>
      <c r="E2312" s="0" t="n">
        <v>49</v>
      </c>
      <c r="F2312" s="0" t="n">
        <v>0</v>
      </c>
      <c r="G2312" s="1"/>
      <c r="H2312" s="1"/>
      <c r="I2312" s="0" t="n">
        <v>0</v>
      </c>
      <c r="L2312" s="0" t="n">
        <v>0</v>
      </c>
      <c r="M2312" s="0" t="n">
        <v>0</v>
      </c>
      <c r="O2312" s="3" t="n">
        <v>0</v>
      </c>
      <c r="P2312" s="3"/>
      <c r="Q2312" s="3"/>
      <c r="R2312" s="3" t="n">
        <v>4</v>
      </c>
      <c r="S2312" s="0" t="n">
        <v>11.6</v>
      </c>
      <c r="T2312" s="0" t="n">
        <f aca="false">(S2312/32)*5</f>
        <v>1.8125</v>
      </c>
      <c r="U2312" s="0" t="n">
        <f aca="false">T2312/R2312</f>
        <v>0.453125</v>
      </c>
      <c r="V2312" s="0" t="n">
        <v>27</v>
      </c>
      <c r="W2312" s="0" t="n">
        <v>4</v>
      </c>
      <c r="X2312" s="3" t="n">
        <f aca="false">LOOKUP(V2312,$AB$3:$AC$123)</f>
        <v>1.1128</v>
      </c>
      <c r="Y2312" s="2" t="n">
        <f aca="false">(V2312*((W2312+T2312)/1000)*X2312)/((((W2312+T2312)/1000)*X2312)-((W2312/1000)*0.9982))</f>
        <v>70.5516593613025</v>
      </c>
      <c r="Z2312" s="3" t="n">
        <f aca="false">(X2312*(V2312/100)*((W2312+T2312)/1000))*1000</f>
        <v>1.7464005</v>
      </c>
      <c r="AA2312" s="0" t="n">
        <f aca="false">Z2312/R2312</f>
        <v>0.436600125</v>
      </c>
    </row>
    <row r="2313" customFormat="false" ht="15" hidden="false" customHeight="false" outlineLevel="0" collapsed="false">
      <c r="A2313" s="0" t="s">
        <v>44</v>
      </c>
      <c r="B2313" s="0" t="s">
        <v>45</v>
      </c>
      <c r="C2313" s="0" t="s">
        <v>28</v>
      </c>
      <c r="D2313" s="0" t="s">
        <v>176</v>
      </c>
      <c r="E2313" s="0" t="n">
        <v>49</v>
      </c>
      <c r="F2313" s="0" t="n">
        <v>0</v>
      </c>
      <c r="G2313" s="1"/>
      <c r="H2313" s="1"/>
      <c r="I2313" s="0" t="n">
        <v>0</v>
      </c>
      <c r="L2313" s="0" t="n">
        <v>0</v>
      </c>
      <c r="M2313" s="0" t="n">
        <v>0</v>
      </c>
      <c r="O2313" s="3" t="n">
        <v>0</v>
      </c>
      <c r="P2313" s="3"/>
      <c r="Q2313" s="3"/>
      <c r="R2313" s="3" t="n">
        <v>3</v>
      </c>
      <c r="S2313" s="0" t="n">
        <v>6</v>
      </c>
      <c r="T2313" s="0" t="n">
        <f aca="false">(S2313/32)*5</f>
        <v>0.9375</v>
      </c>
      <c r="U2313" s="0" t="n">
        <f aca="false">T2313/R2313</f>
        <v>0.3125</v>
      </c>
      <c r="V2313" s="0" t="n">
        <v>7.5</v>
      </c>
      <c r="W2313" s="0" t="n">
        <v>4</v>
      </c>
      <c r="X2313" s="3" t="n">
        <f aca="false">LOOKUP(V2313,$AB$3:$AC$123)</f>
        <v>1.0279</v>
      </c>
      <c r="Y2313" s="2" t="n">
        <f aca="false">(V2313*((W2313+T2313)/1000)*X2313)/((((W2313+T2313)/1000)*X2313)-((W2313/1000)*0.9982))</f>
        <v>35.1648594342728</v>
      </c>
      <c r="Z2313" s="3" t="n">
        <f aca="false">(X2313*(V2313/100)*((W2313+T2313)/1000))*1000</f>
        <v>0.38064421875</v>
      </c>
      <c r="AA2313" s="0" t="n">
        <f aca="false">Z2313/R2313</f>
        <v>0.12688140625</v>
      </c>
    </row>
    <row r="2314" customFormat="false" ht="15" hidden="false" customHeight="false" outlineLevel="0" collapsed="false">
      <c r="A2314" s="0" t="s">
        <v>46</v>
      </c>
      <c r="B2314" s="0" t="s">
        <v>47</v>
      </c>
      <c r="C2314" s="0" t="s">
        <v>28</v>
      </c>
      <c r="D2314" s="0" t="s">
        <v>176</v>
      </c>
      <c r="E2314" s="0" t="n">
        <v>49</v>
      </c>
      <c r="F2314" s="0" t="n">
        <v>1</v>
      </c>
      <c r="G2314" s="1"/>
      <c r="H2314" s="1"/>
      <c r="I2314" s="0" t="n">
        <f aca="false">32+9.8</f>
        <v>41.8</v>
      </c>
      <c r="J2314" s="0" t="n">
        <f aca="false">(I2314/32)*5</f>
        <v>6.53125</v>
      </c>
      <c r="K2314" s="0" t="n">
        <f aca="false">J2314/F2314</f>
        <v>6.53125</v>
      </c>
      <c r="L2314" s="0" t="n">
        <v>21.5</v>
      </c>
      <c r="M2314" s="0" t="n">
        <v>0</v>
      </c>
      <c r="N2314" s="0" t="n">
        <f aca="false">L2314</f>
        <v>21.5</v>
      </c>
      <c r="O2314" s="3" t="n">
        <f aca="false">LOOKUP(L2314,$AB$3:$AC$123)</f>
        <v>1.087675</v>
      </c>
      <c r="P2314" s="3" t="n">
        <f aca="false">(O2314*(N2314/100)*(J2314/1000))*1000</f>
        <v>1.52733362890625</v>
      </c>
      <c r="Q2314" s="3" t="n">
        <f aca="false">P2314/F2314</f>
        <v>1.52733362890625</v>
      </c>
      <c r="R2314" s="3" t="n">
        <v>3</v>
      </c>
      <c r="S2314" s="0" t="n">
        <v>5.1</v>
      </c>
      <c r="T2314" s="0" t="n">
        <f aca="false">(S2314/32)*5</f>
        <v>0.796875</v>
      </c>
      <c r="U2314" s="0" t="n">
        <f aca="false">T2314/R2314</f>
        <v>0.265625</v>
      </c>
      <c r="V2314" s="0" t="n">
        <v>11</v>
      </c>
      <c r="W2314" s="0" t="n">
        <v>4</v>
      </c>
      <c r="X2314" s="3" t="n">
        <f aca="false">LOOKUP(V2314,$AB$3:$AC$123)</f>
        <v>1.0423</v>
      </c>
      <c r="Y2314" s="2" t="n">
        <f aca="false">(V2314*((W2314+T2314)/1000)*X2314)/((((W2314+T2314)/1000)*X2314)-((W2314/1000)*0.9982))</f>
        <v>54.616236002042</v>
      </c>
      <c r="Z2314" s="3" t="n">
        <f aca="false">(X2314*(V2314/100)*((W2314+T2314)/1000))*1000</f>
        <v>0.549976109375</v>
      </c>
      <c r="AA2314" s="0" t="n">
        <f aca="false">Z2314/R2314</f>
        <v>0.183325369791667</v>
      </c>
    </row>
    <row r="2315" customFormat="false" ht="15" hidden="false" customHeight="false" outlineLevel="0" collapsed="false">
      <c r="A2315" s="0" t="s">
        <v>48</v>
      </c>
      <c r="B2315" s="0" t="s">
        <v>49</v>
      </c>
      <c r="C2315" s="0" t="s">
        <v>28</v>
      </c>
      <c r="D2315" s="0" t="s">
        <v>176</v>
      </c>
      <c r="E2315" s="0" t="n">
        <v>49</v>
      </c>
      <c r="F2315" s="0" t="n">
        <v>0</v>
      </c>
      <c r="G2315" s="1"/>
      <c r="H2315" s="1"/>
      <c r="I2315" s="0" t="n">
        <v>0</v>
      </c>
      <c r="L2315" s="0" t="n">
        <v>0</v>
      </c>
      <c r="M2315" s="0" t="n">
        <v>0</v>
      </c>
      <c r="O2315" s="3" t="n">
        <v>0</v>
      </c>
      <c r="P2315" s="3"/>
      <c r="Q2315" s="3"/>
      <c r="R2315" s="3" t="n">
        <v>3</v>
      </c>
      <c r="S2315" s="0" t="n">
        <v>8.4</v>
      </c>
      <c r="T2315" s="0" t="n">
        <f aca="false">(S2315/32)*5</f>
        <v>1.3125</v>
      </c>
      <c r="U2315" s="0" t="n">
        <f aca="false">T2315/R2315</f>
        <v>0.4375</v>
      </c>
      <c r="V2315" s="0" t="n">
        <v>9.5</v>
      </c>
      <c r="W2315" s="0" t="n">
        <v>4</v>
      </c>
      <c r="X2315" s="3" t="n">
        <f aca="false">LOOKUP(V2315,$AB$3:$AC$123)</f>
        <v>1.0361</v>
      </c>
      <c r="Y2315" s="2" t="n">
        <f aca="false">(V2315*((W2315+T2315)/1000)*X2315)/((((W2315+T2315)/1000)*X2315)-((W2315/1000)*0.9982))</f>
        <v>34.5956470680665</v>
      </c>
      <c r="Z2315" s="3" t="n">
        <f aca="false">(X2315*(V2315/100)*((W2315+T2315)/1000))*1000</f>
        <v>0.52290671875</v>
      </c>
      <c r="AA2315" s="0" t="n">
        <f aca="false">Z2315/R2315</f>
        <v>0.174302239583333</v>
      </c>
    </row>
    <row r="2316" customFormat="false" ht="15" hidden="false" customHeight="false" outlineLevel="0" collapsed="false">
      <c r="A2316" s="0" t="s">
        <v>50</v>
      </c>
      <c r="B2316" s="0" t="s">
        <v>51</v>
      </c>
      <c r="C2316" s="0" t="s">
        <v>28</v>
      </c>
      <c r="D2316" s="0" t="s">
        <v>176</v>
      </c>
      <c r="E2316" s="0" t="n">
        <v>49</v>
      </c>
      <c r="F2316" s="0" t="n">
        <v>0</v>
      </c>
      <c r="G2316" s="1"/>
      <c r="H2316" s="1"/>
      <c r="I2316" s="0" t="n">
        <v>0</v>
      </c>
      <c r="L2316" s="0" t="n">
        <v>0</v>
      </c>
      <c r="M2316" s="0" t="n">
        <v>0</v>
      </c>
      <c r="O2316" s="3" t="n">
        <v>0</v>
      </c>
      <c r="P2316" s="3"/>
      <c r="Q2316" s="3"/>
      <c r="R2316" s="3" t="n">
        <v>2</v>
      </c>
      <c r="S2316" s="0" t="n">
        <v>5.4</v>
      </c>
      <c r="T2316" s="0" t="n">
        <f aca="false">(S2316/32)*5</f>
        <v>0.84375</v>
      </c>
      <c r="U2316" s="0" t="n">
        <f aca="false">T2316/R2316</f>
        <v>0.421875</v>
      </c>
      <c r="V2316" s="0" t="n">
        <v>10.5</v>
      </c>
      <c r="W2316" s="0" t="n">
        <v>4</v>
      </c>
      <c r="X2316" s="3" t="n">
        <f aca="false">LOOKUP(V2316,$AB$3:$AC$123)</f>
        <v>1.0402</v>
      </c>
      <c r="Y2316" s="2" t="n">
        <f aca="false">(V2316*((W2316+T2316)/1000)*X2316)/((((W2316+T2316)/1000)*X2316)-((W2316/1000)*0.9982))</f>
        <v>50.5933852140078</v>
      </c>
      <c r="Z2316" s="3" t="n">
        <f aca="false">(X2316*(V2316/100)*((W2316+T2316)/1000))*1000</f>
        <v>0.52903921875</v>
      </c>
      <c r="AA2316" s="0" t="n">
        <f aca="false">Z2316/R2316</f>
        <v>0.264519609375</v>
      </c>
    </row>
    <row r="2317" customFormat="false" ht="15" hidden="false" customHeight="false" outlineLevel="0" collapsed="false">
      <c r="A2317" s="0" t="s">
        <v>52</v>
      </c>
      <c r="B2317" s="0" t="s">
        <v>53</v>
      </c>
      <c r="C2317" s="0" t="s">
        <v>28</v>
      </c>
      <c r="D2317" s="0" t="s">
        <v>176</v>
      </c>
      <c r="E2317" s="0" t="n">
        <v>49</v>
      </c>
      <c r="F2317" s="0" t="n">
        <v>0</v>
      </c>
      <c r="G2317" s="1"/>
      <c r="H2317" s="1"/>
      <c r="I2317" s="0" t="n">
        <v>0</v>
      </c>
      <c r="L2317" s="0" t="n">
        <v>0</v>
      </c>
      <c r="M2317" s="0" t="n">
        <v>0</v>
      </c>
      <c r="O2317" s="3" t="n">
        <v>0</v>
      </c>
      <c r="P2317" s="3"/>
      <c r="Q2317" s="3"/>
      <c r="R2317" s="3" t="n">
        <v>1</v>
      </c>
      <c r="S2317" s="0" t="n">
        <v>1.7</v>
      </c>
      <c r="T2317" s="0" t="n">
        <f aca="false">(S2317/32)*5</f>
        <v>0.265625</v>
      </c>
      <c r="U2317" s="0" t="n">
        <f aca="false">T2317/R2317</f>
        <v>0.265625</v>
      </c>
      <c r="V2317" s="0" t="n">
        <v>3.5</v>
      </c>
      <c r="W2317" s="0" t="n">
        <v>2</v>
      </c>
      <c r="X2317" s="3" t="n">
        <f aca="false">LOOKUP(V2317,$AB$3:$AC$123)</f>
        <v>1.0119</v>
      </c>
      <c r="Y2317" s="2" t="n">
        <f aca="false">(V2317*((W2317+T2317)/1000)*X2317)/((((W2317+T2317)/1000)*X2317)-((W2317/1000)*0.9982))</f>
        <v>27.0912618234956</v>
      </c>
      <c r="Z2317" s="3" t="n">
        <f aca="false">(X2317*(V2317/100)*((W2317+T2317)/1000))*1000</f>
        <v>0.0802405078125</v>
      </c>
      <c r="AA2317" s="0" t="n">
        <f aca="false">Z2317/R2317</f>
        <v>0.0802405078125</v>
      </c>
    </row>
    <row r="2318" customFormat="false" ht="15" hidden="false" customHeight="false" outlineLevel="0" collapsed="false">
      <c r="A2318" s="0" t="s">
        <v>54</v>
      </c>
      <c r="B2318" s="0" t="s">
        <v>55</v>
      </c>
      <c r="C2318" s="0" t="s">
        <v>56</v>
      </c>
      <c r="D2318" s="0" t="s">
        <v>176</v>
      </c>
      <c r="E2318" s="0" t="n">
        <v>49</v>
      </c>
      <c r="F2318" s="0" t="n">
        <v>1</v>
      </c>
      <c r="G2318" s="1"/>
      <c r="H2318" s="1"/>
      <c r="I2318" s="0" t="n">
        <f aca="false">32+10.4</f>
        <v>42.4</v>
      </c>
      <c r="J2318" s="0" t="n">
        <f aca="false">(I2318/32)*5</f>
        <v>6.625</v>
      </c>
      <c r="K2318" s="0" t="n">
        <f aca="false">J2318/F2318</f>
        <v>6.625</v>
      </c>
      <c r="L2318" s="0" t="n">
        <v>22.5</v>
      </c>
      <c r="M2318" s="0" t="n">
        <v>0</v>
      </c>
      <c r="N2318" s="0" t="n">
        <f aca="false">L2318</f>
        <v>22.5</v>
      </c>
      <c r="O2318" s="3" t="n">
        <f aca="false">LOOKUP(L2318,$AB$3:$AC$123)</f>
        <v>1.092175</v>
      </c>
      <c r="P2318" s="3" t="n">
        <f aca="false">(O2318*(N2318/100)*(J2318/1000))*1000</f>
        <v>1.628023359375</v>
      </c>
      <c r="Q2318" s="3" t="n">
        <f aca="false">P2318/F2318</f>
        <v>1.628023359375</v>
      </c>
      <c r="R2318" s="3" t="n">
        <v>6</v>
      </c>
      <c r="S2318" s="0" t="n">
        <v>9.8</v>
      </c>
      <c r="T2318" s="0" t="n">
        <f aca="false">(S2318/32)*5</f>
        <v>1.53125</v>
      </c>
      <c r="U2318" s="0" t="n">
        <f aca="false">T2318/R2318</f>
        <v>0.255208333333333</v>
      </c>
      <c r="V2318" s="0" t="n">
        <v>19</v>
      </c>
      <c r="W2318" s="0" t="n">
        <v>4</v>
      </c>
      <c r="X2318" s="3" t="n">
        <f aca="false">LOOKUP(V2318,$AB$3:$AC$123)</f>
        <v>1.0765</v>
      </c>
      <c r="Y2318" s="2" t="n">
        <f aca="false">(V2318*((W2318+T2318)/1000)*X2318)/((((W2318+T2318)/1000)*X2318)-((W2318/1000)*0.9982))</f>
        <v>57.674328391022</v>
      </c>
      <c r="Z2318" s="3" t="n">
        <f aca="false">(X2318*(V2318/100)*((W2318+T2318)/1000))*1000</f>
        <v>1.13133421875</v>
      </c>
      <c r="AA2318" s="0" t="n">
        <f aca="false">Z2318/R2318</f>
        <v>0.188555703125</v>
      </c>
    </row>
    <row r="2319" customFormat="false" ht="15" hidden="false" customHeight="false" outlineLevel="0" collapsed="false">
      <c r="A2319" s="0" t="s">
        <v>57</v>
      </c>
      <c r="B2319" s="0" t="s">
        <v>58</v>
      </c>
      <c r="C2319" s="0" t="s">
        <v>56</v>
      </c>
      <c r="D2319" s="0" t="s">
        <v>176</v>
      </c>
      <c r="E2319" s="0" t="n">
        <v>49</v>
      </c>
      <c r="F2319" s="0" t="n">
        <v>0</v>
      </c>
      <c r="G2319" s="1"/>
      <c r="H2319" s="1"/>
      <c r="I2319" s="0" t="n">
        <v>0</v>
      </c>
      <c r="L2319" s="0" t="n">
        <v>0</v>
      </c>
      <c r="M2319" s="0" t="n">
        <v>0</v>
      </c>
      <c r="O2319" s="3" t="n">
        <v>0</v>
      </c>
      <c r="P2319" s="3"/>
      <c r="Q2319" s="3"/>
      <c r="R2319" s="3" t="n">
        <v>5</v>
      </c>
      <c r="S2319" s="0" t="n">
        <v>20.4</v>
      </c>
      <c r="T2319" s="0" t="n">
        <f aca="false">(S2319/32)*5</f>
        <v>3.1875</v>
      </c>
      <c r="U2319" s="0" t="n">
        <f aca="false">T2319/R2319</f>
        <v>0.6375</v>
      </c>
      <c r="V2319" s="0" t="n">
        <v>33.5</v>
      </c>
      <c r="W2319" s="0" t="n">
        <v>4</v>
      </c>
      <c r="X2319" s="3" t="n">
        <f aca="false">LOOKUP(V2319,$AB$3:$AC$123)</f>
        <v>1.14395</v>
      </c>
      <c r="Y2319" s="2" t="n">
        <f aca="false">(V2319*((W2319+T2319)/1000)*X2319)/((((W2319+T2319)/1000)*X2319)-((W2319/1000)*0.9982))</f>
        <v>65.1263956630355</v>
      </c>
      <c r="Z2319" s="3" t="n">
        <f aca="false">(X2319*(V2319/100)*((W2319+T2319)/1000))*1000</f>
        <v>2.754417109375</v>
      </c>
      <c r="AA2319" s="0" t="n">
        <f aca="false">Z2319/R2319</f>
        <v>0.550883421875</v>
      </c>
    </row>
    <row r="2320" customFormat="false" ht="15" hidden="false" customHeight="false" outlineLevel="0" collapsed="false">
      <c r="A2320" s="0" t="s">
        <v>59</v>
      </c>
      <c r="B2320" s="0" t="s">
        <v>60</v>
      </c>
      <c r="C2320" s="0" t="s">
        <v>56</v>
      </c>
      <c r="D2320" s="0" t="s">
        <v>176</v>
      </c>
      <c r="E2320" s="0" t="n">
        <v>49</v>
      </c>
      <c r="F2320" s="0" t="n">
        <v>0</v>
      </c>
      <c r="G2320" s="1"/>
      <c r="H2320" s="1"/>
      <c r="I2320" s="0" t="n">
        <v>0</v>
      </c>
      <c r="L2320" s="0" t="n">
        <v>0</v>
      </c>
      <c r="M2320" s="0" t="n">
        <v>0</v>
      </c>
      <c r="O2320" s="3" t="n">
        <v>0</v>
      </c>
      <c r="P2320" s="3"/>
      <c r="Q2320" s="3"/>
      <c r="R2320" s="3" t="n">
        <v>7</v>
      </c>
      <c r="S2320" s="0" t="n">
        <v>26.7</v>
      </c>
      <c r="T2320" s="0" t="n">
        <f aca="false">(S2320/32)*5</f>
        <v>4.171875</v>
      </c>
      <c r="U2320" s="0" t="n">
        <f aca="false">T2320/R2320</f>
        <v>0.595982142857143</v>
      </c>
      <c r="V2320" s="0" t="n">
        <v>33</v>
      </c>
      <c r="W2320" s="0" t="n">
        <v>4</v>
      </c>
      <c r="X2320" s="3" t="n">
        <f aca="false">LOOKUP(V2320,$AB$3:$AC$123)</f>
        <v>1.1415</v>
      </c>
      <c r="Y2320" s="2" t="n">
        <f aca="false">(V2320*((W2320+T2320)/1000)*X2320)/((((W2320+T2320)/1000)*X2320)-((W2320/1000)*0.9982))</f>
        <v>57.6959020433409</v>
      </c>
      <c r="Z2320" s="3" t="n">
        <f aca="false">(X2320*(V2320/100)*((W2320+T2320)/1000))*1000</f>
        <v>3.078304453125</v>
      </c>
      <c r="AA2320" s="0" t="n">
        <f aca="false">Z2320/R2320</f>
        <v>0.439757779017857</v>
      </c>
    </row>
    <row r="2321" customFormat="false" ht="15" hidden="false" customHeight="false" outlineLevel="0" collapsed="false">
      <c r="A2321" s="0" t="s">
        <v>61</v>
      </c>
      <c r="B2321" s="0" t="s">
        <v>62</v>
      </c>
      <c r="C2321" s="0" t="s">
        <v>56</v>
      </c>
      <c r="D2321" s="0" t="s">
        <v>176</v>
      </c>
      <c r="E2321" s="0" t="n">
        <v>49</v>
      </c>
      <c r="F2321" s="0" t="n">
        <v>0</v>
      </c>
      <c r="G2321" s="1"/>
      <c r="H2321" s="1"/>
      <c r="I2321" s="0" t="n">
        <v>0</v>
      </c>
      <c r="L2321" s="0" t="n">
        <v>0</v>
      </c>
      <c r="M2321" s="0" t="n">
        <v>0</v>
      </c>
      <c r="O2321" s="3" t="n">
        <v>0</v>
      </c>
      <c r="P2321" s="3"/>
      <c r="Q2321" s="3"/>
      <c r="R2321" s="3" t="n">
        <v>6</v>
      </c>
      <c r="S2321" s="0" t="n">
        <v>16.1</v>
      </c>
      <c r="T2321" s="0" t="n">
        <f aca="false">(S2321/32)*5</f>
        <v>2.515625</v>
      </c>
      <c r="U2321" s="0" t="n">
        <f aca="false">T2321/R2321</f>
        <v>0.419270833333333</v>
      </c>
      <c r="V2321" s="0" t="n">
        <v>41.5</v>
      </c>
      <c r="W2321" s="0" t="n">
        <v>4</v>
      </c>
      <c r="X2321" s="3" t="n">
        <f aca="false">LOOKUP(V2321,$AB$3:$AC$123)</f>
        <v>1.18415</v>
      </c>
      <c r="Y2321" s="2" t="n">
        <f aca="false">(V2321*((W2321+T2321)/1000)*X2321)/((((W2321+T2321)/1000)*X2321)-((W2321/1000)*0.9982))</f>
        <v>86.011297837347</v>
      </c>
      <c r="Z2321" s="3" t="n">
        <f aca="false">(X2321*(V2321/100)*((W2321+T2321)/1000))*1000</f>
        <v>3.20192309765625</v>
      </c>
      <c r="AA2321" s="0" t="n">
        <f aca="false">Z2321/R2321</f>
        <v>0.533653849609375</v>
      </c>
    </row>
    <row r="2322" customFormat="false" ht="15" hidden="false" customHeight="false" outlineLevel="0" collapsed="false">
      <c r="A2322" s="0" t="s">
        <v>63</v>
      </c>
      <c r="B2322" s="0" t="s">
        <v>64</v>
      </c>
      <c r="C2322" s="0" t="s">
        <v>56</v>
      </c>
      <c r="D2322" s="0" t="s">
        <v>176</v>
      </c>
      <c r="E2322" s="0" t="n">
        <v>49</v>
      </c>
      <c r="F2322" s="0" t="n">
        <v>0</v>
      </c>
      <c r="G2322" s="1"/>
      <c r="H2322" s="1"/>
      <c r="I2322" s="0" t="n">
        <v>0</v>
      </c>
      <c r="L2322" s="0" t="n">
        <v>0</v>
      </c>
      <c r="M2322" s="0" t="n">
        <v>0</v>
      </c>
      <c r="O2322" s="3" t="n">
        <v>0</v>
      </c>
      <c r="P2322" s="3"/>
      <c r="Q2322" s="3"/>
      <c r="R2322" s="3" t="n">
        <v>1</v>
      </c>
      <c r="S2322" s="0" t="n">
        <v>1.3</v>
      </c>
      <c r="T2322" s="0" t="n">
        <f aca="false">(S2322/32)*5</f>
        <v>0.203125</v>
      </c>
      <c r="U2322" s="0" t="n">
        <f aca="false">T2322/R2322</f>
        <v>0.203125</v>
      </c>
      <c r="V2322" s="0" t="n">
        <v>6</v>
      </c>
      <c r="W2322" s="0" t="n">
        <v>2</v>
      </c>
      <c r="X2322" s="3" t="n">
        <f aca="false">LOOKUP(V2322,$AB$3:$AC$123)</f>
        <v>1.0218</v>
      </c>
      <c r="Y2322" s="2" t="n">
        <f aca="false">(V2322*((W2322+T2322)/1000)*X2322)/((((W2322+T2322)/1000)*X2322)-((W2322/1000)*0.9982))</f>
        <v>53.0196391113946</v>
      </c>
      <c r="Z2322" s="3" t="n">
        <f aca="false">(X2322*(V2322/100)*((W2322+T2322)/1000))*1000</f>
        <v>0.1350691875</v>
      </c>
      <c r="AA2322" s="0" t="n">
        <f aca="false">Z2322/R2322</f>
        <v>0.1350691875</v>
      </c>
    </row>
    <row r="2323" customFormat="false" ht="15" hidden="false" customHeight="false" outlineLevel="0" collapsed="false">
      <c r="A2323" s="0" t="s">
        <v>65</v>
      </c>
      <c r="B2323" s="0" t="s">
        <v>66</v>
      </c>
      <c r="C2323" s="0" t="s">
        <v>56</v>
      </c>
      <c r="D2323" s="0" t="s">
        <v>176</v>
      </c>
      <c r="E2323" s="0" t="n">
        <v>49</v>
      </c>
      <c r="F2323" s="0" t="n">
        <v>3</v>
      </c>
      <c r="G2323" s="1"/>
      <c r="H2323" s="1"/>
      <c r="I2323" s="0" t="n">
        <f aca="false">32*5+23</f>
        <v>183</v>
      </c>
      <c r="J2323" s="0" t="n">
        <f aca="false">(I2323/32)*5</f>
        <v>28.59375</v>
      </c>
      <c r="K2323" s="0" t="n">
        <f aca="false">J2323/F2323</f>
        <v>9.53125</v>
      </c>
      <c r="L2323" s="0" t="n">
        <v>22</v>
      </c>
      <c r="M2323" s="0" t="n">
        <v>0</v>
      </c>
      <c r="N2323" s="0" t="n">
        <f aca="false">L2323</f>
        <v>22</v>
      </c>
      <c r="O2323" s="3" t="n">
        <f aca="false">LOOKUP(L2323,$AB$3:$AC$123)</f>
        <v>1.0899</v>
      </c>
      <c r="P2323" s="3" t="n">
        <f aca="false">(O2323*(N2323/100)*(J2323/1000))*1000</f>
        <v>6.8561521875</v>
      </c>
      <c r="Q2323" s="3" t="n">
        <f aca="false">P2323/F2323</f>
        <v>2.2853840625</v>
      </c>
      <c r="R2323" s="3" t="n">
        <v>14</v>
      </c>
      <c r="S2323" s="0" t="n">
        <f aca="false">32+14.4</f>
        <v>46.4</v>
      </c>
      <c r="T2323" s="0" t="n">
        <f aca="false">(S2323/32)*5</f>
        <v>7.25</v>
      </c>
      <c r="U2323" s="0" t="n">
        <f aca="false">T2323/R2323</f>
        <v>0.517857142857143</v>
      </c>
      <c r="V2323" s="0" t="n">
        <v>33.5</v>
      </c>
      <c r="W2323" s="0" t="n">
        <v>8</v>
      </c>
      <c r="X2323" s="3" t="n">
        <f aca="false">LOOKUP(V2323,$AB$3:$AC$123)</f>
        <v>1.14395</v>
      </c>
      <c r="Y2323" s="2" t="n">
        <f aca="false">(V2323*((W2323+T2323)/1000)*X2323)/((((W2323+T2323)/1000)*X2323)-((W2323/1000)*0.9982))</f>
        <v>61.7798997318872</v>
      </c>
      <c r="Z2323" s="3" t="n">
        <f aca="false">(X2323*(V2323/100)*((W2323+T2323)/1000))*1000</f>
        <v>5.8441545625</v>
      </c>
      <c r="AA2323" s="0" t="n">
        <f aca="false">Z2323/R2323</f>
        <v>0.417439611607143</v>
      </c>
    </row>
    <row r="2324" customFormat="false" ht="15" hidden="false" customHeight="false" outlineLevel="0" collapsed="false">
      <c r="A2324" s="0" t="s">
        <v>67</v>
      </c>
      <c r="B2324" s="0" t="s">
        <v>68</v>
      </c>
      <c r="C2324" s="0" t="s">
        <v>56</v>
      </c>
      <c r="D2324" s="0" t="s">
        <v>176</v>
      </c>
      <c r="E2324" s="0" t="n">
        <v>49</v>
      </c>
      <c r="F2324" s="0" t="n">
        <v>0</v>
      </c>
      <c r="G2324" s="1"/>
      <c r="H2324" s="1"/>
      <c r="I2324" s="0" t="n">
        <v>0</v>
      </c>
      <c r="L2324" s="0" t="n">
        <v>0</v>
      </c>
      <c r="M2324" s="0" t="n">
        <v>0</v>
      </c>
      <c r="O2324" s="3" t="n">
        <v>0</v>
      </c>
      <c r="P2324" s="3"/>
      <c r="Q2324" s="3"/>
      <c r="R2324" s="3" t="n">
        <v>4</v>
      </c>
      <c r="S2324" s="0" t="n">
        <v>20.1</v>
      </c>
      <c r="T2324" s="0" t="n">
        <f aca="false">(S2324/32)*5</f>
        <v>3.140625</v>
      </c>
      <c r="U2324" s="0" t="n">
        <f aca="false">T2324/R2324</f>
        <v>0.78515625</v>
      </c>
      <c r="V2324" s="0" t="n">
        <v>34.5</v>
      </c>
      <c r="W2324" s="0" t="n">
        <v>4</v>
      </c>
      <c r="X2324" s="3" t="n">
        <f aca="false">LOOKUP(V2324,$AB$3:$AC$123)</f>
        <v>1.14885</v>
      </c>
      <c r="Y2324" s="2" t="n">
        <f aca="false">(V2324*((W2324+T2324)/1000)*X2324)/((((W2324+T2324)/1000)*X2324)-((W2324/1000)*0.9982))</f>
        <v>67.2146008918856</v>
      </c>
      <c r="Z2324" s="3" t="n">
        <f aca="false">(X2324*(V2324/100)*((W2324+T2324)/1000))*1000</f>
        <v>2.83020992578125</v>
      </c>
      <c r="AA2324" s="0" t="n">
        <f aca="false">Z2324/R2324</f>
        <v>0.707552481445312</v>
      </c>
    </row>
    <row r="2325" customFormat="false" ht="15" hidden="false" customHeight="false" outlineLevel="0" collapsed="false">
      <c r="A2325" s="0" t="s">
        <v>69</v>
      </c>
      <c r="B2325" s="0" t="s">
        <v>70</v>
      </c>
      <c r="C2325" s="0" t="s">
        <v>56</v>
      </c>
      <c r="D2325" s="0" t="s">
        <v>176</v>
      </c>
      <c r="E2325" s="0" t="n">
        <v>49</v>
      </c>
      <c r="F2325" s="0" t="n">
        <v>1</v>
      </c>
      <c r="G2325" s="1"/>
      <c r="H2325" s="1"/>
      <c r="I2325" s="0" t="n">
        <f aca="false">32*2+9.4</f>
        <v>73.4</v>
      </c>
      <c r="J2325" s="0" t="n">
        <f aca="false">(I2325/32)*5</f>
        <v>11.46875</v>
      </c>
      <c r="K2325" s="0" t="n">
        <f aca="false">J2325/F2325</f>
        <v>11.46875</v>
      </c>
      <c r="L2325" s="0" t="n">
        <v>20.5</v>
      </c>
      <c r="M2325" s="0" t="n">
        <v>0</v>
      </c>
      <c r="N2325" s="0" t="n">
        <f aca="false">L2325</f>
        <v>20.5</v>
      </c>
      <c r="O2325" s="3" t="n">
        <f aca="false">LOOKUP(L2325,$AB$3:$AC$123)</f>
        <v>1.083225</v>
      </c>
      <c r="P2325" s="3" t="n">
        <f aca="false">(O2325*(N2325/100)*(J2325/1000))*1000</f>
        <v>2.54676352734375</v>
      </c>
      <c r="Q2325" s="3" t="n">
        <f aca="false">P2325/F2325</f>
        <v>2.54676352734375</v>
      </c>
      <c r="R2325" s="3" t="n">
        <v>7</v>
      </c>
      <c r="S2325" s="0" t="n">
        <v>16.3</v>
      </c>
      <c r="T2325" s="0" t="n">
        <f aca="false">(S2325/32)*5</f>
        <v>2.546875</v>
      </c>
      <c r="U2325" s="0" t="n">
        <f aca="false">T2325/R2325</f>
        <v>0.363839285714286</v>
      </c>
      <c r="V2325" s="0" t="n">
        <v>25</v>
      </c>
      <c r="W2325" s="0" t="n">
        <v>4</v>
      </c>
      <c r="X2325" s="3" t="n">
        <f aca="false">LOOKUP(V2325,$AB$3:$AC$123)</f>
        <v>1.10355</v>
      </c>
      <c r="Y2325" s="2" t="n">
        <f aca="false">(V2325*((W2325+T2325)/1000)*X2325)/((((W2325+T2325)/1000)*X2325)-((W2325/1000)*0.9982))</f>
        <v>55.8848636621291</v>
      </c>
      <c r="Z2325" s="3" t="n">
        <f aca="false">(X2325*(V2325/100)*((W2325+T2325)/1000))*1000</f>
        <v>1.8062009765625</v>
      </c>
      <c r="AA2325" s="0" t="n">
        <f aca="false">Z2325/R2325</f>
        <v>0.2580287109375</v>
      </c>
    </row>
    <row r="2326" customFormat="false" ht="15" hidden="false" customHeight="false" outlineLevel="0" collapsed="false">
      <c r="A2326" s="0" t="s">
        <v>71</v>
      </c>
      <c r="B2326" s="0" t="s">
        <v>72</v>
      </c>
      <c r="C2326" s="0" t="s">
        <v>56</v>
      </c>
      <c r="D2326" s="0" t="s">
        <v>176</v>
      </c>
      <c r="E2326" s="0" t="n">
        <v>49</v>
      </c>
      <c r="F2326" s="0" t="n">
        <v>0</v>
      </c>
      <c r="G2326" s="1"/>
      <c r="H2326" s="1"/>
      <c r="I2326" s="0" t="n">
        <v>0</v>
      </c>
      <c r="L2326" s="0" t="n">
        <v>0</v>
      </c>
      <c r="M2326" s="0" t="n">
        <v>0</v>
      </c>
      <c r="O2326" s="3" t="n">
        <v>0</v>
      </c>
      <c r="P2326" s="3"/>
      <c r="Q2326" s="3"/>
      <c r="R2326" s="3" t="n">
        <v>4</v>
      </c>
      <c r="S2326" s="0" t="n">
        <v>20</v>
      </c>
      <c r="T2326" s="0" t="n">
        <f aca="false">(S2326/32)*5</f>
        <v>3.125</v>
      </c>
      <c r="U2326" s="0" t="n">
        <f aca="false">T2326/R2326</f>
        <v>0.78125</v>
      </c>
      <c r="V2326" s="0" t="n">
        <v>34.5</v>
      </c>
      <c r="W2326" s="0" t="n">
        <v>4</v>
      </c>
      <c r="X2326" s="3" t="n">
        <f aca="false">LOOKUP(V2326,$AB$3:$AC$123)</f>
        <v>1.14885</v>
      </c>
      <c r="Y2326" s="2" t="n">
        <f aca="false">(V2326*((W2326+T2326)/1000)*X2326)/((((W2326+T2326)/1000)*X2326)-((W2326/1000)*0.9982))</f>
        <v>67.3546645181198</v>
      </c>
      <c r="Z2326" s="3" t="n">
        <f aca="false">(X2326*(V2326/100)*((W2326+T2326)/1000))*1000</f>
        <v>2.82401690625</v>
      </c>
      <c r="AA2326" s="0" t="n">
        <f aca="false">Z2326/R2326</f>
        <v>0.7060042265625</v>
      </c>
    </row>
    <row r="2327" customFormat="false" ht="15" hidden="false" customHeight="false" outlineLevel="0" collapsed="false">
      <c r="A2327" s="0" t="s">
        <v>73</v>
      </c>
      <c r="B2327" s="0" t="s">
        <v>74</v>
      </c>
      <c r="C2327" s="0" t="s">
        <v>56</v>
      </c>
      <c r="D2327" s="0" t="s">
        <v>176</v>
      </c>
      <c r="E2327" s="0" t="n">
        <v>49</v>
      </c>
      <c r="F2327" s="0" t="n">
        <v>1</v>
      </c>
      <c r="G2327" s="1"/>
      <c r="H2327" s="1"/>
      <c r="I2327" s="0" t="n">
        <f aca="false">32*3</f>
        <v>96</v>
      </c>
      <c r="J2327" s="0" t="n">
        <f aca="false">(I2327/32)*5</f>
        <v>15</v>
      </c>
      <c r="K2327" s="0" t="n">
        <f aca="false">J2327/F2327</f>
        <v>15</v>
      </c>
      <c r="L2327" s="0" t="n">
        <v>21</v>
      </c>
      <c r="M2327" s="0" t="n">
        <v>0</v>
      </c>
      <c r="N2327" s="0" t="n">
        <f aca="false">L2327</f>
        <v>21</v>
      </c>
      <c r="O2327" s="3" t="n">
        <f aca="false">LOOKUP(L2327,$AB$3:$AC$123)</f>
        <v>1.08545</v>
      </c>
      <c r="P2327" s="3" t="n">
        <f aca="false">(O2327*(N2327/100)*(J2327/1000))*1000</f>
        <v>3.4191675</v>
      </c>
      <c r="Q2327" s="3" t="n">
        <f aca="false">P2327/F2327</f>
        <v>3.4191675</v>
      </c>
      <c r="R2327" s="3" t="n">
        <v>6</v>
      </c>
      <c r="S2327" s="0" t="n">
        <v>18.6</v>
      </c>
      <c r="T2327" s="0" t="n">
        <f aca="false">(S2327/32)*5</f>
        <v>2.90625</v>
      </c>
      <c r="U2327" s="0" t="n">
        <f aca="false">T2327/R2327</f>
        <v>0.484375</v>
      </c>
      <c r="V2327" s="0" t="n">
        <v>20.5</v>
      </c>
      <c r="W2327" s="0" t="n">
        <v>4</v>
      </c>
      <c r="X2327" s="3" t="n">
        <f aca="false">LOOKUP(V2327,$AB$3:$AC$123)</f>
        <v>1.083225</v>
      </c>
      <c r="Y2327" s="2" t="n">
        <f aca="false">(V2327*((W2327+T2327)/1000)*X2327)/((((W2327+T2327)/1000)*X2327)-((W2327/1000)*0.9982))</f>
        <v>43.965359888464</v>
      </c>
      <c r="Z2327" s="3" t="n">
        <f aca="false">(X2327*(V2327/100)*((W2327+T2327)/1000))*1000</f>
        <v>1.53360964453125</v>
      </c>
      <c r="AA2327" s="0" t="n">
        <f aca="false">Z2327/R2327</f>
        <v>0.255601607421875</v>
      </c>
    </row>
    <row r="2328" customFormat="false" ht="15" hidden="false" customHeight="false" outlineLevel="0" collapsed="false">
      <c r="A2328" s="0" t="s">
        <v>75</v>
      </c>
      <c r="B2328" s="0" t="s">
        <v>76</v>
      </c>
      <c r="C2328" s="0" t="s">
        <v>56</v>
      </c>
      <c r="D2328" s="0" t="s">
        <v>176</v>
      </c>
      <c r="E2328" s="0" t="n">
        <v>49</v>
      </c>
      <c r="F2328" s="0" t="n">
        <v>2</v>
      </c>
      <c r="G2328" s="1"/>
      <c r="H2328" s="1"/>
      <c r="I2328" s="0" t="n">
        <f aca="false">32*3+7.2+18.8+10.3</f>
        <v>132.3</v>
      </c>
      <c r="J2328" s="0" t="n">
        <f aca="false">(I2328/32)*5</f>
        <v>20.671875</v>
      </c>
      <c r="K2328" s="0" t="n">
        <f aca="false">J2328/F2328</f>
        <v>10.3359375</v>
      </c>
      <c r="L2328" s="0" t="n">
        <v>17</v>
      </c>
      <c r="M2328" s="0" t="n">
        <v>0</v>
      </c>
      <c r="N2328" s="0" t="n">
        <f aca="false">L2328</f>
        <v>17</v>
      </c>
      <c r="O2328" s="3" t="n">
        <f aca="false">LOOKUP(L2328,$AB$3:$AC$123)</f>
        <v>1.0678</v>
      </c>
      <c r="P2328" s="3" t="n">
        <f aca="false">(O2328*(N2328/100)*(J2328/1000))*1000</f>
        <v>3.75248278125</v>
      </c>
      <c r="Q2328" s="3" t="n">
        <f aca="false">P2328/F2328</f>
        <v>1.876241390625</v>
      </c>
      <c r="R2328" s="3" t="n">
        <v>7</v>
      </c>
      <c r="S2328" s="0" t="n">
        <v>24.1</v>
      </c>
      <c r="T2328" s="0" t="n">
        <f aca="false">(S2328/32)*5</f>
        <v>3.765625</v>
      </c>
      <c r="U2328" s="0" t="n">
        <f aca="false">T2328/R2328</f>
        <v>0.537946428571429</v>
      </c>
      <c r="V2328" s="0" t="n">
        <v>21</v>
      </c>
      <c r="W2328" s="0" t="n">
        <v>4</v>
      </c>
      <c r="X2328" s="3" t="n">
        <f aca="false">LOOKUP(V2328,$AB$3:$AC$123)</f>
        <v>1.08545</v>
      </c>
      <c r="Y2328" s="2" t="n">
        <f aca="false">(V2328*((W2328+T2328)/1000)*X2328)/((((W2328+T2328)/1000)*X2328)-((W2328/1000)*0.9982))</f>
        <v>39.9001993276851</v>
      </c>
      <c r="Z2328" s="3" t="n">
        <f aca="false">(X2328*(V2328/100)*((W2328+T2328)/1000))*1000</f>
        <v>1.7701315078125</v>
      </c>
      <c r="AA2328" s="0" t="n">
        <f aca="false">Z2328/R2328</f>
        <v>0.2528759296875</v>
      </c>
    </row>
    <row r="2329" customFormat="false" ht="15" hidden="false" customHeight="false" outlineLevel="0" collapsed="false">
      <c r="A2329" s="0" t="s">
        <v>77</v>
      </c>
      <c r="B2329" s="0" t="s">
        <v>78</v>
      </c>
      <c r="C2329" s="0" t="s">
        <v>56</v>
      </c>
      <c r="D2329" s="0" t="s">
        <v>176</v>
      </c>
      <c r="E2329" s="0" t="n">
        <v>49</v>
      </c>
      <c r="F2329" s="0" t="n">
        <v>0</v>
      </c>
      <c r="G2329" s="1"/>
      <c r="H2329" s="1"/>
      <c r="I2329" s="0" t="n">
        <v>0</v>
      </c>
      <c r="L2329" s="0" t="n">
        <v>0</v>
      </c>
      <c r="M2329" s="0" t="n">
        <v>0</v>
      </c>
      <c r="O2329" s="3" t="n">
        <v>0</v>
      </c>
      <c r="P2329" s="3"/>
      <c r="Q2329" s="3"/>
      <c r="R2329" s="3" t="n">
        <v>3</v>
      </c>
      <c r="S2329" s="0" t="n">
        <v>4.6</v>
      </c>
      <c r="T2329" s="0" t="n">
        <f aca="false">(S2329/32)*5</f>
        <v>0.71875</v>
      </c>
      <c r="U2329" s="0" t="n">
        <f aca="false">T2329/R2329</f>
        <v>0.239583333333333</v>
      </c>
      <c r="V2329" s="0" t="n">
        <v>10</v>
      </c>
      <c r="W2329" s="0" t="n">
        <v>4</v>
      </c>
      <c r="X2329" s="3" t="n">
        <f aca="false">LOOKUP(V2329,$AB$3:$AC$123)</f>
        <v>1.0381</v>
      </c>
      <c r="Y2329" s="2" t="n">
        <f aca="false">(V2329*((W2329+T2329)/1000)*X2329)/((((W2329+T2329)/1000)*X2329)-((W2329/1000)*0.9982))</f>
        <v>54.0835647868615</v>
      </c>
      <c r="Z2329" s="3" t="n">
        <f aca="false">(X2329*(V2329/100)*((W2329+T2329)/1000))*1000</f>
        <v>0.4898534375</v>
      </c>
      <c r="AA2329" s="0" t="n">
        <f aca="false">Z2329/R2329</f>
        <v>0.163284479166667</v>
      </c>
    </row>
    <row r="2330" customFormat="false" ht="15" hidden="false" customHeight="false" outlineLevel="0" collapsed="false">
      <c r="A2330" s="0" t="s">
        <v>79</v>
      </c>
      <c r="B2330" s="0" t="s">
        <v>80</v>
      </c>
      <c r="C2330" s="0" t="s">
        <v>81</v>
      </c>
      <c r="D2330" s="0" t="s">
        <v>176</v>
      </c>
      <c r="E2330" s="0" t="n">
        <v>49</v>
      </c>
      <c r="F2330" s="0" t="n">
        <v>0</v>
      </c>
      <c r="G2330" s="1"/>
      <c r="H2330" s="1"/>
      <c r="I2330" s="0" t="n">
        <v>0</v>
      </c>
      <c r="L2330" s="0" t="n">
        <v>0</v>
      </c>
      <c r="M2330" s="0" t="n">
        <v>0</v>
      </c>
      <c r="O2330" s="3" t="n">
        <v>0</v>
      </c>
      <c r="P2330" s="3"/>
      <c r="Q2330" s="3"/>
      <c r="R2330" s="3" t="n">
        <v>4</v>
      </c>
      <c r="S2330" s="0" t="n">
        <v>4.2</v>
      </c>
      <c r="T2330" s="0" t="n">
        <f aca="false">(S2330/32)*5</f>
        <v>0.65625</v>
      </c>
      <c r="U2330" s="0" t="n">
        <f aca="false">T2330/R2330</f>
        <v>0.1640625</v>
      </c>
      <c r="V2330" s="0" t="n">
        <v>6</v>
      </c>
      <c r="W2330" s="0" t="n">
        <v>4</v>
      </c>
      <c r="X2330" s="3" t="n">
        <f aca="false">LOOKUP(V2330,$AB$3:$AC$123)</f>
        <v>1.0218</v>
      </c>
      <c r="Y2330" s="2" t="n">
        <f aca="false">(V2330*((W2330+T2330)/1000)*X2330)/((((W2330+T2330)/1000)*X2330)-((W2330/1000)*0.9982))</f>
        <v>37.317869486</v>
      </c>
      <c r="Z2330" s="3" t="n">
        <f aca="false">(X2330*(V2330/100)*((W2330+T2330)/1000))*1000</f>
        <v>0.285465375</v>
      </c>
      <c r="AA2330" s="0" t="n">
        <f aca="false">Z2330/R2330</f>
        <v>0.07136634375</v>
      </c>
    </row>
    <row r="2331" customFormat="false" ht="15" hidden="false" customHeight="false" outlineLevel="0" collapsed="false">
      <c r="A2331" s="0" t="s">
        <v>82</v>
      </c>
      <c r="B2331" s="0" t="s">
        <v>83</v>
      </c>
      <c r="C2331" s="0" t="s">
        <v>81</v>
      </c>
      <c r="D2331" s="0" t="s">
        <v>176</v>
      </c>
      <c r="E2331" s="0" t="n">
        <v>49</v>
      </c>
      <c r="F2331" s="0" t="n">
        <v>0</v>
      </c>
      <c r="G2331" s="1"/>
      <c r="H2331" s="1"/>
      <c r="I2331" s="0" t="n">
        <v>0</v>
      </c>
      <c r="L2331" s="0" t="n">
        <v>0</v>
      </c>
      <c r="M2331" s="0" t="n">
        <v>0</v>
      </c>
      <c r="O2331" s="3" t="n">
        <v>0</v>
      </c>
      <c r="P2331" s="3"/>
      <c r="Q2331" s="3"/>
      <c r="R2331" s="3" t="n">
        <v>4</v>
      </c>
      <c r="S2331" s="0" t="n">
        <v>5</v>
      </c>
      <c r="T2331" s="0" t="n">
        <f aca="false">(S2331/32)*5</f>
        <v>0.78125</v>
      </c>
      <c r="U2331" s="0" t="n">
        <f aca="false">T2331/R2331</f>
        <v>0.1953125</v>
      </c>
      <c r="V2331" s="0" t="n">
        <v>10</v>
      </c>
      <c r="W2331" s="0" t="n">
        <v>4</v>
      </c>
      <c r="X2331" s="3" t="n">
        <f aca="false">LOOKUP(V2331,$AB$3:$AC$123)</f>
        <v>1.0381</v>
      </c>
      <c r="Y2331" s="2" t="n">
        <f aca="false">(V2331*((W2331+T2331)/1000)*X2331)/((((W2331+T2331)/1000)*X2331)-((W2331/1000)*0.9982))</f>
        <v>51.1367785265151</v>
      </c>
      <c r="Z2331" s="3" t="n">
        <f aca="false">(X2331*(V2331/100)*((W2331+T2331)/1000))*1000</f>
        <v>0.4963415625</v>
      </c>
      <c r="AA2331" s="0" t="n">
        <f aca="false">Z2331/R2331</f>
        <v>0.124085390625</v>
      </c>
    </row>
    <row r="2332" customFormat="false" ht="15" hidden="false" customHeight="false" outlineLevel="0" collapsed="false">
      <c r="A2332" s="0" t="s">
        <v>84</v>
      </c>
      <c r="B2332" s="0" t="s">
        <v>85</v>
      </c>
      <c r="C2332" s="0" t="s">
        <v>81</v>
      </c>
      <c r="D2332" s="0" t="s">
        <v>176</v>
      </c>
      <c r="E2332" s="0" t="n">
        <v>49</v>
      </c>
      <c r="F2332" s="0" t="n">
        <v>2</v>
      </c>
      <c r="G2332" s="1"/>
      <c r="H2332" s="1"/>
      <c r="I2332" s="0" t="n">
        <f aca="false">32+28.4</f>
        <v>60.4</v>
      </c>
      <c r="J2332" s="0" t="n">
        <f aca="false">(I2332/32)*5</f>
        <v>9.4375</v>
      </c>
      <c r="K2332" s="0" t="n">
        <f aca="false">J2332/F2332</f>
        <v>4.71875</v>
      </c>
      <c r="L2332" s="0" t="n">
        <v>22</v>
      </c>
      <c r="M2332" s="0" t="n">
        <v>0</v>
      </c>
      <c r="N2332" s="0" t="n">
        <f aca="false">L2332</f>
        <v>22</v>
      </c>
      <c r="O2332" s="3" t="n">
        <f aca="false">LOOKUP(L2332,$AB$3:$AC$123)</f>
        <v>1.0899</v>
      </c>
      <c r="P2332" s="3" t="n">
        <f aca="false">(O2332*(N2332/100)*(J2332/1000))*1000</f>
        <v>2.262904875</v>
      </c>
      <c r="Q2332" s="3" t="n">
        <f aca="false">P2332/F2332</f>
        <v>1.1314524375</v>
      </c>
      <c r="R2332" s="3" t="n">
        <v>5</v>
      </c>
      <c r="S2332" s="0" t="n">
        <v>11.3</v>
      </c>
      <c r="T2332" s="0" t="n">
        <f aca="false">(S2332/32)*5</f>
        <v>1.765625</v>
      </c>
      <c r="U2332" s="0" t="n">
        <f aca="false">T2332/R2332</f>
        <v>0.353125</v>
      </c>
      <c r="V2332" s="0" t="n">
        <v>17.5</v>
      </c>
      <c r="W2332" s="0" t="n">
        <v>4</v>
      </c>
      <c r="X2332" s="3" t="n">
        <f aca="false">LOOKUP(V2332,$AB$3:$AC$123)</f>
        <v>1.07</v>
      </c>
      <c r="Y2332" s="2" t="n">
        <f aca="false">(V2332*((W2332+T2332)/1000)*X2332)/((((W2332+T2332)/1000)*X2332)-((W2332/1000)*0.9982))</f>
        <v>49.6050349341091</v>
      </c>
      <c r="Z2332" s="3" t="n">
        <f aca="false">(X2332*(V2332/100)*((W2332+T2332)/1000))*1000</f>
        <v>1.07961328125</v>
      </c>
      <c r="AA2332" s="0" t="n">
        <f aca="false">Z2332/R2332</f>
        <v>0.21592265625</v>
      </c>
    </row>
    <row r="2333" customFormat="false" ht="15" hidden="false" customHeight="false" outlineLevel="0" collapsed="false">
      <c r="A2333" s="0" t="s">
        <v>86</v>
      </c>
      <c r="B2333" s="0" t="s">
        <v>87</v>
      </c>
      <c r="C2333" s="0" t="s">
        <v>81</v>
      </c>
      <c r="D2333" s="0" t="s">
        <v>176</v>
      </c>
      <c r="E2333" s="0" t="n">
        <v>49</v>
      </c>
      <c r="F2333" s="0" t="n">
        <v>1</v>
      </c>
      <c r="G2333" s="1"/>
      <c r="H2333" s="1"/>
      <c r="I2333" s="0" t="n">
        <v>64</v>
      </c>
      <c r="J2333" s="0" t="n">
        <f aca="false">(I2333/32)*5</f>
        <v>10</v>
      </c>
      <c r="K2333" s="0" t="n">
        <f aca="false">J2333/F2333</f>
        <v>10</v>
      </c>
      <c r="L2333" s="0" t="n">
        <v>20</v>
      </c>
      <c r="M2333" s="0" t="n">
        <v>0</v>
      </c>
      <c r="N2333" s="0" t="n">
        <f aca="false">L2333</f>
        <v>20</v>
      </c>
      <c r="O2333" s="3" t="n">
        <f aca="false">LOOKUP(L2333,$AB$3:$AC$123)</f>
        <v>1.081</v>
      </c>
      <c r="P2333" s="3" t="n">
        <f aca="false">(O2333*(N2333/100)*(J2333/1000))*1000</f>
        <v>2.162</v>
      </c>
      <c r="Q2333" s="3" t="n">
        <f aca="false">P2333/F2333</f>
        <v>2.162</v>
      </c>
      <c r="R2333" s="3" t="n">
        <v>5</v>
      </c>
      <c r="S2333" s="0" t="n">
        <v>16.5</v>
      </c>
      <c r="T2333" s="0" t="n">
        <f aca="false">(S2333/32)*5</f>
        <v>2.578125</v>
      </c>
      <c r="U2333" s="0" t="n">
        <f aca="false">T2333/R2333</f>
        <v>0.515625</v>
      </c>
      <c r="V2333" s="0" t="n">
        <v>24</v>
      </c>
      <c r="W2333" s="0" t="n">
        <v>4</v>
      </c>
      <c r="X2333" s="3" t="n">
        <f aca="false">LOOKUP(V2333,$AB$3:$AC$123)</f>
        <v>1.099</v>
      </c>
      <c r="Y2333" s="2" t="n">
        <f aca="false">(V2333*((W2333+T2333)/1000)*X2333)/((((W2333+T2333)/1000)*X2333)-((W2333/1000)*0.9982))</f>
        <v>53.6077373831586</v>
      </c>
      <c r="Z2333" s="3" t="n">
        <f aca="false">(X2333*(V2333/100)*((W2333+T2333)/1000))*1000</f>
        <v>1.73504625</v>
      </c>
      <c r="AA2333" s="0" t="n">
        <f aca="false">Z2333/R2333</f>
        <v>0.34700925</v>
      </c>
    </row>
    <row r="2334" customFormat="false" ht="15" hidden="false" customHeight="false" outlineLevel="0" collapsed="false">
      <c r="A2334" s="0" t="s">
        <v>88</v>
      </c>
      <c r="B2334" s="0" t="s">
        <v>89</v>
      </c>
      <c r="C2334" s="0" t="s">
        <v>81</v>
      </c>
      <c r="D2334" s="0" t="s">
        <v>176</v>
      </c>
      <c r="E2334" s="0" t="n">
        <v>49</v>
      </c>
      <c r="F2334" s="0" t="n">
        <v>1</v>
      </c>
      <c r="G2334" s="1"/>
      <c r="H2334" s="1"/>
      <c r="I2334" s="0" t="n">
        <f aca="false">32+11.8</f>
        <v>43.8</v>
      </c>
      <c r="J2334" s="0" t="n">
        <f aca="false">(I2334/32)*5</f>
        <v>6.84375</v>
      </c>
      <c r="K2334" s="0" t="n">
        <f aca="false">J2334/F2334</f>
        <v>6.84375</v>
      </c>
      <c r="L2334" s="0" t="n">
        <v>21.5</v>
      </c>
      <c r="M2334" s="0" t="n">
        <v>0</v>
      </c>
      <c r="N2334" s="0" t="n">
        <f aca="false">L2334</f>
        <v>21.5</v>
      </c>
      <c r="O2334" s="3" t="n">
        <f aca="false">LOOKUP(L2334,$AB$3:$AC$123)</f>
        <v>1.087675</v>
      </c>
      <c r="P2334" s="3" t="n">
        <f aca="false">(O2334*(N2334/100)*(J2334/1000))*1000</f>
        <v>1.60041179296875</v>
      </c>
      <c r="Q2334" s="3" t="n">
        <f aca="false">P2334/F2334</f>
        <v>1.60041179296875</v>
      </c>
      <c r="R2334" s="3" t="n">
        <v>4</v>
      </c>
      <c r="S2334" s="0" t="n">
        <v>7.2</v>
      </c>
      <c r="T2334" s="0" t="n">
        <f aca="false">(S2334/32)*5</f>
        <v>1.125</v>
      </c>
      <c r="U2334" s="0" t="n">
        <f aca="false">T2334/R2334</f>
        <v>0.28125</v>
      </c>
      <c r="V2334" s="0" t="n">
        <v>8</v>
      </c>
      <c r="W2334" s="0" t="n">
        <v>4</v>
      </c>
      <c r="X2334" s="3" t="n">
        <f aca="false">LOOKUP(V2334,$AB$3:$AC$123)</f>
        <v>1.0299</v>
      </c>
      <c r="Y2334" s="2" t="n">
        <f aca="false">(V2334*((W2334+T2334)/1000)*X2334)/((((W2334+T2334)/1000)*X2334)-((W2334/1000)*0.9982))</f>
        <v>32.8494384207711</v>
      </c>
      <c r="Z2334" s="3" t="n">
        <f aca="false">(X2334*(V2334/100)*((W2334+T2334)/1000))*1000</f>
        <v>0.422259</v>
      </c>
      <c r="AA2334" s="0" t="n">
        <f aca="false">Z2334/R2334</f>
        <v>0.10556475</v>
      </c>
    </row>
    <row r="2335" customFormat="false" ht="15" hidden="false" customHeight="false" outlineLevel="0" collapsed="false">
      <c r="A2335" s="0" t="s">
        <v>90</v>
      </c>
      <c r="B2335" s="0" t="s">
        <v>91</v>
      </c>
      <c r="C2335" s="0" t="s">
        <v>81</v>
      </c>
      <c r="D2335" s="0" t="s">
        <v>176</v>
      </c>
      <c r="E2335" s="0" t="n">
        <v>49</v>
      </c>
      <c r="F2335" s="0" t="n">
        <v>0</v>
      </c>
      <c r="G2335" s="1"/>
      <c r="H2335" s="1"/>
      <c r="I2335" s="0" t="n">
        <v>0</v>
      </c>
      <c r="L2335" s="0" t="n">
        <v>0</v>
      </c>
      <c r="M2335" s="0" t="n">
        <v>0</v>
      </c>
      <c r="O2335" s="3" t="n">
        <v>0</v>
      </c>
      <c r="P2335" s="3"/>
      <c r="Q2335" s="3"/>
      <c r="R2335" s="3" t="n">
        <v>7</v>
      </c>
      <c r="S2335" s="0" t="n">
        <v>15.6</v>
      </c>
      <c r="T2335" s="0" t="n">
        <f aca="false">(S2335/32)*5</f>
        <v>2.4375</v>
      </c>
      <c r="U2335" s="0" t="n">
        <f aca="false">T2335/R2335</f>
        <v>0.348214285714286</v>
      </c>
      <c r="V2335" s="0" t="n">
        <v>27</v>
      </c>
      <c r="W2335" s="0" t="n">
        <v>4</v>
      </c>
      <c r="X2335" s="3" t="n">
        <f aca="false">LOOKUP(V2335,$AB$3:$AC$123)</f>
        <v>1.1128</v>
      </c>
      <c r="Y2335" s="2" t="n">
        <f aca="false">(V2335*((W2335+T2335)/1000)*X2335)/((((W2335+T2335)/1000)*X2335)-((W2335/1000)*0.9982))</f>
        <v>60.9989592695965</v>
      </c>
      <c r="Z2335" s="3" t="n">
        <f aca="false">(X2335*(V2335/100)*((W2335+T2335)/1000))*1000</f>
        <v>1.9341855</v>
      </c>
      <c r="AA2335" s="0" t="n">
        <f aca="false">Z2335/R2335</f>
        <v>0.276312214285714</v>
      </c>
    </row>
    <row r="2336" customFormat="false" ht="15" hidden="false" customHeight="false" outlineLevel="0" collapsed="false">
      <c r="A2336" s="0" t="s">
        <v>92</v>
      </c>
      <c r="B2336" s="0" t="s">
        <v>93</v>
      </c>
      <c r="C2336" s="0" t="s">
        <v>81</v>
      </c>
      <c r="D2336" s="0" t="s">
        <v>176</v>
      </c>
      <c r="E2336" s="0" t="n">
        <v>49</v>
      </c>
      <c r="F2336" s="0" t="n">
        <v>0</v>
      </c>
      <c r="G2336" s="1"/>
      <c r="H2336" s="1"/>
      <c r="I2336" s="0" t="n">
        <v>0</v>
      </c>
      <c r="L2336" s="0" t="n">
        <v>0</v>
      </c>
      <c r="M2336" s="0" t="n">
        <v>0</v>
      </c>
      <c r="O2336" s="3" t="n">
        <v>0</v>
      </c>
      <c r="P2336" s="3"/>
      <c r="Q2336" s="3"/>
      <c r="R2336" s="3" t="n">
        <v>3</v>
      </c>
      <c r="S2336" s="0" t="n">
        <v>4.9</v>
      </c>
      <c r="T2336" s="0" t="n">
        <f aca="false">(S2336/32)*5</f>
        <v>0.765625</v>
      </c>
      <c r="U2336" s="0" t="n">
        <f aca="false">T2336/R2336</f>
        <v>0.255208333333333</v>
      </c>
      <c r="V2336" s="0" t="n">
        <v>10</v>
      </c>
      <c r="W2336" s="0" t="n">
        <v>4</v>
      </c>
      <c r="X2336" s="3" t="n">
        <f aca="false">LOOKUP(V2336,$AB$3:$AC$123)</f>
        <v>1.0381</v>
      </c>
      <c r="Y2336" s="2" t="n">
        <f aca="false">(V2336*((W2336+T2336)/1000)*X2336)/((((W2336+T2336)/1000)*X2336)-((W2336/1000)*0.9982))</f>
        <v>51.8359137739374</v>
      </c>
      <c r="Z2336" s="3" t="n">
        <f aca="false">(X2336*(V2336/100)*((W2336+T2336)/1000))*1000</f>
        <v>0.49471953125</v>
      </c>
      <c r="AA2336" s="0" t="n">
        <f aca="false">Z2336/R2336</f>
        <v>0.164906510416667</v>
      </c>
    </row>
    <row r="2337" customFormat="false" ht="15" hidden="false" customHeight="false" outlineLevel="0" collapsed="false">
      <c r="A2337" s="0" t="s">
        <v>94</v>
      </c>
      <c r="B2337" s="0" t="s">
        <v>95</v>
      </c>
      <c r="C2337" s="0" t="s">
        <v>81</v>
      </c>
      <c r="D2337" s="0" t="s">
        <v>176</v>
      </c>
      <c r="E2337" s="0" t="n">
        <v>49</v>
      </c>
      <c r="F2337" s="0" t="n">
        <v>1</v>
      </c>
      <c r="G2337" s="1"/>
      <c r="H2337" s="1"/>
      <c r="I2337" s="0" t="n">
        <f aca="false">32+3.8+3.8</f>
        <v>39.6</v>
      </c>
      <c r="J2337" s="0" t="n">
        <f aca="false">(I2337/32)*5</f>
        <v>6.1875</v>
      </c>
      <c r="K2337" s="0" t="n">
        <f aca="false">J2337/F2337</f>
        <v>6.1875</v>
      </c>
      <c r="L2337" s="0" t="n">
        <v>13</v>
      </c>
      <c r="M2337" s="0" t="n">
        <v>0</v>
      </c>
      <c r="N2337" s="0" t="n">
        <f aca="false">L2337</f>
        <v>13</v>
      </c>
      <c r="O2337" s="3" t="n">
        <f aca="false">LOOKUP(L2337,$AB$3:$AC$123)</f>
        <v>1.0507</v>
      </c>
      <c r="P2337" s="3" t="n">
        <f aca="false">(O2337*(N2337/100)*(J2337/1000))*1000</f>
        <v>0.8451568125</v>
      </c>
      <c r="Q2337" s="3" t="n">
        <f aca="false">P2337/F2337</f>
        <v>0.8451568125</v>
      </c>
      <c r="R2337" s="3" t="n">
        <v>5</v>
      </c>
      <c r="S2337" s="0" t="n">
        <v>8.3</v>
      </c>
      <c r="T2337" s="0" t="n">
        <f aca="false">(S2337/32)*5</f>
        <v>1.296875</v>
      </c>
      <c r="U2337" s="0" t="n">
        <f aca="false">T2337/R2337</f>
        <v>0.259375</v>
      </c>
      <c r="V2337" s="0" t="n">
        <v>18</v>
      </c>
      <c r="W2337" s="0" t="n">
        <v>4</v>
      </c>
      <c r="X2337" s="3" t="n">
        <f aca="false">LOOKUP(V2337,$AB$3:$AC$123)</f>
        <v>1.0722</v>
      </c>
      <c r="Y2337" s="2" t="n">
        <f aca="false">(V2337*((W2337+T2337)/1000)*X2337)/((((W2337+T2337)/1000)*X2337)-((W2337/1000)*0.9982))</f>
        <v>60.6148831814232</v>
      </c>
      <c r="Z2337" s="3" t="n">
        <f aca="false">(X2337*(V2337/100)*((W2337+T2337)/1000))*1000</f>
        <v>1.0222756875</v>
      </c>
      <c r="AA2337" s="0" t="n">
        <f aca="false">Z2337/R2337</f>
        <v>0.2044551375</v>
      </c>
    </row>
    <row r="2338" customFormat="false" ht="15" hidden="false" customHeight="false" outlineLevel="0" collapsed="false">
      <c r="A2338" s="0" t="s">
        <v>96</v>
      </c>
      <c r="B2338" s="0" t="s">
        <v>97</v>
      </c>
      <c r="C2338" s="0" t="s">
        <v>81</v>
      </c>
      <c r="D2338" s="0" t="s">
        <v>176</v>
      </c>
      <c r="E2338" s="0" t="n">
        <v>49</v>
      </c>
      <c r="F2338" s="0" t="n">
        <v>0</v>
      </c>
      <c r="G2338" s="1"/>
      <c r="H2338" s="1"/>
      <c r="I2338" s="0" t="n">
        <v>0</v>
      </c>
      <c r="L2338" s="0" t="n">
        <v>0</v>
      </c>
      <c r="M2338" s="0" t="n">
        <v>0</v>
      </c>
      <c r="O2338" s="3" t="n">
        <v>0</v>
      </c>
      <c r="P2338" s="3"/>
      <c r="Q2338" s="3"/>
      <c r="R2338" s="3" t="n">
        <v>1</v>
      </c>
      <c r="S2338" s="0" t="n">
        <v>1.4</v>
      </c>
      <c r="T2338" s="0" t="n">
        <f aca="false">(S2338/32)*5</f>
        <v>0.21875</v>
      </c>
      <c r="U2338" s="0" t="n">
        <f aca="false">T2338/R2338</f>
        <v>0.21875</v>
      </c>
      <c r="V2338" s="0" t="n">
        <v>5</v>
      </c>
      <c r="W2338" s="0" t="n">
        <v>2</v>
      </c>
      <c r="X2338" s="3" t="n">
        <f aca="false">LOOKUP(V2338,$AB$3:$AC$123)</f>
        <v>1.0179</v>
      </c>
      <c r="Y2338" s="2" t="n">
        <f aca="false">(V2338*((W2338+T2338)/1000)*X2338)/((((W2338+T2338)/1000)*X2338)-((W2338/1000)*0.9982))</f>
        <v>43.0896960446453</v>
      </c>
      <c r="Z2338" s="3" t="n">
        <f aca="false">(X2338*(V2338/100)*((W2338+T2338)/1000))*1000</f>
        <v>0.11292328125</v>
      </c>
      <c r="AA2338" s="0" t="n">
        <f aca="false">Z2338/R2338</f>
        <v>0.11292328125</v>
      </c>
    </row>
    <row r="2339" customFormat="false" ht="15" hidden="false" customHeight="false" outlineLevel="0" collapsed="false">
      <c r="A2339" s="0" t="s">
        <v>98</v>
      </c>
      <c r="B2339" s="0" t="s">
        <v>99</v>
      </c>
      <c r="C2339" s="0" t="s">
        <v>81</v>
      </c>
      <c r="D2339" s="0" t="s">
        <v>176</v>
      </c>
      <c r="E2339" s="0" t="n">
        <v>49</v>
      </c>
      <c r="F2339" s="0" t="n">
        <v>0</v>
      </c>
      <c r="G2339" s="1"/>
      <c r="H2339" s="1"/>
      <c r="I2339" s="0" t="n">
        <v>0</v>
      </c>
      <c r="L2339" s="0" t="n">
        <v>0</v>
      </c>
      <c r="M2339" s="0" t="n">
        <v>0</v>
      </c>
      <c r="O2339" s="3" t="n">
        <v>0</v>
      </c>
      <c r="P2339" s="3"/>
      <c r="Q2339" s="3"/>
      <c r="R2339" s="3" t="n">
        <v>3</v>
      </c>
      <c r="S2339" s="0" t="n">
        <v>25.5</v>
      </c>
      <c r="T2339" s="0" t="n">
        <f aca="false">(S2339/32)*5</f>
        <v>3.984375</v>
      </c>
      <c r="U2339" s="0" t="n">
        <f aca="false">T2339/R2339</f>
        <v>1.328125</v>
      </c>
      <c r="V2339" s="0" t="n">
        <v>19.5</v>
      </c>
      <c r="W2339" s="0" t="n">
        <v>4</v>
      </c>
      <c r="X2339" s="3" t="n">
        <f aca="false">LOOKUP(V2339,$AB$3:$AC$123)</f>
        <v>1.07875</v>
      </c>
      <c r="Y2339" s="2" t="n">
        <f aca="false">(V2339*((W2339+T2339)/1000)*X2339)/((((W2339+T2339)/1000)*X2339)-((W2339/1000)*0.9982))</f>
        <v>36.3514705934572</v>
      </c>
      <c r="Z2339" s="3" t="n">
        <f aca="false">(X2339*(V2339/100)*((W2339+T2339)/1000))*1000</f>
        <v>1.67956318359375</v>
      </c>
      <c r="AA2339" s="0" t="n">
        <f aca="false">Z2339/R2339</f>
        <v>0.55985439453125</v>
      </c>
    </row>
    <row r="2340" customFormat="false" ht="15" hidden="false" customHeight="false" outlineLevel="0" collapsed="false">
      <c r="A2340" s="0" t="s">
        <v>100</v>
      </c>
      <c r="B2340" s="0" t="s">
        <v>101</v>
      </c>
      <c r="C2340" s="0" t="s">
        <v>81</v>
      </c>
      <c r="D2340" s="0" t="s">
        <v>176</v>
      </c>
      <c r="E2340" s="0" t="n">
        <v>49</v>
      </c>
      <c r="F2340" s="0" t="n">
        <v>1</v>
      </c>
      <c r="G2340" s="1"/>
      <c r="H2340" s="1"/>
      <c r="I2340" s="0" t="n">
        <f aca="false">64+5.5</f>
        <v>69.5</v>
      </c>
      <c r="J2340" s="0" t="n">
        <f aca="false">(I2340/32)*5</f>
        <v>10.859375</v>
      </c>
      <c r="K2340" s="0" t="n">
        <f aca="false">J2340/F2340</f>
        <v>10.859375</v>
      </c>
      <c r="L2340" s="0" t="n">
        <v>22.5</v>
      </c>
      <c r="M2340" s="0" t="n">
        <v>0</v>
      </c>
      <c r="N2340" s="0" t="n">
        <f aca="false">L2340</f>
        <v>22.5</v>
      </c>
      <c r="O2340" s="3" t="n">
        <f aca="false">LOOKUP(L2340,$AB$3:$AC$123)</f>
        <v>1.092175</v>
      </c>
      <c r="P2340" s="3" t="n">
        <f aca="false">(O2340*(N2340/100)*(J2340/1000))*1000</f>
        <v>2.66857602539062</v>
      </c>
      <c r="Q2340" s="3" t="n">
        <f aca="false">P2340/F2340</f>
        <v>2.66857602539062</v>
      </c>
      <c r="R2340" s="3" t="n">
        <v>2</v>
      </c>
      <c r="S2340" s="0" t="n">
        <v>8.2</v>
      </c>
      <c r="T2340" s="0" t="n">
        <f aca="false">(S2340/32)*5</f>
        <v>1.28125</v>
      </c>
      <c r="U2340" s="0" t="n">
        <f aca="false">T2340/R2340</f>
        <v>0.640625</v>
      </c>
      <c r="V2340" s="0" t="n">
        <v>6.5</v>
      </c>
      <c r="W2340" s="0" t="n">
        <v>4</v>
      </c>
      <c r="X2340" s="3" t="n">
        <f aca="false">LOOKUP(V2340,$AB$3:$AC$123)</f>
        <v>1.02385</v>
      </c>
      <c r="Y2340" s="2" t="n">
        <f aca="false">(V2340*((W2340+T2340)/1000)*X2340)/((((W2340+T2340)/1000)*X2340)-((W2340/1000)*0.9982))</f>
        <v>24.8491633534794</v>
      </c>
      <c r="Z2340" s="3" t="n">
        <f aca="false">(X2340*(V2340/100)*((W2340+T2340)/1000))*1000</f>
        <v>0.3514685078125</v>
      </c>
      <c r="AA2340" s="0" t="n">
        <f aca="false">Z2340/R2340</f>
        <v>0.17573425390625</v>
      </c>
    </row>
    <row r="2341" customFormat="false" ht="15" hidden="false" customHeight="false" outlineLevel="0" collapsed="false">
      <c r="A2341" s="0" t="s">
        <v>102</v>
      </c>
      <c r="B2341" s="0" t="s">
        <v>103</v>
      </c>
      <c r="C2341" s="0" t="s">
        <v>81</v>
      </c>
      <c r="D2341" s="0" t="s">
        <v>176</v>
      </c>
      <c r="E2341" s="0" t="n">
        <v>49</v>
      </c>
      <c r="F2341" s="0" t="n">
        <v>2</v>
      </c>
      <c r="G2341" s="1"/>
      <c r="H2341" s="1"/>
      <c r="I2341" s="0" t="n">
        <f aca="false">32*2+16.9-5.9</f>
        <v>75</v>
      </c>
      <c r="J2341" s="0" t="n">
        <f aca="false">(I2341/32)*5</f>
        <v>11.71875</v>
      </c>
      <c r="K2341" s="0" t="n">
        <f aca="false">J2341/F2341</f>
        <v>5.859375</v>
      </c>
      <c r="L2341" s="0" t="n">
        <v>21.5</v>
      </c>
      <c r="M2341" s="0" t="n">
        <v>0</v>
      </c>
      <c r="N2341" s="0" t="n">
        <f aca="false">L2341</f>
        <v>21.5</v>
      </c>
      <c r="O2341" s="3" t="n">
        <f aca="false">LOOKUP(L2341,$AB$3:$AC$123)</f>
        <v>1.087675</v>
      </c>
      <c r="P2341" s="3" t="n">
        <f aca="false">(O2341*(N2341/100)*(J2341/1000))*1000</f>
        <v>2.74043115234375</v>
      </c>
      <c r="Q2341" s="3" t="n">
        <f aca="false">P2341/F2341</f>
        <v>1.37021557617187</v>
      </c>
      <c r="R2341" s="3" t="n">
        <v>3</v>
      </c>
      <c r="S2341" s="0" t="n">
        <v>7.2</v>
      </c>
      <c r="T2341" s="0" t="n">
        <f aca="false">(S2341/32)*5</f>
        <v>1.125</v>
      </c>
      <c r="U2341" s="0" t="n">
        <f aca="false">T2341/R2341</f>
        <v>0.375</v>
      </c>
      <c r="V2341" s="0" t="n">
        <v>10</v>
      </c>
      <c r="W2341" s="0" t="n">
        <v>4</v>
      </c>
      <c r="X2341" s="3" t="n">
        <f aca="false">LOOKUP(V2341,$AB$3:$AC$123)</f>
        <v>1.0381</v>
      </c>
      <c r="Y2341" s="2" t="n">
        <f aca="false">(V2341*((W2341+T2341)/1000)*X2341)/((((W2341+T2341)/1000)*X2341)-((W2341/1000)*0.9982))</f>
        <v>40.0784391272824</v>
      </c>
      <c r="Z2341" s="3" t="n">
        <f aca="false">(X2341*(V2341/100)*((W2341+T2341)/1000))*1000</f>
        <v>0.53202625</v>
      </c>
      <c r="AA2341" s="0" t="n">
        <f aca="false">Z2341/R2341</f>
        <v>0.177342083333333</v>
      </c>
    </row>
    <row r="2342" customFormat="false" ht="15" hidden="false" customHeight="false" outlineLevel="0" collapsed="false">
      <c r="A2342" s="0" t="s">
        <v>104</v>
      </c>
      <c r="B2342" s="0" t="s">
        <v>105</v>
      </c>
      <c r="C2342" s="0" t="s">
        <v>106</v>
      </c>
      <c r="D2342" s="0" t="s">
        <v>176</v>
      </c>
      <c r="E2342" s="0" t="n">
        <v>49</v>
      </c>
      <c r="F2342" s="0" t="n">
        <v>1</v>
      </c>
      <c r="G2342" s="1"/>
      <c r="H2342" s="1"/>
      <c r="I2342" s="0" t="n">
        <f aca="false">32*2+4.3</f>
        <v>68.3</v>
      </c>
      <c r="J2342" s="0" t="n">
        <f aca="false">(I2342/32)*5</f>
        <v>10.671875</v>
      </c>
      <c r="K2342" s="0" t="n">
        <f aca="false">J2342/F2342</f>
        <v>10.671875</v>
      </c>
      <c r="L2342" s="0" t="n">
        <v>21</v>
      </c>
      <c r="M2342" s="0" t="n">
        <v>0</v>
      </c>
      <c r="N2342" s="0" t="n">
        <f aca="false">L2342</f>
        <v>21</v>
      </c>
      <c r="O2342" s="3" t="n">
        <f aca="false">LOOKUP(L2342,$AB$3:$AC$123)</f>
        <v>1.08545</v>
      </c>
      <c r="P2342" s="3" t="n">
        <f aca="false">(O2342*(N2342/100)*(J2342/1000))*1000</f>
        <v>2.4325952109375</v>
      </c>
      <c r="Q2342" s="3" t="n">
        <f aca="false">P2342/F2342</f>
        <v>2.4325952109375</v>
      </c>
      <c r="R2342" s="3" t="n">
        <v>6</v>
      </c>
      <c r="S2342" s="0" t="n">
        <v>15.2</v>
      </c>
      <c r="T2342" s="0" t="n">
        <f aca="false">(S2342/32)*5</f>
        <v>2.375</v>
      </c>
      <c r="U2342" s="0" t="n">
        <f aca="false">T2342/R2342</f>
        <v>0.395833333333333</v>
      </c>
      <c r="V2342" s="0" t="n">
        <v>28.5</v>
      </c>
      <c r="W2342" s="0" t="n">
        <v>4</v>
      </c>
      <c r="X2342" s="3" t="n">
        <f aca="false">LOOKUP(V2342,$AB$3:$AC$123)</f>
        <v>1.119875</v>
      </c>
      <c r="Y2342" s="2" t="n">
        <f aca="false">(V2342*((W2342+T2342)/1000)*X2342)/((((W2342+T2342)/1000)*X2342)-((W2342/1000)*0.9982))</f>
        <v>64.6666307460205</v>
      </c>
      <c r="Z2342" s="3" t="n">
        <f aca="false">(X2342*(V2342/100)*((W2342+T2342)/1000))*1000</f>
        <v>2.034672890625</v>
      </c>
      <c r="AA2342" s="0" t="n">
        <f aca="false">Z2342/R2342</f>
        <v>0.3391121484375</v>
      </c>
    </row>
    <row r="2343" customFormat="false" ht="15" hidden="false" customHeight="false" outlineLevel="0" collapsed="false">
      <c r="A2343" s="0" t="s">
        <v>107</v>
      </c>
      <c r="B2343" s="0" t="s">
        <v>37</v>
      </c>
      <c r="C2343" s="0" t="s">
        <v>106</v>
      </c>
      <c r="D2343" s="0" t="s">
        <v>176</v>
      </c>
      <c r="E2343" s="0" t="n">
        <v>49</v>
      </c>
      <c r="F2343" s="0" t="n">
        <v>0</v>
      </c>
      <c r="G2343" s="1"/>
      <c r="H2343" s="1"/>
      <c r="I2343" s="0" t="n">
        <v>0</v>
      </c>
      <c r="L2343" s="0" t="n">
        <v>0</v>
      </c>
      <c r="M2343" s="0" t="n">
        <v>0</v>
      </c>
      <c r="O2343" s="3" t="n">
        <v>0</v>
      </c>
      <c r="P2343" s="3"/>
      <c r="Q2343" s="3"/>
      <c r="R2343" s="3" t="n">
        <v>7</v>
      </c>
      <c r="S2343" s="0" t="n">
        <v>13.6</v>
      </c>
      <c r="T2343" s="0" t="n">
        <f aca="false">(S2343/32)*5</f>
        <v>2.125</v>
      </c>
      <c r="U2343" s="0" t="n">
        <f aca="false">T2343/R2343</f>
        <v>0.303571428571429</v>
      </c>
      <c r="V2343" s="0" t="n">
        <v>27</v>
      </c>
      <c r="W2343" s="0" t="n">
        <v>4</v>
      </c>
      <c r="X2343" s="3" t="n">
        <f aca="false">LOOKUP(V2343,$AB$3:$AC$123)</f>
        <v>1.1128</v>
      </c>
      <c r="Y2343" s="2" t="n">
        <f aca="false">(V2343*((W2343+T2343)/1000)*X2343)/((((W2343+T2343)/1000)*X2343)-((W2343/1000)*0.9982))</f>
        <v>65.1869575998016</v>
      </c>
      <c r="Z2343" s="3" t="n">
        <f aca="false">(X2343*(V2343/100)*((W2343+T2343)/1000))*1000</f>
        <v>1.840293</v>
      </c>
      <c r="AA2343" s="0" t="n">
        <f aca="false">Z2343/R2343</f>
        <v>0.262899</v>
      </c>
    </row>
    <row r="2344" customFormat="false" ht="15" hidden="false" customHeight="false" outlineLevel="0" collapsed="false">
      <c r="A2344" s="0" t="s">
        <v>108</v>
      </c>
      <c r="B2344" s="0" t="s">
        <v>109</v>
      </c>
      <c r="C2344" s="0" t="s">
        <v>106</v>
      </c>
      <c r="D2344" s="0" t="s">
        <v>176</v>
      </c>
      <c r="E2344" s="0" t="n">
        <v>49</v>
      </c>
      <c r="F2344" s="0" t="n">
        <v>2</v>
      </c>
      <c r="G2344" s="1"/>
      <c r="H2344" s="1"/>
      <c r="I2344" s="0" t="n">
        <f aca="false">32*3+13.7</f>
        <v>109.7</v>
      </c>
      <c r="J2344" s="0" t="n">
        <f aca="false">(I2344/32)*5</f>
        <v>17.140625</v>
      </c>
      <c r="K2344" s="0" t="n">
        <f aca="false">J2344/F2344</f>
        <v>8.5703125</v>
      </c>
      <c r="L2344" s="0" t="n">
        <v>18</v>
      </c>
      <c r="M2344" s="0" t="n">
        <v>0</v>
      </c>
      <c r="N2344" s="0" t="n">
        <f aca="false">L2344</f>
        <v>18</v>
      </c>
      <c r="O2344" s="3" t="n">
        <f aca="false">LOOKUP(L2344,$AB$3:$AC$123)</f>
        <v>1.0722</v>
      </c>
      <c r="P2344" s="3" t="n">
        <f aca="false">(O2344*(N2344/100)*(J2344/1000))*1000</f>
        <v>3.3080720625</v>
      </c>
      <c r="Q2344" s="3" t="n">
        <f aca="false">P2344/F2344</f>
        <v>1.65403603125</v>
      </c>
      <c r="R2344" s="3" t="n">
        <v>9</v>
      </c>
      <c r="S2344" s="0" t="n">
        <f aca="false">32+3.7</f>
        <v>35.7</v>
      </c>
      <c r="T2344" s="0" t="n">
        <f aca="false">(S2344/32)*5</f>
        <v>5.578125</v>
      </c>
      <c r="U2344" s="0" t="n">
        <f aca="false">T2344/R2344</f>
        <v>0.619791666666667</v>
      </c>
      <c r="V2344" s="0" t="n">
        <v>31</v>
      </c>
      <c r="W2344" s="0" t="n">
        <v>8</v>
      </c>
      <c r="X2344" s="3" t="n">
        <f aca="false">LOOKUP(V2344,$AB$3:$AC$123)</f>
        <v>1.1318</v>
      </c>
      <c r="Y2344" s="2" t="n">
        <f aca="false">(V2344*((W2344+T2344)/1000)*X2344)/((((W2344+T2344)/1000)*X2344)-((W2344/1000)*0.9982))</f>
        <v>64.5342065860976</v>
      </c>
      <c r="Z2344" s="3" t="n">
        <f aca="false">(X2344*(V2344/100)*((W2344+T2344)/1000))*1000</f>
        <v>4.76399378125</v>
      </c>
      <c r="AA2344" s="0" t="n">
        <f aca="false">Z2344/R2344</f>
        <v>0.529332642361111</v>
      </c>
    </row>
    <row r="2345" customFormat="false" ht="15" hidden="false" customHeight="false" outlineLevel="0" collapsed="false">
      <c r="A2345" s="0" t="s">
        <v>110</v>
      </c>
      <c r="B2345" s="0" t="s">
        <v>111</v>
      </c>
      <c r="C2345" s="0" t="s">
        <v>106</v>
      </c>
      <c r="D2345" s="0" t="s">
        <v>176</v>
      </c>
      <c r="E2345" s="0" t="n">
        <v>49</v>
      </c>
      <c r="F2345" s="0" t="n">
        <v>2</v>
      </c>
      <c r="G2345" s="1"/>
      <c r="H2345" s="1"/>
      <c r="I2345" s="0" t="n">
        <f aca="false">32*3-6.1</f>
        <v>89.9</v>
      </c>
      <c r="J2345" s="0" t="n">
        <f aca="false">(I2345/32)*5</f>
        <v>14.046875</v>
      </c>
      <c r="K2345" s="0" t="n">
        <f aca="false">J2345/F2345</f>
        <v>7.0234375</v>
      </c>
      <c r="L2345" s="0" t="n">
        <v>20</v>
      </c>
      <c r="M2345" s="0" t="n">
        <v>0</v>
      </c>
      <c r="N2345" s="0" t="n">
        <f aca="false">L2345</f>
        <v>20</v>
      </c>
      <c r="O2345" s="3" t="n">
        <f aca="false">LOOKUP(L2345,$AB$3:$AC$123)</f>
        <v>1.081</v>
      </c>
      <c r="P2345" s="3" t="n">
        <f aca="false">(O2345*(N2345/100)*(J2345/1000))*1000</f>
        <v>3.036934375</v>
      </c>
      <c r="Q2345" s="3" t="n">
        <f aca="false">P2345/F2345</f>
        <v>1.5184671875</v>
      </c>
      <c r="R2345" s="3" t="n">
        <v>10</v>
      </c>
      <c r="S2345" s="0" t="n">
        <v>30.5</v>
      </c>
      <c r="T2345" s="0" t="n">
        <f aca="false">(S2345/32)*5</f>
        <v>4.765625</v>
      </c>
      <c r="U2345" s="0" t="n">
        <f aca="false">T2345/R2345</f>
        <v>0.4765625</v>
      </c>
      <c r="V2345" s="0" t="n">
        <v>26</v>
      </c>
      <c r="W2345" s="0" t="n">
        <v>8</v>
      </c>
      <c r="X2345" s="3" t="n">
        <f aca="false">LOOKUP(V2345,$AB$3:$AC$123)</f>
        <v>1.1081</v>
      </c>
      <c r="Y2345" s="2" t="n">
        <f aca="false">(V2345*((W2345+T2345)/1000)*X2345)/((((W2345+T2345)/1000)*X2345)-((W2345/1000)*0.9982))</f>
        <v>59.7055143918935</v>
      </c>
      <c r="Z2345" s="3" t="n">
        <f aca="false">(X2345*(V2345/100)*((W2345+T2345)/1000))*1000</f>
        <v>3.67785315625</v>
      </c>
      <c r="AA2345" s="0" t="n">
        <f aca="false">Z2345/R2345</f>
        <v>0.367785315625</v>
      </c>
    </row>
    <row r="2346" customFormat="false" ht="15" hidden="false" customHeight="false" outlineLevel="0" collapsed="false">
      <c r="A2346" s="0" t="s">
        <v>112</v>
      </c>
      <c r="B2346" s="0" t="s">
        <v>113</v>
      </c>
      <c r="C2346" s="0" t="s">
        <v>106</v>
      </c>
      <c r="D2346" s="0" t="s">
        <v>176</v>
      </c>
      <c r="E2346" s="0" t="n">
        <v>49</v>
      </c>
      <c r="F2346" s="0" t="n">
        <v>1</v>
      </c>
      <c r="G2346" s="1"/>
      <c r="H2346" s="1"/>
      <c r="I2346" s="0" t="n">
        <f aca="false">32*2+5.1</f>
        <v>69.1</v>
      </c>
      <c r="J2346" s="0" t="n">
        <f aca="false">(I2346/32)*5</f>
        <v>10.796875</v>
      </c>
      <c r="K2346" s="0" t="n">
        <f aca="false">J2346/F2346</f>
        <v>10.796875</v>
      </c>
      <c r="L2346" s="0" t="n">
        <v>19</v>
      </c>
      <c r="M2346" s="0" t="n">
        <v>0</v>
      </c>
      <c r="N2346" s="0" t="n">
        <f aca="false">L2346</f>
        <v>19</v>
      </c>
      <c r="O2346" s="3" t="n">
        <f aca="false">LOOKUP(L2346,$AB$3:$AC$123)</f>
        <v>1.0765</v>
      </c>
      <c r="P2346" s="3" t="n">
        <f aca="false">(O2346*(N2346/100)*(J2346/1000))*1000</f>
        <v>2.208338828125</v>
      </c>
      <c r="Q2346" s="3" t="n">
        <f aca="false">P2346/F2346</f>
        <v>2.208338828125</v>
      </c>
      <c r="R2346" s="3" t="n">
        <v>11</v>
      </c>
      <c r="S2346" s="0" t="n">
        <f aca="false">32+20.7</f>
        <v>52.7</v>
      </c>
      <c r="T2346" s="0" t="n">
        <f aca="false">(S2346/32)*5</f>
        <v>8.234375</v>
      </c>
      <c r="U2346" s="0" t="n">
        <f aca="false">T2346/R2346</f>
        <v>0.748579545454545</v>
      </c>
      <c r="V2346" s="0" t="n">
        <v>39.5</v>
      </c>
      <c r="W2346" s="0" t="n">
        <v>8</v>
      </c>
      <c r="X2346" s="3" t="n">
        <f aca="false">LOOKUP(V2346,$AB$3:$AC$123)</f>
        <v>1.17395</v>
      </c>
      <c r="Y2346" s="2" t="n">
        <f aca="false">(V2346*((W2346+T2346)/1000)*X2346)/((((W2346+T2346)/1000)*X2346)-((W2346/1000)*0.9982))</f>
        <v>67.9871739892288</v>
      </c>
      <c r="Z2346" s="3" t="n">
        <f aca="false">(X2346*(V2346/100)*((W2346+T2346)/1000))*1000</f>
        <v>7.52804608984375</v>
      </c>
      <c r="AA2346" s="0" t="n">
        <f aca="false">Z2346/R2346</f>
        <v>0.684367826349432</v>
      </c>
    </row>
    <row r="2347" customFormat="false" ht="15" hidden="false" customHeight="false" outlineLevel="0" collapsed="false">
      <c r="A2347" s="0" t="s">
        <v>114</v>
      </c>
      <c r="B2347" s="0" t="s">
        <v>115</v>
      </c>
      <c r="C2347" s="0" t="s">
        <v>106</v>
      </c>
      <c r="D2347" s="0" t="s">
        <v>176</v>
      </c>
      <c r="E2347" s="0" t="n">
        <v>49</v>
      </c>
      <c r="F2347" s="0" t="n">
        <v>0</v>
      </c>
      <c r="G2347" s="1"/>
      <c r="H2347" s="1"/>
      <c r="I2347" s="0" t="n">
        <v>0</v>
      </c>
      <c r="L2347" s="0" t="n">
        <v>0</v>
      </c>
      <c r="M2347" s="0" t="n">
        <v>0</v>
      </c>
      <c r="O2347" s="3" t="n">
        <v>0</v>
      </c>
      <c r="P2347" s="3"/>
      <c r="Q2347" s="3"/>
      <c r="R2347" s="3" t="n">
        <v>5</v>
      </c>
      <c r="S2347" s="0" t="n">
        <v>29.2</v>
      </c>
      <c r="T2347" s="0" t="n">
        <f aca="false">(S2347/32)*5</f>
        <v>4.5625</v>
      </c>
      <c r="U2347" s="0" t="n">
        <f aca="false">T2347/R2347</f>
        <v>0.9125</v>
      </c>
      <c r="V2347" s="0" t="n">
        <v>41</v>
      </c>
      <c r="W2347" s="0" t="n">
        <v>4</v>
      </c>
      <c r="X2347" s="3" t="n">
        <f aca="false">LOOKUP(V2347,$AB$3:$AC$123)</f>
        <v>1.1816</v>
      </c>
      <c r="Y2347" s="2" t="n">
        <f aca="false">(V2347*((W2347+T2347)/1000)*X2347)/((((W2347+T2347)/1000)*X2347)-((W2347/1000)*0.9982))</f>
        <v>67.7288416480942</v>
      </c>
      <c r="Z2347" s="3" t="n">
        <f aca="false">(X2347*(V2347/100)*((W2347+T2347)/1000))*1000</f>
        <v>4.1481545</v>
      </c>
      <c r="AA2347" s="0" t="n">
        <f aca="false">Z2347/R2347</f>
        <v>0.8296309</v>
      </c>
    </row>
    <row r="2348" customFormat="false" ht="15" hidden="false" customHeight="false" outlineLevel="0" collapsed="false">
      <c r="A2348" s="0" t="s">
        <v>116</v>
      </c>
      <c r="B2348" s="0" t="s">
        <v>117</v>
      </c>
      <c r="C2348" s="0" t="s">
        <v>106</v>
      </c>
      <c r="D2348" s="0" t="s">
        <v>176</v>
      </c>
      <c r="E2348" s="0" t="n">
        <v>49</v>
      </c>
      <c r="F2348" s="0" t="n">
        <v>1</v>
      </c>
      <c r="G2348" s="1"/>
      <c r="H2348" s="1"/>
      <c r="I2348" s="0" t="n">
        <f aca="false">32*2+26</f>
        <v>90</v>
      </c>
      <c r="J2348" s="0" t="n">
        <f aca="false">(I2348/32)*5</f>
        <v>14.0625</v>
      </c>
      <c r="K2348" s="0" t="n">
        <f aca="false">J2348/F2348</f>
        <v>14.0625</v>
      </c>
      <c r="L2348" s="0" t="n">
        <v>29</v>
      </c>
      <c r="M2348" s="0" t="n">
        <v>0</v>
      </c>
      <c r="N2348" s="0" t="n">
        <f aca="false">L2348</f>
        <v>29</v>
      </c>
      <c r="O2348" s="3" t="n">
        <f aca="false">LOOKUP(L2348,$AB$3:$AC$123)</f>
        <v>1.12225</v>
      </c>
      <c r="P2348" s="3" t="n">
        <f aca="false">(O2348*(N2348/100)*(J2348/1000))*1000</f>
        <v>4.57667578125</v>
      </c>
      <c r="Q2348" s="3" t="n">
        <f aca="false">P2348/F2348</f>
        <v>4.57667578125</v>
      </c>
      <c r="R2348" s="3" t="n">
        <v>2</v>
      </c>
      <c r="S2348" s="0" t="n">
        <v>15.1</v>
      </c>
      <c r="T2348" s="0" t="n">
        <f aca="false">(S2348/32)*5</f>
        <v>2.359375</v>
      </c>
      <c r="U2348" s="0" t="n">
        <f aca="false">T2348/R2348</f>
        <v>1.1796875</v>
      </c>
      <c r="V2348" s="0" t="n">
        <v>29</v>
      </c>
      <c r="W2348" s="0" t="n">
        <v>4</v>
      </c>
      <c r="X2348" s="3" t="n">
        <f aca="false">LOOKUP(V2348,$AB$3:$AC$123)</f>
        <v>1.12225</v>
      </c>
      <c r="Y2348" s="2" t="n">
        <f aca="false">(V2348*((W2348+T2348)/1000)*X2348)/((((W2348+T2348)/1000)*X2348)-((W2348/1000)*0.9982))</f>
        <v>65.8291614183824</v>
      </c>
      <c r="Z2348" s="3" t="n">
        <f aca="false">(X2348*(V2348/100)*((W2348+T2348)/1000))*1000</f>
        <v>2.0696744921875</v>
      </c>
      <c r="AA2348" s="0" t="n">
        <f aca="false">Z2348/R2348</f>
        <v>1.03483724609375</v>
      </c>
    </row>
    <row r="2349" customFormat="false" ht="15" hidden="false" customHeight="false" outlineLevel="0" collapsed="false">
      <c r="A2349" s="0" t="s">
        <v>118</v>
      </c>
      <c r="B2349" s="0" t="s">
        <v>119</v>
      </c>
      <c r="C2349" s="0" t="s">
        <v>106</v>
      </c>
      <c r="D2349" s="0" t="s">
        <v>176</v>
      </c>
      <c r="E2349" s="0" t="n">
        <v>49</v>
      </c>
      <c r="F2349" s="0" t="n">
        <v>1</v>
      </c>
      <c r="G2349" s="1"/>
      <c r="H2349" s="1"/>
      <c r="I2349" s="0" t="n">
        <v>64</v>
      </c>
      <c r="J2349" s="0" t="n">
        <f aca="false">(I2349/32)*5</f>
        <v>10</v>
      </c>
      <c r="K2349" s="0" t="n">
        <f aca="false">J2349/F2349</f>
        <v>10</v>
      </c>
      <c r="L2349" s="0" t="n">
        <v>22</v>
      </c>
      <c r="M2349" s="0" t="n">
        <v>0</v>
      </c>
      <c r="N2349" s="0" t="n">
        <f aca="false">L2349</f>
        <v>22</v>
      </c>
      <c r="O2349" s="3" t="n">
        <f aca="false">LOOKUP(L2349,$AB$3:$AC$123)</f>
        <v>1.0899</v>
      </c>
      <c r="P2349" s="3" t="n">
        <f aca="false">(O2349*(N2349/100)*(J2349/1000))*1000</f>
        <v>2.39778</v>
      </c>
      <c r="Q2349" s="3" t="n">
        <f aca="false">P2349/F2349</f>
        <v>2.39778</v>
      </c>
      <c r="R2349" s="3" t="n">
        <v>8</v>
      </c>
      <c r="S2349" s="0" t="n">
        <f aca="false">32+7.2</f>
        <v>39.2</v>
      </c>
      <c r="T2349" s="0" t="n">
        <f aca="false">(S2349/32)*5</f>
        <v>6.125</v>
      </c>
      <c r="U2349" s="0" t="n">
        <f aca="false">T2349/R2349</f>
        <v>0.765625</v>
      </c>
      <c r="V2349" s="0" t="n">
        <v>31</v>
      </c>
      <c r="W2349" s="0" t="n">
        <v>8</v>
      </c>
      <c r="X2349" s="3" t="n">
        <f aca="false">LOOKUP(V2349,$AB$3:$AC$123)</f>
        <v>1.1318</v>
      </c>
      <c r="Y2349" s="2" t="n">
        <f aca="false">(V2349*((W2349+T2349)/1000)*X2349)/((((W2349+T2349)/1000)*X2349)-((W2349/1000)*0.9982))</f>
        <v>61.9400424317982</v>
      </c>
      <c r="Z2349" s="3" t="n">
        <f aca="false">(X2349*(V2349/100)*((W2349+T2349)/1000))*1000</f>
        <v>4.95586925</v>
      </c>
      <c r="AA2349" s="0" t="n">
        <f aca="false">Z2349/R2349</f>
        <v>0.61948365625</v>
      </c>
    </row>
    <row r="2350" customFormat="false" ht="15" hidden="false" customHeight="false" outlineLevel="0" collapsed="false">
      <c r="A2350" s="0" t="s">
        <v>120</v>
      </c>
      <c r="B2350" s="0" t="s">
        <v>121</v>
      </c>
      <c r="C2350" s="0" t="s">
        <v>106</v>
      </c>
      <c r="D2350" s="0" t="s">
        <v>176</v>
      </c>
      <c r="E2350" s="0" t="n">
        <v>49</v>
      </c>
      <c r="F2350" s="0" t="n">
        <v>0</v>
      </c>
      <c r="G2350" s="1"/>
      <c r="H2350" s="1"/>
      <c r="I2350" s="0" t="n">
        <v>0</v>
      </c>
      <c r="L2350" s="0" t="n">
        <v>0</v>
      </c>
      <c r="M2350" s="0" t="n">
        <v>0</v>
      </c>
      <c r="O2350" s="3" t="n">
        <v>0</v>
      </c>
      <c r="P2350" s="3"/>
      <c r="Q2350" s="3"/>
      <c r="R2350" s="3" t="n">
        <v>8</v>
      </c>
      <c r="S2350" s="0" t="n">
        <v>17.7</v>
      </c>
      <c r="T2350" s="0" t="n">
        <f aca="false">(S2350/32)*5</f>
        <v>2.765625</v>
      </c>
      <c r="U2350" s="0" t="n">
        <f aca="false">T2350/R2350</f>
        <v>0.345703125</v>
      </c>
      <c r="V2350" s="0" t="n">
        <v>21</v>
      </c>
      <c r="W2350" s="0" t="n">
        <v>4</v>
      </c>
      <c r="X2350" s="3" t="n">
        <f aca="false">LOOKUP(V2350,$AB$3:$AC$123)</f>
        <v>1.08545</v>
      </c>
      <c r="Y2350" s="2" t="n">
        <f aca="false">(V2350*((W2350+T2350)/1000)*X2350)/((((W2350+T2350)/1000)*X2350)-((W2350/1000)*0.9982))</f>
        <v>46.0224141351805</v>
      </c>
      <c r="Z2350" s="3" t="n">
        <f aca="false">(X2350*(V2350/100)*((W2350+T2350)/1000))*1000</f>
        <v>1.5421870078125</v>
      </c>
      <c r="AA2350" s="0" t="n">
        <f aca="false">Z2350/R2350</f>
        <v>0.192773375976562</v>
      </c>
    </row>
    <row r="2351" customFormat="false" ht="15" hidden="false" customHeight="false" outlineLevel="0" collapsed="false">
      <c r="A2351" s="0" t="s">
        <v>122</v>
      </c>
      <c r="B2351" s="0" t="s">
        <v>123</v>
      </c>
      <c r="C2351" s="0" t="s">
        <v>106</v>
      </c>
      <c r="D2351" s="0" t="s">
        <v>176</v>
      </c>
      <c r="E2351" s="0" t="n">
        <v>49</v>
      </c>
      <c r="F2351" s="0" t="n">
        <v>0</v>
      </c>
      <c r="G2351" s="1"/>
      <c r="H2351" s="1"/>
      <c r="I2351" s="0" t="n">
        <v>0</v>
      </c>
      <c r="L2351" s="0" t="n">
        <v>0</v>
      </c>
      <c r="M2351" s="0" t="n">
        <v>0</v>
      </c>
      <c r="O2351" s="3" t="n">
        <v>0</v>
      </c>
      <c r="P2351" s="3"/>
      <c r="Q2351" s="3"/>
      <c r="R2351" s="3" t="n">
        <v>7</v>
      </c>
      <c r="S2351" s="0" t="n">
        <v>27.2</v>
      </c>
      <c r="T2351" s="0" t="n">
        <f aca="false">(S2351/32)*5</f>
        <v>4.25</v>
      </c>
      <c r="U2351" s="0" t="n">
        <f aca="false">T2351/R2351</f>
        <v>0.607142857142857</v>
      </c>
      <c r="V2351" s="0" t="n">
        <v>24</v>
      </c>
      <c r="W2351" s="0" t="n">
        <v>4</v>
      </c>
      <c r="X2351" s="3" t="n">
        <f aca="false">LOOKUP(V2351,$AB$3:$AC$123)</f>
        <v>1.099</v>
      </c>
      <c r="Y2351" s="2" t="n">
        <f aca="false">(V2351*((W2351+T2351)/1000)*X2351)/((((W2351+T2351)/1000)*X2351)-((W2351/1000)*0.9982))</f>
        <v>42.88611436849</v>
      </c>
      <c r="Z2351" s="3" t="n">
        <f aca="false">(X2351*(V2351/100)*((W2351+T2351)/1000))*1000</f>
        <v>2.17602</v>
      </c>
      <c r="AA2351" s="0" t="n">
        <f aca="false">Z2351/R2351</f>
        <v>0.31086</v>
      </c>
    </row>
    <row r="2352" customFormat="false" ht="15" hidden="false" customHeight="false" outlineLevel="0" collapsed="false">
      <c r="A2352" s="0" t="s">
        <v>124</v>
      </c>
      <c r="B2352" s="0" t="s">
        <v>125</v>
      </c>
      <c r="C2352" s="0" t="s">
        <v>106</v>
      </c>
      <c r="D2352" s="0" t="s">
        <v>176</v>
      </c>
      <c r="E2352" s="0" t="n">
        <v>49</v>
      </c>
      <c r="F2352" s="0" t="n">
        <v>2</v>
      </c>
      <c r="G2352" s="1"/>
      <c r="H2352" s="1"/>
      <c r="I2352" s="0" t="n">
        <f aca="false">32*4+14.7+10.1</f>
        <v>152.8</v>
      </c>
      <c r="J2352" s="0" t="n">
        <f aca="false">(I2352/32)*5</f>
        <v>23.875</v>
      </c>
      <c r="K2352" s="0" t="n">
        <f aca="false">J2352/F2352</f>
        <v>11.9375</v>
      </c>
      <c r="L2352" s="0" t="n">
        <v>23.5</v>
      </c>
      <c r="M2352" s="0" t="n">
        <v>0</v>
      </c>
      <c r="N2352" s="0" t="n">
        <f aca="false">L2352</f>
        <v>23.5</v>
      </c>
      <c r="O2352" s="3" t="n">
        <f aca="false">LOOKUP(L2352,$AB$3:$AC$123)</f>
        <v>1.096725</v>
      </c>
      <c r="P2352" s="3" t="n">
        <f aca="false">(O2352*(N2352/100)*(J2352/1000))*1000</f>
        <v>6.153312703125</v>
      </c>
      <c r="Q2352" s="3" t="n">
        <f aca="false">P2352/F2352</f>
        <v>3.0766563515625</v>
      </c>
      <c r="R2352" s="3" t="n">
        <v>5</v>
      </c>
      <c r="S2352" s="0" t="n">
        <v>11.4</v>
      </c>
      <c r="T2352" s="0" t="n">
        <f aca="false">(S2352/32)*5</f>
        <v>1.78125</v>
      </c>
      <c r="U2352" s="0" t="n">
        <f aca="false">T2352/R2352</f>
        <v>0.35625</v>
      </c>
      <c r="V2352" s="0" t="n">
        <v>24</v>
      </c>
      <c r="W2352" s="0" t="n">
        <v>4</v>
      </c>
      <c r="X2352" s="3" t="n">
        <f aca="false">LOOKUP(V2352,$AB$3:$AC$123)</f>
        <v>1.099</v>
      </c>
      <c r="Y2352" s="2" t="n">
        <f aca="false">(V2352*((W2352+T2352)/1000)*X2352)/((((W2352+T2352)/1000)*X2352)-((W2352/1000)*0.9982))</f>
        <v>64.5910935675766</v>
      </c>
      <c r="Z2352" s="3" t="n">
        <f aca="false">(X2352*(V2352/100)*((W2352+T2352)/1000))*1000</f>
        <v>1.5248625</v>
      </c>
      <c r="AA2352" s="0" t="n">
        <f aca="false">Z2352/R2352</f>
        <v>0.3049725</v>
      </c>
    </row>
    <row r="2353" customFormat="false" ht="15" hidden="false" customHeight="false" outlineLevel="0" collapsed="false">
      <c r="A2353" s="0" t="s">
        <v>126</v>
      </c>
      <c r="B2353" s="0" t="s">
        <v>127</v>
      </c>
      <c r="C2353" s="0" t="s">
        <v>106</v>
      </c>
      <c r="D2353" s="0" t="s">
        <v>176</v>
      </c>
      <c r="E2353" s="0" t="n">
        <v>49</v>
      </c>
      <c r="F2353" s="0" t="n">
        <v>0</v>
      </c>
      <c r="G2353" s="1"/>
      <c r="H2353" s="1"/>
      <c r="I2353" s="0" t="n">
        <v>0</v>
      </c>
      <c r="L2353" s="0" t="n">
        <v>0</v>
      </c>
      <c r="M2353" s="0" t="n">
        <v>0</v>
      </c>
      <c r="O2353" s="3" t="n">
        <v>0</v>
      </c>
      <c r="P2353" s="3"/>
      <c r="Q2353" s="3"/>
      <c r="R2353" s="3" t="n">
        <v>3</v>
      </c>
      <c r="S2353" s="0" t="n">
        <v>17.9</v>
      </c>
      <c r="T2353" s="0" t="n">
        <f aca="false">(S2353/32)*5</f>
        <v>2.796875</v>
      </c>
      <c r="U2353" s="0" t="n">
        <f aca="false">T2353/R2353</f>
        <v>0.932291666666667</v>
      </c>
      <c r="V2353" s="0" t="n">
        <v>28.5</v>
      </c>
      <c r="W2353" s="0" t="n">
        <v>4</v>
      </c>
      <c r="X2353" s="3" t="n">
        <f aca="false">LOOKUP(V2353,$AB$3:$AC$123)</f>
        <v>1.119875</v>
      </c>
      <c r="Y2353" s="2" t="n">
        <f aca="false">(V2353*((W2353+T2353)/1000)*X2353)/((((W2353+T2353)/1000)*X2353)-((W2353/1000)*0.9982))</f>
        <v>59.945013669202</v>
      </c>
      <c r="Z2353" s="3" t="n">
        <f aca="false">(X2353*(V2353/100)*((W2353+T2353)/1000))*1000</f>
        <v>2.16932036132812</v>
      </c>
      <c r="AA2353" s="0" t="n">
        <f aca="false">Z2353/R2353</f>
        <v>0.723106787109375</v>
      </c>
    </row>
    <row r="2354" customFormat="false" ht="15" hidden="false" customHeight="false" outlineLevel="0" collapsed="false">
      <c r="A2354" s="0" t="s">
        <v>26</v>
      </c>
      <c r="B2354" s="0" t="s">
        <v>27</v>
      </c>
      <c r="C2354" s="0" t="s">
        <v>28</v>
      </c>
      <c r="D2354" s="0" t="s">
        <v>177</v>
      </c>
      <c r="E2354" s="0" t="n">
        <v>50</v>
      </c>
      <c r="F2354" s="0" t="n">
        <v>1</v>
      </c>
      <c r="G2354" s="3" t="n">
        <v>8</v>
      </c>
      <c r="H2354" s="3" t="n">
        <v>36</v>
      </c>
      <c r="I2354" s="0" t="n">
        <f aca="false">32+20.2</f>
        <v>52.2</v>
      </c>
      <c r="J2354" s="0" t="n">
        <f aca="false">(I2354/32)*5</f>
        <v>8.15625</v>
      </c>
      <c r="K2354" s="0" t="n">
        <f aca="false">J2354/F2354</f>
        <v>8.15625</v>
      </c>
      <c r="L2354" s="0" t="n">
        <v>25</v>
      </c>
      <c r="M2354" s="0" t="n">
        <v>0</v>
      </c>
      <c r="N2354" s="0" t="n">
        <f aca="false">L2354</f>
        <v>25</v>
      </c>
      <c r="O2354" s="3" t="n">
        <f aca="false">LOOKUP(L2354,$AB$3:$AC$123)</f>
        <v>1.10355</v>
      </c>
      <c r="P2354" s="3" t="n">
        <f aca="false">(O2354*(N2354/100)*(J2354/1000))*1000</f>
        <v>2.250207421875</v>
      </c>
      <c r="Q2354" s="3" t="n">
        <f aca="false">P2354/F2354</f>
        <v>2.250207421875</v>
      </c>
      <c r="R2354" s="3" t="n">
        <v>3</v>
      </c>
      <c r="S2354" s="0" t="n">
        <v>12.3</v>
      </c>
      <c r="T2354" s="0" t="n">
        <f aca="false">(S2354/32)*5</f>
        <v>1.921875</v>
      </c>
      <c r="U2354" s="0" t="n">
        <f aca="false">T2354/R2354</f>
        <v>0.640625</v>
      </c>
      <c r="V2354" s="0" t="n">
        <v>22</v>
      </c>
      <c r="W2354" s="0" t="n">
        <v>4</v>
      </c>
      <c r="X2354" s="3" t="n">
        <f aca="false">LOOKUP(V2354,$AB$3:$AC$123)</f>
        <v>1.0899</v>
      </c>
      <c r="Y2354" s="2" t="n">
        <f aca="false">(V2354*((W2354+T2354)/1000)*X2354)/((((W2354+T2354)/1000)*X2354)-((W2354/1000)*0.9982))</f>
        <v>57.6869098454989</v>
      </c>
      <c r="Z2354" s="3" t="n">
        <f aca="false">(X2354*(V2354/100)*((W2354+T2354)/1000))*1000</f>
        <v>1.41993534375</v>
      </c>
      <c r="AA2354" s="0" t="n">
        <f aca="false">Z2354/R2354</f>
        <v>0.47331178125</v>
      </c>
    </row>
    <row r="2355" customFormat="false" ht="15" hidden="false" customHeight="false" outlineLevel="0" collapsed="false">
      <c r="A2355" s="0" t="s">
        <v>32</v>
      </c>
      <c r="B2355" s="0" t="s">
        <v>33</v>
      </c>
      <c r="C2355" s="0" t="s">
        <v>28</v>
      </c>
      <c r="D2355" s="0" t="s">
        <v>177</v>
      </c>
      <c r="E2355" s="0" t="n">
        <v>50</v>
      </c>
      <c r="F2355" s="0" t="n">
        <v>1</v>
      </c>
      <c r="G2355" s="3" t="n">
        <v>14</v>
      </c>
      <c r="H2355" s="3" t="n">
        <v>82</v>
      </c>
      <c r="I2355" s="3" t="n">
        <v>32</v>
      </c>
      <c r="J2355" s="0" t="n">
        <f aca="false">(I2355/32)*5</f>
        <v>5</v>
      </c>
      <c r="K2355" s="0" t="n">
        <f aca="false">J2355/F2355</f>
        <v>5</v>
      </c>
      <c r="L2355" s="0" t="n">
        <v>16</v>
      </c>
      <c r="M2355" s="0" t="n">
        <v>0</v>
      </c>
      <c r="N2355" s="0" t="n">
        <f aca="false">L2355</f>
        <v>16</v>
      </c>
      <c r="O2355" s="3" t="n">
        <f aca="false">LOOKUP(L2355,$AB$3:$AC$123)</f>
        <v>1.0635</v>
      </c>
      <c r="P2355" s="3" t="n">
        <f aca="false">(O2355*(N2355/100)*(J2355/1000))*1000</f>
        <v>0.8508</v>
      </c>
      <c r="Q2355" s="3" t="n">
        <f aca="false">P2355/F2355</f>
        <v>0.8508</v>
      </c>
      <c r="R2355" s="3" t="n">
        <v>6</v>
      </c>
      <c r="S2355" s="0" t="n">
        <v>9.6</v>
      </c>
      <c r="T2355" s="0" t="n">
        <f aca="false">(S2355/32)*5</f>
        <v>1.5</v>
      </c>
      <c r="U2355" s="0" t="n">
        <f aca="false">T2355/R2355</f>
        <v>0.25</v>
      </c>
      <c r="V2355" s="0" t="n">
        <v>18</v>
      </c>
      <c r="W2355" s="0" t="n">
        <v>4</v>
      </c>
      <c r="X2355" s="3" t="n">
        <f aca="false">LOOKUP(V2355,$AB$3:$AC$123)</f>
        <v>1.0722</v>
      </c>
      <c r="Y2355" s="2" t="n">
        <f aca="false">(V2355*((W2355+T2355)/1000)*X2355)/((((W2355+T2355)/1000)*X2355)-((W2355/1000)*0.9982))</f>
        <v>55.7411122197133</v>
      </c>
      <c r="Z2355" s="3" t="n">
        <f aca="false">(X2355*(V2355/100)*((W2355+T2355)/1000))*1000</f>
        <v>1.061478</v>
      </c>
      <c r="AA2355" s="0" t="n">
        <f aca="false">Z2355/R2355</f>
        <v>0.176913</v>
      </c>
    </row>
    <row r="2356" customFormat="false" ht="15" hidden="false" customHeight="false" outlineLevel="0" collapsed="false">
      <c r="A2356" s="0" t="s">
        <v>34</v>
      </c>
      <c r="B2356" s="0" t="s">
        <v>35</v>
      </c>
      <c r="C2356" s="0" t="s">
        <v>28</v>
      </c>
      <c r="D2356" s="0" t="s">
        <v>177</v>
      </c>
      <c r="E2356" s="0" t="n">
        <v>50</v>
      </c>
      <c r="F2356" s="0" t="n">
        <v>1</v>
      </c>
      <c r="G2356" s="3" t="n">
        <v>10</v>
      </c>
      <c r="H2356" s="3" t="n">
        <v>54</v>
      </c>
      <c r="I2356" s="3" t="n">
        <v>67.4</v>
      </c>
      <c r="J2356" s="0" t="n">
        <f aca="false">(I2356/32)*5</f>
        <v>10.53125</v>
      </c>
      <c r="K2356" s="0" t="n">
        <f aca="false">J2356/F2356</f>
        <v>10.53125</v>
      </c>
      <c r="L2356" s="0" t="n">
        <v>17</v>
      </c>
      <c r="M2356" s="0" t="n">
        <v>0</v>
      </c>
      <c r="N2356" s="0" t="n">
        <f aca="false">L2356</f>
        <v>17</v>
      </c>
      <c r="O2356" s="3" t="n">
        <f aca="false">LOOKUP(L2356,$AB$3:$AC$123)</f>
        <v>1.0678</v>
      </c>
      <c r="P2356" s="3" t="n">
        <f aca="false">(O2356*(N2356/100)*(J2356/1000))*1000</f>
        <v>1.9116956875</v>
      </c>
      <c r="Q2356" s="3" t="n">
        <f aca="false">P2356/F2356</f>
        <v>1.9116956875</v>
      </c>
      <c r="R2356" s="3" t="n">
        <v>4</v>
      </c>
      <c r="S2356" s="0" t="n">
        <v>23.3</v>
      </c>
      <c r="T2356" s="0" t="n">
        <f aca="false">(S2356/32)*5</f>
        <v>3.640625</v>
      </c>
      <c r="U2356" s="0" t="n">
        <f aca="false">T2356/R2356</f>
        <v>0.91015625</v>
      </c>
      <c r="V2356" s="0" t="n">
        <v>29</v>
      </c>
      <c r="W2356" s="0" t="n">
        <v>4</v>
      </c>
      <c r="X2356" s="3" t="n">
        <f aca="false">LOOKUP(V2356,$AB$3:$AC$123)</f>
        <v>1.12225</v>
      </c>
      <c r="Y2356" s="2" t="n">
        <f aca="false">(V2356*((W2356+T2356)/1000)*X2356)/((((W2356+T2356)/1000)*X2356)-((W2356/1000)*0.9982))</f>
        <v>54.2714850120745</v>
      </c>
      <c r="Z2356" s="3" t="n">
        <f aca="false">(X2356*(V2356/100)*((W2356+T2356)/1000))*1000</f>
        <v>2.4866605078125</v>
      </c>
      <c r="AA2356" s="0" t="n">
        <f aca="false">Z2356/R2356</f>
        <v>0.621665126953125</v>
      </c>
    </row>
    <row r="2357" customFormat="false" ht="15" hidden="false" customHeight="false" outlineLevel="0" collapsed="false">
      <c r="A2357" s="0" t="s">
        <v>36</v>
      </c>
      <c r="B2357" s="0" t="s">
        <v>37</v>
      </c>
      <c r="C2357" s="0" t="s">
        <v>28</v>
      </c>
      <c r="D2357" s="0" t="s">
        <v>177</v>
      </c>
      <c r="E2357" s="0" t="n">
        <v>50</v>
      </c>
      <c r="F2357" s="0" t="n">
        <v>0</v>
      </c>
      <c r="G2357" s="3" t="n">
        <v>8</v>
      </c>
      <c r="H2357" s="3" t="n">
        <v>41</v>
      </c>
      <c r="I2357" s="3" t="n">
        <v>0</v>
      </c>
      <c r="L2357" s="0" t="n">
        <v>0</v>
      </c>
      <c r="M2357" s="0" t="n">
        <v>0</v>
      </c>
      <c r="O2357" s="3" t="n">
        <f aca="false">LOOKUP(L2357,$AB$3:$AC$123)</f>
        <v>0.9982</v>
      </c>
      <c r="P2357" s="3"/>
      <c r="Q2357" s="3"/>
      <c r="R2357" s="3" t="n">
        <v>2</v>
      </c>
      <c r="S2357" s="0" t="n">
        <v>6.1</v>
      </c>
      <c r="T2357" s="0" t="n">
        <f aca="false">(S2357/32)*5</f>
        <v>0.953125</v>
      </c>
      <c r="U2357" s="0" t="n">
        <f aca="false">T2357/R2357</f>
        <v>0.4765625</v>
      </c>
      <c r="V2357" s="0" t="n">
        <v>9</v>
      </c>
      <c r="W2357" s="0" t="n">
        <v>4</v>
      </c>
      <c r="X2357" s="3" t="n">
        <f aca="false">LOOKUP(V2357,$AB$3:$AC$123)</f>
        <v>1.0341</v>
      </c>
      <c r="Y2357" s="2" t="n">
        <f aca="false">(V2357*((W2357+T2357)/1000)*X2357)/((((W2357+T2357)/1000)*X2357)-((W2357/1000)*0.9982))</f>
        <v>40.8228433454867</v>
      </c>
      <c r="Z2357" s="3" t="n">
        <f aca="false">(X2357*(V2357/100)*((W2357+T2357)/1000))*1000</f>
        <v>0.460982390625</v>
      </c>
      <c r="AA2357" s="0" t="n">
        <f aca="false">Z2357/R2357</f>
        <v>0.2304911953125</v>
      </c>
    </row>
    <row r="2358" customFormat="false" ht="15" hidden="false" customHeight="false" outlineLevel="0" collapsed="false">
      <c r="A2358" s="0" t="s">
        <v>38</v>
      </c>
      <c r="B2358" s="0" t="s">
        <v>39</v>
      </c>
      <c r="C2358" s="0" t="s">
        <v>28</v>
      </c>
      <c r="D2358" s="0" t="s">
        <v>177</v>
      </c>
      <c r="E2358" s="0" t="n">
        <v>50</v>
      </c>
      <c r="F2358" s="0" t="n">
        <v>3</v>
      </c>
      <c r="G2358" s="3" t="n">
        <v>16</v>
      </c>
      <c r="H2358" s="3" t="n">
        <v>68</v>
      </c>
      <c r="I2358" s="0" t="n">
        <f aca="false">32*4+20+14.1</f>
        <v>162.1</v>
      </c>
      <c r="J2358" s="0" t="n">
        <f aca="false">(I2358/32)*5</f>
        <v>25.328125</v>
      </c>
      <c r="K2358" s="0" t="n">
        <f aca="false">J2358/F2358</f>
        <v>8.44270833333333</v>
      </c>
      <c r="L2358" s="0" t="n">
        <v>20</v>
      </c>
      <c r="M2358" s="0" t="n">
        <v>0</v>
      </c>
      <c r="N2358" s="0" t="n">
        <f aca="false">L2358</f>
        <v>20</v>
      </c>
      <c r="O2358" s="3" t="n">
        <f aca="false">LOOKUP(L2358,$AB$3:$AC$123)</f>
        <v>1.081</v>
      </c>
      <c r="P2358" s="3" t="n">
        <f aca="false">(O2358*(N2358/100)*(J2358/1000))*1000</f>
        <v>5.475940625</v>
      </c>
      <c r="Q2358" s="3" t="n">
        <f aca="false">P2358/F2358</f>
        <v>1.82531354166667</v>
      </c>
      <c r="R2358" s="3" t="n">
        <v>8</v>
      </c>
      <c r="S2358" s="0" t="n">
        <v>25.1</v>
      </c>
      <c r="T2358" s="0" t="n">
        <f aca="false">(S2358/32)*5</f>
        <v>3.921875</v>
      </c>
      <c r="U2358" s="0" t="n">
        <f aca="false">T2358/R2358</f>
        <v>0.490234375</v>
      </c>
      <c r="V2358" s="0" t="n">
        <v>30</v>
      </c>
      <c r="W2358" s="0" t="n">
        <v>4</v>
      </c>
      <c r="X2358" s="3" t="n">
        <f aca="false">LOOKUP(V2358,$AB$3:$AC$123)</f>
        <v>1.127</v>
      </c>
      <c r="Y2358" s="2" t="n">
        <f aca="false">(V2358*((W2358+T2358)/1000)*X2358)/((((W2358+T2358)/1000)*X2358)-((W2358/1000)*0.9982))</f>
        <v>54.2715873177694</v>
      </c>
      <c r="Z2358" s="3" t="n">
        <f aca="false">(X2358*(V2358/100)*((W2358+T2358)/1000))*1000</f>
        <v>2.6783859375</v>
      </c>
      <c r="AA2358" s="0" t="n">
        <f aca="false">Z2358/R2358</f>
        <v>0.3347982421875</v>
      </c>
    </row>
    <row r="2359" customFormat="false" ht="15" hidden="false" customHeight="false" outlineLevel="0" collapsed="false">
      <c r="A2359" s="0" t="s">
        <v>40</v>
      </c>
      <c r="B2359" s="0" t="s">
        <v>41</v>
      </c>
      <c r="C2359" s="0" t="s">
        <v>28</v>
      </c>
      <c r="D2359" s="0" t="s">
        <v>177</v>
      </c>
      <c r="E2359" s="0" t="n">
        <v>50</v>
      </c>
      <c r="F2359" s="0" t="n">
        <v>1</v>
      </c>
      <c r="G2359" s="3" t="n">
        <v>10</v>
      </c>
      <c r="H2359" s="3" t="n">
        <v>50</v>
      </c>
      <c r="I2359" s="0" t="n">
        <f aca="false">64+13.2</f>
        <v>77.2</v>
      </c>
      <c r="J2359" s="0" t="n">
        <f aca="false">(I2359/32)*5</f>
        <v>12.0625</v>
      </c>
      <c r="K2359" s="0" t="n">
        <f aca="false">J2359/F2359</f>
        <v>12.0625</v>
      </c>
      <c r="L2359" s="0" t="n">
        <v>28</v>
      </c>
      <c r="M2359" s="0" t="n">
        <v>0</v>
      </c>
      <c r="N2359" s="0" t="n">
        <f aca="false">L2359</f>
        <v>28</v>
      </c>
      <c r="O2359" s="3" t="n">
        <f aca="false">LOOKUP(L2359,$AB$3:$AC$123)</f>
        <v>1.1175</v>
      </c>
      <c r="P2359" s="3" t="n">
        <f aca="false">(O2359*(N2359/100)*(J2359/1000))*1000</f>
        <v>3.77435625</v>
      </c>
      <c r="Q2359" s="3" t="n">
        <f aca="false">P2359/F2359</f>
        <v>3.77435625</v>
      </c>
      <c r="R2359" s="3" t="n">
        <v>6</v>
      </c>
      <c r="S2359" s="0" t="n">
        <v>13</v>
      </c>
      <c r="T2359" s="0" t="n">
        <f aca="false">(S2359/32)*5</f>
        <v>2.03125</v>
      </c>
      <c r="U2359" s="0" t="n">
        <f aca="false">T2359/R2359</f>
        <v>0.338541666666667</v>
      </c>
      <c r="V2359" s="0" t="n">
        <v>21</v>
      </c>
      <c r="W2359" s="0" t="n">
        <v>4</v>
      </c>
      <c r="X2359" s="3" t="n">
        <f aca="false">LOOKUP(V2359,$AB$3:$AC$123)</f>
        <v>1.08545</v>
      </c>
      <c r="Y2359" s="2" t="n">
        <f aca="false">(V2359*((W2359+T2359)/1000)*X2359)/((((W2359+T2359)/1000)*X2359)-((W2359/1000)*0.9982))</f>
        <v>53.8326936666575</v>
      </c>
      <c r="Z2359" s="3" t="n">
        <f aca="false">(X2359*(V2359/100)*((W2359+T2359)/1000))*1000</f>
        <v>1.374790265625</v>
      </c>
      <c r="AA2359" s="0" t="n">
        <f aca="false">Z2359/R2359</f>
        <v>0.2291317109375</v>
      </c>
    </row>
    <row r="2360" customFormat="false" ht="15" hidden="false" customHeight="false" outlineLevel="0" collapsed="false">
      <c r="A2360" s="0" t="s">
        <v>42</v>
      </c>
      <c r="B2360" s="0" t="s">
        <v>43</v>
      </c>
      <c r="C2360" s="0" t="s">
        <v>28</v>
      </c>
      <c r="D2360" s="0" t="s">
        <v>177</v>
      </c>
      <c r="E2360" s="0" t="n">
        <v>50</v>
      </c>
      <c r="F2360" s="0" t="n">
        <v>1</v>
      </c>
      <c r="G2360" s="3" t="n">
        <v>7</v>
      </c>
      <c r="H2360" s="3" t="n">
        <v>56</v>
      </c>
      <c r="I2360" s="0" t="n">
        <f aca="false">32+17.6</f>
        <v>49.6</v>
      </c>
      <c r="J2360" s="0" t="n">
        <f aca="false">(I2360/32)*5</f>
        <v>7.75</v>
      </c>
      <c r="K2360" s="0" t="n">
        <f aca="false">J2360/F2360</f>
        <v>7.75</v>
      </c>
      <c r="L2360" s="0" t="n">
        <v>22</v>
      </c>
      <c r="M2360" s="0" t="n">
        <v>0</v>
      </c>
      <c r="N2360" s="0" t="n">
        <f aca="false">L2360</f>
        <v>22</v>
      </c>
      <c r="O2360" s="3" t="n">
        <f aca="false">LOOKUP(L2360,$AB$3:$AC$123)</f>
        <v>1.0899</v>
      </c>
      <c r="P2360" s="3" t="n">
        <f aca="false">(O2360*(N2360/100)*(J2360/1000))*1000</f>
        <v>1.8582795</v>
      </c>
      <c r="Q2360" s="3" t="n">
        <f aca="false">P2360/F2360</f>
        <v>1.8582795</v>
      </c>
      <c r="R2360" s="3" t="n">
        <v>3</v>
      </c>
      <c r="S2360" s="0" t="n">
        <v>11</v>
      </c>
      <c r="T2360" s="0" t="n">
        <f aca="false">(S2360/32)*5</f>
        <v>1.71875</v>
      </c>
      <c r="U2360" s="0" t="n">
        <f aca="false">T2360/R2360</f>
        <v>0.572916666666667</v>
      </c>
      <c r="V2360" s="0" t="n">
        <v>20</v>
      </c>
      <c r="W2360" s="0" t="n">
        <v>4</v>
      </c>
      <c r="X2360" s="3" t="n">
        <f aca="false">LOOKUP(V2360,$AB$3:$AC$123)</f>
        <v>1.081</v>
      </c>
      <c r="Y2360" s="2" t="n">
        <f aca="false">(V2360*((W2360+T2360)/1000)*X2360)/((((W2360+T2360)/1000)*X2360)-((W2360/1000)*0.9982))</f>
        <v>56.4777726705628</v>
      </c>
      <c r="Z2360" s="3" t="n">
        <f aca="false">(X2360*(V2360/100)*((W2360+T2360)/1000))*1000</f>
        <v>1.23639375</v>
      </c>
      <c r="AA2360" s="0" t="n">
        <f aca="false">Z2360/R2360</f>
        <v>0.41213125</v>
      </c>
    </row>
    <row r="2361" customFormat="false" ht="15" hidden="false" customHeight="false" outlineLevel="0" collapsed="false">
      <c r="A2361" s="0" t="s">
        <v>44</v>
      </c>
      <c r="B2361" s="0" t="s">
        <v>45</v>
      </c>
      <c r="C2361" s="0" t="s">
        <v>28</v>
      </c>
      <c r="D2361" s="0" t="s">
        <v>177</v>
      </c>
      <c r="E2361" s="0" t="n">
        <v>50</v>
      </c>
      <c r="F2361" s="0" t="n">
        <v>0</v>
      </c>
      <c r="G2361" s="3" t="n">
        <v>7</v>
      </c>
      <c r="H2361" s="3" t="n">
        <v>35</v>
      </c>
      <c r="I2361" s="3" t="n">
        <v>0</v>
      </c>
      <c r="L2361" s="0" t="n">
        <v>0</v>
      </c>
      <c r="M2361" s="0" t="n">
        <v>0</v>
      </c>
      <c r="O2361" s="3" t="n">
        <f aca="false">LOOKUP(L2361,$AB$3:$AC$123)</f>
        <v>0.9982</v>
      </c>
      <c r="P2361" s="3"/>
      <c r="Q2361" s="3"/>
      <c r="R2361" s="3" t="n">
        <v>2</v>
      </c>
      <c r="S2361" s="0" t="n">
        <v>7.4</v>
      </c>
      <c r="T2361" s="0" t="n">
        <f aca="false">(S2361/32)*5</f>
        <v>1.15625</v>
      </c>
      <c r="U2361" s="0" t="n">
        <f aca="false">T2361/R2361</f>
        <v>0.578125</v>
      </c>
      <c r="V2361" s="0" t="n">
        <v>15.5</v>
      </c>
      <c r="W2361" s="0" t="n">
        <v>4</v>
      </c>
      <c r="X2361" s="3" t="n">
        <f aca="false">LOOKUP(V2361,$AB$3:$AC$123)</f>
        <v>1.06135</v>
      </c>
      <c r="Y2361" s="2" t="n">
        <f aca="false">(V2361*((W2361+T2361)/1000)*X2361)/((((W2361+T2361)/1000)*X2361)-((W2361/1000)*0.9982))</f>
        <v>57.3225355652158</v>
      </c>
      <c r="Z2361" s="3" t="n">
        <f aca="false">(X2361*(V2361/100)*((W2361+T2361)/1000))*1000</f>
        <v>0.8482508203125</v>
      </c>
      <c r="AA2361" s="0" t="n">
        <f aca="false">Z2361/R2361</f>
        <v>0.42412541015625</v>
      </c>
    </row>
    <row r="2362" customFormat="false" ht="15" hidden="false" customHeight="false" outlineLevel="0" collapsed="false">
      <c r="A2362" s="0" t="s">
        <v>46</v>
      </c>
      <c r="B2362" s="0" t="s">
        <v>47</v>
      </c>
      <c r="C2362" s="0" t="s">
        <v>28</v>
      </c>
      <c r="D2362" s="0" t="s">
        <v>177</v>
      </c>
      <c r="E2362" s="0" t="n">
        <v>50</v>
      </c>
      <c r="F2362" s="0" t="n">
        <v>0</v>
      </c>
      <c r="G2362" s="3" t="n">
        <v>7</v>
      </c>
      <c r="H2362" s="3" t="n">
        <v>57</v>
      </c>
      <c r="I2362" s="3" t="n">
        <v>0</v>
      </c>
      <c r="L2362" s="0" t="n">
        <v>0</v>
      </c>
      <c r="M2362" s="0" t="n">
        <v>0</v>
      </c>
      <c r="O2362" s="3" t="n">
        <f aca="false">LOOKUP(L2362,$AB$3:$AC$123)</f>
        <v>0.9982</v>
      </c>
      <c r="P2362" s="3"/>
      <c r="Q2362" s="3"/>
      <c r="R2362" s="3" t="n">
        <v>3</v>
      </c>
      <c r="S2362" s="0" t="n">
        <v>2</v>
      </c>
      <c r="T2362" s="0" t="n">
        <f aca="false">(S2362/32)*5</f>
        <v>0.3125</v>
      </c>
      <c r="U2362" s="0" t="n">
        <f aca="false">T2362/R2362</f>
        <v>0.104166666666667</v>
      </c>
      <c r="V2362" s="0" t="n">
        <v>21</v>
      </c>
      <c r="W2362" s="0" t="n">
        <v>1</v>
      </c>
      <c r="X2362" s="3" t="n">
        <f aca="false">LOOKUP(V2362,$AB$3:$AC$123)</f>
        <v>1.08545</v>
      </c>
      <c r="Y2362" s="2" t="n">
        <f aca="false">(V2362*((W2362+T2362)/1000)*X2362)/((((W2362+T2362)/1000)*X2362)-((W2362/1000)*0.9982))</f>
        <v>70.1547576301616</v>
      </c>
      <c r="Z2362" s="3" t="n">
        <f aca="false">(X2362*(V2362/100)*((W2362+T2362)/1000))*1000</f>
        <v>0.29917715625</v>
      </c>
      <c r="AA2362" s="0" t="n">
        <f aca="false">Z2362/R2362</f>
        <v>0.09972571875</v>
      </c>
    </row>
    <row r="2363" customFormat="false" ht="15" hidden="false" customHeight="false" outlineLevel="0" collapsed="false">
      <c r="A2363" s="0" t="s">
        <v>48</v>
      </c>
      <c r="B2363" s="0" t="s">
        <v>49</v>
      </c>
      <c r="C2363" s="0" t="s">
        <v>28</v>
      </c>
      <c r="D2363" s="0" t="s">
        <v>177</v>
      </c>
      <c r="E2363" s="0" t="n">
        <v>50</v>
      </c>
      <c r="F2363" s="0" t="n">
        <v>1</v>
      </c>
      <c r="G2363" s="3" t="n">
        <v>9</v>
      </c>
      <c r="H2363" s="3" t="n">
        <v>40</v>
      </c>
      <c r="I2363" s="0" t="n">
        <f aca="false">64-3.2</f>
        <v>60.8</v>
      </c>
      <c r="J2363" s="0" t="n">
        <f aca="false">(I2363/32)*5</f>
        <v>9.5</v>
      </c>
      <c r="K2363" s="0" t="n">
        <f aca="false">J2363/F2363</f>
        <v>9.5</v>
      </c>
      <c r="L2363" s="0" t="n">
        <v>12</v>
      </c>
      <c r="M2363" s="0" t="n">
        <v>0</v>
      </c>
      <c r="N2363" s="0" t="n">
        <f aca="false">L2363</f>
        <v>12</v>
      </c>
      <c r="O2363" s="3" t="n">
        <f aca="false">LOOKUP(L2363,$AB$3:$AC$123)</f>
        <v>1.0465</v>
      </c>
      <c r="P2363" s="3" t="n">
        <f aca="false">(O2363*(N2363/100)*(J2363/1000))*1000</f>
        <v>1.19301</v>
      </c>
      <c r="Q2363" s="3" t="n">
        <f aca="false">P2363/F2363</f>
        <v>1.19301</v>
      </c>
      <c r="R2363" s="3" t="n">
        <v>3</v>
      </c>
      <c r="S2363" s="0" t="n">
        <v>8.9</v>
      </c>
      <c r="T2363" s="0" t="n">
        <f aca="false">(S2363/32)*5</f>
        <v>1.390625</v>
      </c>
      <c r="U2363" s="0" t="n">
        <f aca="false">T2363/R2363</f>
        <v>0.463541666666667</v>
      </c>
      <c r="V2363" s="0" t="n">
        <v>17</v>
      </c>
      <c r="W2363" s="0" t="n">
        <v>4</v>
      </c>
      <c r="X2363" s="3" t="n">
        <f aca="false">LOOKUP(V2363,$AB$3:$AC$123)</f>
        <v>1.0678</v>
      </c>
      <c r="Y2363" s="2" t="n">
        <f aca="false">(V2363*((W2363+T2363)/1000)*X2363)/((((W2363+T2363)/1000)*X2363)-((W2363/1000)*0.9982))</f>
        <v>55.4944360657075</v>
      </c>
      <c r="Z2363" s="3" t="n">
        <f aca="false">(X2363*(V2363/100)*((W2363+T2363)/1000))*1000</f>
        <v>0.97853859375</v>
      </c>
      <c r="AA2363" s="0" t="n">
        <f aca="false">Z2363/R2363</f>
        <v>0.32617953125</v>
      </c>
    </row>
    <row r="2364" customFormat="false" ht="15" hidden="false" customHeight="false" outlineLevel="0" collapsed="false">
      <c r="A2364" s="0" t="s">
        <v>50</v>
      </c>
      <c r="B2364" s="0" t="s">
        <v>51</v>
      </c>
      <c r="C2364" s="0" t="s">
        <v>28</v>
      </c>
      <c r="D2364" s="0" t="s">
        <v>177</v>
      </c>
      <c r="E2364" s="0" t="n">
        <v>50</v>
      </c>
      <c r="F2364" s="0" t="n">
        <v>0</v>
      </c>
      <c r="G2364" s="3" t="n">
        <v>3</v>
      </c>
      <c r="H2364" s="3" t="n">
        <v>57</v>
      </c>
      <c r="I2364" s="3" t="n">
        <v>0</v>
      </c>
      <c r="L2364" s="0" t="n">
        <v>0</v>
      </c>
      <c r="M2364" s="0" t="n">
        <v>0</v>
      </c>
      <c r="O2364" s="3" t="n">
        <f aca="false">LOOKUP(L2364,$AB$3:$AC$123)</f>
        <v>0.9982</v>
      </c>
      <c r="P2364" s="3"/>
      <c r="Q2364" s="3"/>
      <c r="R2364" s="3" t="n">
        <v>2</v>
      </c>
      <c r="S2364" s="0" t="n">
        <v>3</v>
      </c>
      <c r="T2364" s="0" t="n">
        <f aca="false">(S2364/32)*5</f>
        <v>0.46875</v>
      </c>
      <c r="U2364" s="0" t="n">
        <f aca="false">T2364/R2364</f>
        <v>0.234375</v>
      </c>
      <c r="V2364" s="0" t="n">
        <v>6.5</v>
      </c>
      <c r="W2364" s="0" t="n">
        <v>4</v>
      </c>
      <c r="X2364" s="3" t="n">
        <f aca="false">LOOKUP(V2364,$AB$3:$AC$123)</f>
        <v>1.02385</v>
      </c>
      <c r="Y2364" s="2" t="n">
        <f aca="false">(V2364*((W2364+T2364)/1000)*X2364)/((((W2364+T2364)/1000)*X2364)-((W2364/1000)*0.9982))</f>
        <v>51.0525791335743</v>
      </c>
      <c r="Z2364" s="3" t="n">
        <f aca="false">(X2364*(V2364/100)*((W2364+T2364)/1000))*1000</f>
        <v>0.2973964296875</v>
      </c>
      <c r="AA2364" s="0" t="n">
        <f aca="false">Z2364/R2364</f>
        <v>0.14869821484375</v>
      </c>
    </row>
    <row r="2365" customFormat="false" ht="15" hidden="false" customHeight="false" outlineLevel="0" collapsed="false">
      <c r="A2365" s="0" t="s">
        <v>52</v>
      </c>
      <c r="B2365" s="0" t="s">
        <v>53</v>
      </c>
      <c r="C2365" s="0" t="s">
        <v>28</v>
      </c>
      <c r="D2365" s="0" t="s">
        <v>177</v>
      </c>
      <c r="E2365" s="0" t="n">
        <v>50</v>
      </c>
      <c r="F2365" s="0" t="n">
        <v>0</v>
      </c>
      <c r="G2365" s="3" t="n">
        <v>3</v>
      </c>
      <c r="H2365" s="3" t="n">
        <v>47</v>
      </c>
      <c r="I2365" s="3" t="n">
        <v>0</v>
      </c>
      <c r="L2365" s="0" t="n">
        <v>0</v>
      </c>
      <c r="M2365" s="0" t="n">
        <v>0</v>
      </c>
      <c r="O2365" s="3" t="n">
        <f aca="false">LOOKUP(L2365,$AB$3:$AC$123)</f>
        <v>0.9982</v>
      </c>
      <c r="P2365" s="3"/>
      <c r="Q2365" s="3"/>
      <c r="R2365" s="3" t="n">
        <v>2</v>
      </c>
      <c r="S2365" s="0" t="n">
        <v>2.7</v>
      </c>
      <c r="T2365" s="0" t="n">
        <f aca="false">(S2365/32)*5</f>
        <v>0.421875</v>
      </c>
      <c r="U2365" s="0" t="n">
        <f aca="false">T2365/R2365</f>
        <v>0.2109375</v>
      </c>
      <c r="V2365" s="0" t="n">
        <v>12</v>
      </c>
      <c r="W2365" s="0" t="n">
        <v>4</v>
      </c>
      <c r="X2365" s="3" t="n">
        <f aca="false">LOOKUP(V2365,$AB$3:$AC$123)</f>
        <v>1.0465</v>
      </c>
      <c r="Y2365" s="2" t="n">
        <f aca="false">(V2365*((W2365+T2365)/1000)*X2365)/((((W2365+T2365)/1000)*X2365)-((W2365/1000)*0.9982))</f>
        <v>87.4910820451844</v>
      </c>
      <c r="Z2365" s="3" t="n">
        <f aca="false">(X2365*(V2365/100)*((W2365+T2365)/1000))*1000</f>
        <v>0.5552990625</v>
      </c>
      <c r="AA2365" s="0" t="n">
        <f aca="false">Z2365/R2365</f>
        <v>0.27764953125</v>
      </c>
    </row>
    <row r="2366" customFormat="false" ht="15" hidden="false" customHeight="false" outlineLevel="0" collapsed="false">
      <c r="A2366" s="0" t="s">
        <v>54</v>
      </c>
      <c r="B2366" s="0" t="s">
        <v>55</v>
      </c>
      <c r="C2366" s="0" t="s">
        <v>56</v>
      </c>
      <c r="D2366" s="0" t="s">
        <v>177</v>
      </c>
      <c r="E2366" s="0" t="n">
        <v>50</v>
      </c>
      <c r="F2366" s="0" t="n">
        <v>0</v>
      </c>
      <c r="G2366" s="3" t="n">
        <v>4</v>
      </c>
      <c r="H2366" s="3" t="n">
        <v>30</v>
      </c>
      <c r="I2366" s="3" t="n">
        <v>0</v>
      </c>
      <c r="L2366" s="0" t="n">
        <v>0</v>
      </c>
      <c r="M2366" s="0" t="n">
        <v>0</v>
      </c>
      <c r="O2366" s="3" t="n">
        <f aca="false">LOOKUP(L2366,$AB$3:$AC$123)</f>
        <v>0.9982</v>
      </c>
      <c r="P2366" s="3"/>
      <c r="Q2366" s="3"/>
      <c r="R2366" s="3" t="n">
        <v>3</v>
      </c>
      <c r="S2366" s="0" t="n">
        <v>5.8</v>
      </c>
      <c r="T2366" s="0" t="n">
        <f aca="false">(S2366/32)*5</f>
        <v>0.90625</v>
      </c>
      <c r="U2366" s="0" t="n">
        <f aca="false">T2366/R2366</f>
        <v>0.302083333333333</v>
      </c>
      <c r="V2366" s="0" t="n">
        <v>10.5</v>
      </c>
      <c r="W2366" s="0" t="n">
        <v>4</v>
      </c>
      <c r="X2366" s="3" t="n">
        <f aca="false">LOOKUP(V2366,$AB$3:$AC$123)</f>
        <v>1.0402</v>
      </c>
      <c r="Y2366" s="2" t="n">
        <f aca="false">(V2366*((W2366+T2366)/1000)*X2366)/((((W2366+T2366)/1000)*X2366)-((W2366/1000)*0.9982))</f>
        <v>48.2465632016387</v>
      </c>
      <c r="Z2366" s="3" t="n">
        <f aca="false">(X2366*(V2366/100)*((W2366+T2366)/1000))*1000</f>
        <v>0.53586553125</v>
      </c>
      <c r="AA2366" s="0" t="n">
        <f aca="false">Z2366/R2366</f>
        <v>0.17862184375</v>
      </c>
    </row>
    <row r="2367" customFormat="false" ht="15" hidden="false" customHeight="false" outlineLevel="0" collapsed="false">
      <c r="A2367" s="0" t="s">
        <v>57</v>
      </c>
      <c r="B2367" s="0" t="s">
        <v>58</v>
      </c>
      <c r="C2367" s="0" t="s">
        <v>56</v>
      </c>
      <c r="D2367" s="0" t="s">
        <v>177</v>
      </c>
      <c r="E2367" s="0" t="n">
        <v>50</v>
      </c>
      <c r="F2367" s="0" t="n">
        <v>0</v>
      </c>
      <c r="G2367" s="3" t="n">
        <v>8</v>
      </c>
      <c r="H2367" s="3" t="n">
        <v>59</v>
      </c>
      <c r="I2367" s="3" t="n">
        <v>0</v>
      </c>
      <c r="L2367" s="0" t="n">
        <v>0</v>
      </c>
      <c r="M2367" s="0" t="n">
        <v>0</v>
      </c>
      <c r="O2367" s="3" t="n">
        <f aca="false">LOOKUP(L2367,$AB$3:$AC$123)</f>
        <v>0.9982</v>
      </c>
      <c r="P2367" s="3"/>
      <c r="Q2367" s="3"/>
      <c r="R2367" s="3" t="n">
        <v>3</v>
      </c>
      <c r="S2367" s="0" t="n">
        <v>5.7</v>
      </c>
      <c r="T2367" s="0" t="n">
        <f aca="false">(S2367/32)*5</f>
        <v>0.890625</v>
      </c>
      <c r="U2367" s="0" t="n">
        <f aca="false">T2367/R2367</f>
        <v>0.296875</v>
      </c>
      <c r="V2367" s="0" t="n">
        <v>12</v>
      </c>
      <c r="W2367" s="0" t="n">
        <v>4</v>
      </c>
      <c r="X2367" s="3" t="n">
        <f aca="false">LOOKUP(V2367,$AB$3:$AC$123)</f>
        <v>1.0465</v>
      </c>
      <c r="Y2367" s="2" t="n">
        <f aca="false">(V2367*((W2367+T2367)/1000)*X2367)/((((W2367+T2367)/1000)*X2367)-((W2367/1000)*0.9982))</f>
        <v>54.5808182427901</v>
      </c>
      <c r="Z2367" s="3" t="n">
        <f aca="false">(X2367*(V2367/100)*((W2367+T2367)/1000))*1000</f>
        <v>0.6141646875</v>
      </c>
      <c r="AA2367" s="0" t="n">
        <f aca="false">Z2367/R2367</f>
        <v>0.2047215625</v>
      </c>
    </row>
    <row r="2368" customFormat="false" ht="15" hidden="false" customHeight="false" outlineLevel="0" collapsed="false">
      <c r="A2368" s="0" t="s">
        <v>59</v>
      </c>
      <c r="B2368" s="0" t="s">
        <v>60</v>
      </c>
      <c r="C2368" s="0" t="s">
        <v>56</v>
      </c>
      <c r="D2368" s="0" t="s">
        <v>177</v>
      </c>
      <c r="E2368" s="0" t="n">
        <v>50</v>
      </c>
      <c r="F2368" s="0" t="n">
        <v>3</v>
      </c>
      <c r="G2368" s="3" t="n">
        <v>10</v>
      </c>
      <c r="H2368" s="3" t="n">
        <v>63</v>
      </c>
      <c r="I2368" s="0" t="n">
        <f aca="false">32*5+16.8+6.5</f>
        <v>183.3</v>
      </c>
      <c r="J2368" s="0" t="n">
        <f aca="false">(I2368/32)*5</f>
        <v>28.640625</v>
      </c>
      <c r="K2368" s="0" t="n">
        <f aca="false">J2368/F2368</f>
        <v>9.546875</v>
      </c>
      <c r="L2368" s="0" t="n">
        <v>20</v>
      </c>
      <c r="M2368" s="0" t="n">
        <v>0</v>
      </c>
      <c r="N2368" s="0" t="n">
        <f aca="false">L2368</f>
        <v>20</v>
      </c>
      <c r="O2368" s="3" t="n">
        <f aca="false">LOOKUP(L2368,$AB$3:$AC$123)</f>
        <v>1.081</v>
      </c>
      <c r="P2368" s="3" t="n">
        <f aca="false">(O2368*(N2368/100)*(J2368/1000))*1000</f>
        <v>6.192103125</v>
      </c>
      <c r="Q2368" s="3" t="n">
        <f aca="false">P2368/F2368</f>
        <v>2.064034375</v>
      </c>
      <c r="R2368" s="3" t="n">
        <v>7</v>
      </c>
      <c r="S2368" s="0" t="n">
        <v>18.5</v>
      </c>
      <c r="T2368" s="0" t="n">
        <f aca="false">(S2368/32)*5</f>
        <v>2.890625</v>
      </c>
      <c r="U2368" s="0" t="n">
        <f aca="false">T2368/R2368</f>
        <v>0.412946428571429</v>
      </c>
      <c r="V2368" s="0" t="n">
        <v>26</v>
      </c>
      <c r="W2368" s="0" t="n">
        <v>4</v>
      </c>
      <c r="X2368" s="3" t="n">
        <f aca="false">LOOKUP(V2368,$AB$3:$AC$123)</f>
        <v>1.1081</v>
      </c>
      <c r="Y2368" s="2" t="n">
        <f aca="false">(V2368*((W2368+T2368)/1000)*X2368)/((((W2368+T2368)/1000)*X2368)-((W2368/1000)*0.9982))</f>
        <v>54.4988485108708</v>
      </c>
      <c r="Z2368" s="3" t="n">
        <f aca="false">(X2368*(V2368/100)*((W2368+T2368)/1000))*1000</f>
        <v>1.98523040625</v>
      </c>
      <c r="AA2368" s="0" t="n">
        <f aca="false">Z2368/R2368</f>
        <v>0.28360434375</v>
      </c>
    </row>
    <row r="2369" customFormat="false" ht="15" hidden="false" customHeight="false" outlineLevel="0" collapsed="false">
      <c r="A2369" s="0" t="s">
        <v>61</v>
      </c>
      <c r="B2369" s="0" t="s">
        <v>62</v>
      </c>
      <c r="C2369" s="0" t="s">
        <v>56</v>
      </c>
      <c r="D2369" s="0" t="s">
        <v>177</v>
      </c>
      <c r="E2369" s="0" t="n">
        <v>50</v>
      </c>
      <c r="F2369" s="0" t="n">
        <v>0</v>
      </c>
      <c r="G2369" s="3" t="n">
        <v>13</v>
      </c>
      <c r="H2369" s="3" t="n">
        <v>77</v>
      </c>
      <c r="I2369" s="3" t="n">
        <v>0</v>
      </c>
      <c r="L2369" s="0" t="n">
        <v>0</v>
      </c>
      <c r="M2369" s="0" t="n">
        <v>0</v>
      </c>
      <c r="O2369" s="3" t="n">
        <f aca="false">LOOKUP(L2369,$AB$3:$AC$123)</f>
        <v>0.9982</v>
      </c>
      <c r="P2369" s="3"/>
      <c r="Q2369" s="3"/>
      <c r="R2369" s="3" t="n">
        <v>4</v>
      </c>
      <c r="S2369" s="0" t="n">
        <v>14.1</v>
      </c>
      <c r="T2369" s="0" t="n">
        <f aca="false">(S2369/32)*5</f>
        <v>2.203125</v>
      </c>
      <c r="U2369" s="0" t="n">
        <f aca="false">T2369/R2369</f>
        <v>0.55078125</v>
      </c>
      <c r="V2369" s="0" t="n">
        <v>21</v>
      </c>
      <c r="W2369" s="0" t="n">
        <v>4</v>
      </c>
      <c r="X2369" s="3" t="n">
        <f aca="false">LOOKUP(V2369,$AB$3:$AC$123)</f>
        <v>1.08545</v>
      </c>
      <c r="Y2369" s="2" t="n">
        <f aca="false">(V2369*((W2369+T2369)/1000)*X2369)/((((W2369+T2369)/1000)*X2369)-((W2369/1000)*0.9982))</f>
        <v>51.5974856949975</v>
      </c>
      <c r="Z2369" s="3" t="n">
        <f aca="false">(X2369*(V2369/100)*((W2369+T2369)/1000))*1000</f>
        <v>1.4139682265625</v>
      </c>
      <c r="AA2369" s="0" t="n">
        <f aca="false">Z2369/R2369</f>
        <v>0.353492056640625</v>
      </c>
    </row>
    <row r="2370" customFormat="false" ht="15" hidden="false" customHeight="false" outlineLevel="0" collapsed="false">
      <c r="A2370" s="0" t="s">
        <v>63</v>
      </c>
      <c r="B2370" s="0" t="s">
        <v>64</v>
      </c>
      <c r="C2370" s="0" t="s">
        <v>56</v>
      </c>
      <c r="D2370" s="0" t="s">
        <v>177</v>
      </c>
      <c r="E2370" s="0" t="n">
        <v>50</v>
      </c>
      <c r="F2370" s="0" t="n">
        <v>1</v>
      </c>
      <c r="G2370" s="3" t="n">
        <v>4</v>
      </c>
      <c r="H2370" s="3" t="n">
        <v>29</v>
      </c>
      <c r="I2370" s="0" t="n">
        <f aca="false">32*2+18.5</f>
        <v>82.5</v>
      </c>
      <c r="J2370" s="0" t="n">
        <f aca="false">(I2370/32)*5</f>
        <v>12.890625</v>
      </c>
      <c r="K2370" s="0" t="n">
        <f aca="false">J2370/F2370</f>
        <v>12.890625</v>
      </c>
      <c r="L2370" s="0" t="n">
        <v>20</v>
      </c>
      <c r="M2370" s="0" t="n">
        <v>0</v>
      </c>
      <c r="N2370" s="0" t="n">
        <f aca="false">L2370</f>
        <v>20</v>
      </c>
      <c r="O2370" s="3" t="n">
        <f aca="false">LOOKUP(L2370,$AB$3:$AC$123)</f>
        <v>1.081</v>
      </c>
      <c r="P2370" s="3" t="n">
        <f aca="false">(O2370*(N2370/100)*(J2370/1000))*1000</f>
        <v>2.786953125</v>
      </c>
      <c r="Q2370" s="3" t="n">
        <f aca="false">P2370/F2370</f>
        <v>2.786953125</v>
      </c>
      <c r="R2370" s="3" t="n">
        <v>3</v>
      </c>
      <c r="S2370" s="0" t="n">
        <v>3.7</v>
      </c>
      <c r="T2370" s="0" t="n">
        <f aca="false">(S2370/32)*5</f>
        <v>0.578125</v>
      </c>
      <c r="U2370" s="0" t="n">
        <f aca="false">T2370/R2370</f>
        <v>0.192708333333333</v>
      </c>
      <c r="V2370" s="0" t="n">
        <v>2.5</v>
      </c>
      <c r="W2370" s="0" t="n">
        <v>4</v>
      </c>
      <c r="X2370" s="3" t="n">
        <f aca="false">LOOKUP(V2370,$AB$3:$AC$123)</f>
        <v>1.00795</v>
      </c>
      <c r="Y2370" s="2" t="n">
        <f aca="false">(V2370*((W2370+T2370)/1000)*X2370)/((((W2370+T2370)/1000)*X2370)-((W2370/1000)*0.9982))</f>
        <v>18.5554308038547</v>
      </c>
      <c r="Z2370" s="3" t="n">
        <f aca="false">(X2370*(V2370/100)*((W2370+T2370)/1000))*1000</f>
        <v>0.11536302734375</v>
      </c>
      <c r="AA2370" s="0" t="n">
        <f aca="false">Z2370/R2370</f>
        <v>0.0384543424479167</v>
      </c>
    </row>
    <row r="2371" customFormat="false" ht="15" hidden="false" customHeight="false" outlineLevel="0" collapsed="false">
      <c r="A2371" s="0" t="s">
        <v>65</v>
      </c>
      <c r="B2371" s="0" t="s">
        <v>66</v>
      </c>
      <c r="C2371" s="0" t="s">
        <v>56</v>
      </c>
      <c r="D2371" s="0" t="s">
        <v>177</v>
      </c>
      <c r="E2371" s="0" t="n">
        <v>50</v>
      </c>
      <c r="F2371" s="0" t="n">
        <v>0</v>
      </c>
      <c r="G2371" s="3" t="n">
        <v>19</v>
      </c>
      <c r="H2371" s="3" t="n">
        <v>107</v>
      </c>
      <c r="I2371" s="3" t="n">
        <v>0</v>
      </c>
      <c r="L2371" s="0" t="n">
        <v>0</v>
      </c>
      <c r="M2371" s="0" t="n">
        <v>0</v>
      </c>
      <c r="O2371" s="3" t="n">
        <f aca="false">LOOKUP(L2371,$AB$3:$AC$123)</f>
        <v>0.9982</v>
      </c>
      <c r="P2371" s="3"/>
      <c r="Q2371" s="3"/>
      <c r="R2371" s="3" t="n">
        <v>6</v>
      </c>
      <c r="S2371" s="0" t="n">
        <v>24.3</v>
      </c>
      <c r="T2371" s="0" t="n">
        <f aca="false">(S2371/32)*5</f>
        <v>3.796875</v>
      </c>
      <c r="U2371" s="0" t="n">
        <f aca="false">T2371/R2371</f>
        <v>0.6328125</v>
      </c>
      <c r="V2371" s="0" t="n">
        <v>40</v>
      </c>
      <c r="W2371" s="0" t="n">
        <v>4</v>
      </c>
      <c r="X2371" s="3" t="n">
        <f aca="false">LOOKUP(V2371,$AB$3:$AC$123)</f>
        <v>1.1765</v>
      </c>
      <c r="Y2371" s="2" t="n">
        <f aca="false">(V2371*((W2371+T2371)/1000)*X2371)/((((W2371+T2371)/1000)*X2371)-((W2371/1000)*0.9982))</f>
        <v>70.8311025435377</v>
      </c>
      <c r="Z2371" s="3" t="n">
        <f aca="false">(X2371*(V2371/100)*((W2371+T2371)/1000))*1000</f>
        <v>3.669209375</v>
      </c>
      <c r="AA2371" s="0" t="n">
        <f aca="false">Z2371/R2371</f>
        <v>0.611534895833333</v>
      </c>
    </row>
    <row r="2372" customFormat="false" ht="15" hidden="false" customHeight="false" outlineLevel="0" collapsed="false">
      <c r="A2372" s="0" t="s">
        <v>67</v>
      </c>
      <c r="B2372" s="0" t="s">
        <v>68</v>
      </c>
      <c r="C2372" s="0" t="s">
        <v>56</v>
      </c>
      <c r="D2372" s="0" t="s">
        <v>177</v>
      </c>
      <c r="E2372" s="0" t="n">
        <v>50</v>
      </c>
      <c r="F2372" s="0" t="n">
        <v>1</v>
      </c>
      <c r="G2372" s="3" t="n">
        <v>7</v>
      </c>
      <c r="H2372" s="3" t="n">
        <v>81</v>
      </c>
      <c r="I2372" s="0" t="n">
        <f aca="false">32*2+22.7-5.3</f>
        <v>81.4</v>
      </c>
      <c r="J2372" s="0" t="n">
        <f aca="false">(I2372/32)*5</f>
        <v>12.71875</v>
      </c>
      <c r="K2372" s="0" t="n">
        <f aca="false">J2372/F2372</f>
        <v>12.71875</v>
      </c>
      <c r="L2372" s="0" t="n">
        <v>21</v>
      </c>
      <c r="M2372" s="0" t="n">
        <v>0</v>
      </c>
      <c r="N2372" s="0" t="n">
        <f aca="false">L2372</f>
        <v>21</v>
      </c>
      <c r="O2372" s="3" t="n">
        <f aca="false">LOOKUP(L2372,$AB$3:$AC$123)</f>
        <v>1.08545</v>
      </c>
      <c r="P2372" s="3" t="n">
        <f aca="false">(O2372*(N2372/100)*(J2372/1000))*1000</f>
        <v>2.899169109375</v>
      </c>
      <c r="Q2372" s="3" t="n">
        <f aca="false">P2372/F2372</f>
        <v>2.899169109375</v>
      </c>
      <c r="R2372" s="3" t="n">
        <v>3</v>
      </c>
      <c r="S2372" s="0" t="n">
        <v>8.2</v>
      </c>
      <c r="T2372" s="0" t="n">
        <f aca="false">(S2372/32)*5</f>
        <v>1.28125</v>
      </c>
      <c r="U2372" s="0" t="n">
        <f aca="false">T2372/R2372</f>
        <v>0.427083333333333</v>
      </c>
      <c r="V2372" s="0" t="n">
        <v>14</v>
      </c>
      <c r="W2372" s="0" t="n">
        <v>4</v>
      </c>
      <c r="X2372" s="3" t="n">
        <f aca="false">LOOKUP(V2372,$AB$3:$AC$123)</f>
        <v>1.0549</v>
      </c>
      <c r="Y2372" s="2" t="n">
        <f aca="false">(V2372*((W2372+T2372)/1000)*X2372)/((((W2372+T2372)/1000)*X2372)-((W2372/1000)*0.9982))</f>
        <v>49.4153142540364</v>
      </c>
      <c r="Z2372" s="3" t="n">
        <f aca="false">(X2372*(V2372/100)*((W2372+T2372)/1000))*1000</f>
        <v>0.7799666875</v>
      </c>
      <c r="AA2372" s="0" t="n">
        <f aca="false">Z2372/R2372</f>
        <v>0.259988895833333</v>
      </c>
    </row>
    <row r="2373" customFormat="false" ht="15" hidden="false" customHeight="false" outlineLevel="0" collapsed="false">
      <c r="A2373" s="0" t="s">
        <v>69</v>
      </c>
      <c r="B2373" s="0" t="s">
        <v>70</v>
      </c>
      <c r="C2373" s="0" t="s">
        <v>56</v>
      </c>
      <c r="D2373" s="0" t="s">
        <v>177</v>
      </c>
      <c r="E2373" s="0" t="n">
        <v>50</v>
      </c>
      <c r="F2373" s="0" t="n">
        <v>0</v>
      </c>
      <c r="G2373" s="3" t="n">
        <v>17</v>
      </c>
      <c r="H2373" s="3" t="n">
        <v>82</v>
      </c>
      <c r="I2373" s="3" t="n">
        <v>0</v>
      </c>
      <c r="L2373" s="0" t="n">
        <v>0</v>
      </c>
      <c r="M2373" s="0" t="n">
        <v>0</v>
      </c>
      <c r="O2373" s="3" t="n">
        <f aca="false">LOOKUP(L2373,$AB$3:$AC$123)</f>
        <v>0.9982</v>
      </c>
      <c r="P2373" s="3"/>
      <c r="Q2373" s="3"/>
      <c r="R2373" s="3" t="n">
        <v>3</v>
      </c>
      <c r="S2373" s="0" t="n">
        <v>7.3</v>
      </c>
      <c r="T2373" s="0" t="n">
        <f aca="false">(S2373/32)*5</f>
        <v>1.140625</v>
      </c>
      <c r="U2373" s="0" t="n">
        <f aca="false">T2373/R2373</f>
        <v>0.380208333333333</v>
      </c>
      <c r="V2373" s="0" t="n">
        <v>16</v>
      </c>
      <c r="W2373" s="0" t="n">
        <v>4</v>
      </c>
      <c r="X2373" s="3" t="n">
        <f aca="false">LOOKUP(V2373,$AB$3:$AC$123)</f>
        <v>1.0635</v>
      </c>
      <c r="Y2373" s="2" t="n">
        <f aca="false">(V2373*((W2373+T2373)/1000)*X2373)/((((W2373+T2373)/1000)*X2373)-((W2373/1000)*0.9982))</f>
        <v>59.3336251474527</v>
      </c>
      <c r="Z2373" s="3" t="n">
        <f aca="false">(X2373*(V2373/100)*((W2373+T2373)/1000))*1000</f>
        <v>0.87472875</v>
      </c>
      <c r="AA2373" s="0" t="n">
        <f aca="false">Z2373/R2373</f>
        <v>0.29157625</v>
      </c>
    </row>
    <row r="2374" customFormat="false" ht="15" hidden="false" customHeight="false" outlineLevel="0" collapsed="false">
      <c r="A2374" s="0" t="s">
        <v>71</v>
      </c>
      <c r="B2374" s="0" t="s">
        <v>72</v>
      </c>
      <c r="C2374" s="0" t="s">
        <v>56</v>
      </c>
      <c r="D2374" s="0" t="s">
        <v>177</v>
      </c>
      <c r="E2374" s="0" t="n">
        <v>50</v>
      </c>
      <c r="F2374" s="0" t="n">
        <v>0</v>
      </c>
      <c r="G2374" s="3" t="n">
        <v>5</v>
      </c>
      <c r="H2374" s="3" t="n">
        <v>33</v>
      </c>
      <c r="I2374" s="3" t="n">
        <v>0</v>
      </c>
      <c r="L2374" s="0" t="n">
        <v>0</v>
      </c>
      <c r="M2374" s="0" t="n">
        <v>0</v>
      </c>
      <c r="O2374" s="3" t="n">
        <f aca="false">LOOKUP(L2374,$AB$3:$AC$123)</f>
        <v>0.9982</v>
      </c>
      <c r="P2374" s="3"/>
      <c r="Q2374" s="3"/>
      <c r="R2374" s="3" t="n">
        <v>2</v>
      </c>
      <c r="S2374" s="0" t="n">
        <v>8.6</v>
      </c>
      <c r="T2374" s="0" t="n">
        <f aca="false">(S2374/32)*5</f>
        <v>1.34375</v>
      </c>
      <c r="U2374" s="0" t="n">
        <f aca="false">T2374/R2374</f>
        <v>0.671875</v>
      </c>
      <c r="V2374" s="0" t="n">
        <v>15.5</v>
      </c>
      <c r="W2374" s="0" t="n">
        <v>4</v>
      </c>
      <c r="X2374" s="3" t="n">
        <f aca="false">LOOKUP(V2374,$AB$3:$AC$123)</f>
        <v>1.06135</v>
      </c>
      <c r="Y2374" s="2" t="n">
        <f aca="false">(V2374*((W2374+T2374)/1000)*X2374)/((((W2374+T2374)/1000)*X2374)-((W2374/1000)*0.9982))</f>
        <v>52.3649054145241</v>
      </c>
      <c r="Z2374" s="3" t="n">
        <f aca="false">(X2374*(V2374/100)*((W2374+T2374)/1000))*1000</f>
        <v>0.8790963046875</v>
      </c>
      <c r="AA2374" s="0" t="n">
        <f aca="false">Z2374/R2374</f>
        <v>0.43954815234375</v>
      </c>
    </row>
    <row r="2375" customFormat="false" ht="15" hidden="false" customHeight="false" outlineLevel="0" collapsed="false">
      <c r="A2375" s="0" t="s">
        <v>73</v>
      </c>
      <c r="B2375" s="0" t="s">
        <v>74</v>
      </c>
      <c r="C2375" s="0" t="s">
        <v>56</v>
      </c>
      <c r="D2375" s="0" t="s">
        <v>177</v>
      </c>
      <c r="E2375" s="0" t="n">
        <v>50</v>
      </c>
      <c r="F2375" s="0" t="n">
        <v>1</v>
      </c>
      <c r="G2375" s="3" t="n">
        <v>4</v>
      </c>
      <c r="H2375" s="3" t="n">
        <v>39</v>
      </c>
      <c r="I2375" s="0" t="n">
        <f aca="false">64+13.9</f>
        <v>77.9</v>
      </c>
      <c r="J2375" s="0" t="n">
        <f aca="false">(I2375/32)*5</f>
        <v>12.171875</v>
      </c>
      <c r="K2375" s="0" t="n">
        <f aca="false">J2375/F2375</f>
        <v>12.171875</v>
      </c>
      <c r="L2375" s="0" t="n">
        <v>20</v>
      </c>
      <c r="M2375" s="0" t="n">
        <v>0</v>
      </c>
      <c r="N2375" s="0" t="n">
        <f aca="false">L2375</f>
        <v>20</v>
      </c>
      <c r="O2375" s="3" t="n">
        <f aca="false">LOOKUP(L2375,$AB$3:$AC$123)</f>
        <v>1.081</v>
      </c>
      <c r="P2375" s="3" t="n">
        <f aca="false">(O2375*(N2375/100)*(J2375/1000))*1000</f>
        <v>2.631559375</v>
      </c>
      <c r="Q2375" s="3" t="n">
        <f aca="false">P2375/F2375</f>
        <v>2.631559375</v>
      </c>
      <c r="R2375" s="3" t="n">
        <v>5</v>
      </c>
      <c r="S2375" s="0" t="n">
        <v>11.3</v>
      </c>
      <c r="T2375" s="0" t="n">
        <f aca="false">(S2375/32)*5</f>
        <v>1.765625</v>
      </c>
      <c r="U2375" s="0" t="n">
        <f aca="false">T2375/R2375</f>
        <v>0.353125</v>
      </c>
      <c r="V2375" s="0" t="n">
        <v>21</v>
      </c>
      <c r="W2375" s="0" t="n">
        <v>4</v>
      </c>
      <c r="X2375" s="3" t="n">
        <f aca="false">LOOKUP(V2375,$AB$3:$AC$123)</f>
        <v>1.08545</v>
      </c>
      <c r="Y2375" s="2" t="n">
        <f aca="false">(V2375*((W2375+T2375)/1000)*X2375)/((((W2375+T2375)/1000)*X2375)-((W2375/1000)*0.9982))</f>
        <v>58.0112058022572</v>
      </c>
      <c r="Z2375" s="3" t="n">
        <f aca="false">(X2375*(V2375/100)*((W2375+T2375)/1000))*1000</f>
        <v>1.3142425078125</v>
      </c>
      <c r="AA2375" s="0" t="n">
        <f aca="false">Z2375/R2375</f>
        <v>0.2628485015625</v>
      </c>
    </row>
    <row r="2376" customFormat="false" ht="15" hidden="false" customHeight="false" outlineLevel="0" collapsed="false">
      <c r="A2376" s="0" t="s">
        <v>75</v>
      </c>
      <c r="B2376" s="0" t="s">
        <v>76</v>
      </c>
      <c r="C2376" s="0" t="s">
        <v>56</v>
      </c>
      <c r="D2376" s="0" t="s">
        <v>177</v>
      </c>
      <c r="E2376" s="0" t="n">
        <v>50</v>
      </c>
      <c r="F2376" s="0" t="n">
        <v>2</v>
      </c>
      <c r="G2376" s="3" t="n">
        <v>14</v>
      </c>
      <c r="H2376" s="3" t="n">
        <v>79</v>
      </c>
      <c r="I2376" s="0" t="n">
        <f aca="false">32*6+19.9-6</f>
        <v>205.9</v>
      </c>
      <c r="J2376" s="0" t="n">
        <f aca="false">(I2376/32)*5</f>
        <v>32.171875</v>
      </c>
      <c r="K2376" s="0" t="n">
        <f aca="false">J2376/F2376</f>
        <v>16.0859375</v>
      </c>
      <c r="L2376" s="0" t="n">
        <v>19</v>
      </c>
      <c r="M2376" s="0" t="n">
        <v>0</v>
      </c>
      <c r="N2376" s="0" t="n">
        <f aca="false">L2376</f>
        <v>19</v>
      </c>
      <c r="O2376" s="3" t="n">
        <f aca="false">LOOKUP(L2376,$AB$3:$AC$123)</f>
        <v>1.0765</v>
      </c>
      <c r="P2376" s="3" t="n">
        <f aca="false">(O2376*(N2376/100)*(J2376/1000))*1000</f>
        <v>6.580274453125</v>
      </c>
      <c r="Q2376" s="3" t="n">
        <f aca="false">P2376/F2376</f>
        <v>3.2901372265625</v>
      </c>
      <c r="R2376" s="3" t="n">
        <v>10</v>
      </c>
      <c r="S2376" s="0" t="n">
        <v>16.4</v>
      </c>
      <c r="T2376" s="0" t="n">
        <f aca="false">(S2376/32)*5</f>
        <v>2.5625</v>
      </c>
      <c r="U2376" s="0" t="n">
        <f aca="false">T2376/R2376</f>
        <v>0.25625</v>
      </c>
      <c r="V2376" s="0" t="n">
        <v>38</v>
      </c>
      <c r="W2376" s="0" t="n">
        <v>4</v>
      </c>
      <c r="X2376" s="3" t="n">
        <f aca="false">LOOKUP(V2376,$AB$3:$AC$123)</f>
        <v>1.1663</v>
      </c>
      <c r="Y2376" s="2" t="n">
        <f aca="false">(V2376*((W2376+T2376)/1000)*X2376)/((((W2376+T2376)/1000)*X2376)-((W2376/1000)*0.9982))</f>
        <v>79.4434817939556</v>
      </c>
      <c r="Z2376" s="3" t="n">
        <f aca="false">(X2376*(V2376/100)*((W2376+T2376)/1000))*1000</f>
        <v>2.908460625</v>
      </c>
      <c r="AA2376" s="0" t="n">
        <f aca="false">Z2376/R2376</f>
        <v>0.2908460625</v>
      </c>
    </row>
    <row r="2377" customFormat="false" ht="15" hidden="false" customHeight="false" outlineLevel="0" collapsed="false">
      <c r="A2377" s="0" t="s">
        <v>77</v>
      </c>
      <c r="B2377" s="0" t="s">
        <v>78</v>
      </c>
      <c r="C2377" s="0" t="s">
        <v>56</v>
      </c>
      <c r="D2377" s="0" t="s">
        <v>177</v>
      </c>
      <c r="E2377" s="0" t="n">
        <v>50</v>
      </c>
      <c r="F2377" s="0" t="n">
        <v>2</v>
      </c>
      <c r="G2377" s="3" t="n">
        <v>7</v>
      </c>
      <c r="H2377" s="3" t="n">
        <v>58</v>
      </c>
      <c r="I2377" s="0" t="n">
        <f aca="false">32*4-7.4</f>
        <v>120.6</v>
      </c>
      <c r="J2377" s="0" t="n">
        <f aca="false">(I2377/32)*5</f>
        <v>18.84375</v>
      </c>
      <c r="K2377" s="0" t="n">
        <f aca="false">J2377/F2377</f>
        <v>9.421875</v>
      </c>
      <c r="L2377" s="0" t="n">
        <v>17</v>
      </c>
      <c r="M2377" s="0" t="n">
        <v>0</v>
      </c>
      <c r="N2377" s="0" t="n">
        <f aca="false">L2377</f>
        <v>17</v>
      </c>
      <c r="O2377" s="3" t="n">
        <f aca="false">LOOKUP(L2377,$AB$3:$AC$123)</f>
        <v>1.0678</v>
      </c>
      <c r="P2377" s="3" t="n">
        <f aca="false">(O2377*(N2377/100)*(J2377/1000))*1000</f>
        <v>3.4206305625</v>
      </c>
      <c r="Q2377" s="3" t="n">
        <f aca="false">P2377/F2377</f>
        <v>1.71031528125</v>
      </c>
      <c r="R2377" s="3" t="n">
        <v>4</v>
      </c>
      <c r="S2377" s="0" t="n">
        <v>4.7</v>
      </c>
      <c r="T2377" s="0" t="n">
        <f aca="false">(S2377/32)*5</f>
        <v>0.734375</v>
      </c>
      <c r="U2377" s="0" t="n">
        <f aca="false">T2377/R2377</f>
        <v>0.18359375</v>
      </c>
      <c r="V2377" s="0" t="n">
        <v>12.5</v>
      </c>
      <c r="W2377" s="0" t="n">
        <v>4</v>
      </c>
      <c r="X2377" s="3" t="n">
        <f aca="false">LOOKUP(V2377,$AB$3:$AC$123)</f>
        <v>1.0486</v>
      </c>
      <c r="Y2377" s="2" t="n">
        <f aca="false">(V2377*((W2377+T2377)/1000)*X2377)/((((W2377+T2377)/1000)*X2377)-((W2377/1000)*0.9982))</f>
        <v>63.8654066953331</v>
      </c>
      <c r="Z2377" s="3" t="n">
        <f aca="false">(X2377*(V2377/100)*((W2377+T2377)/1000))*1000</f>
        <v>0.620558203125</v>
      </c>
      <c r="AA2377" s="0" t="n">
        <f aca="false">Z2377/R2377</f>
        <v>0.15513955078125</v>
      </c>
    </row>
    <row r="2378" customFormat="false" ht="15" hidden="false" customHeight="false" outlineLevel="0" collapsed="false">
      <c r="A2378" s="0" t="s">
        <v>79</v>
      </c>
      <c r="B2378" s="0" t="s">
        <v>80</v>
      </c>
      <c r="C2378" s="0" t="s">
        <v>81</v>
      </c>
      <c r="D2378" s="0" t="s">
        <v>177</v>
      </c>
      <c r="E2378" s="0" t="n">
        <v>50</v>
      </c>
      <c r="F2378" s="0" t="n">
        <v>0</v>
      </c>
      <c r="G2378" s="3" t="n">
        <v>8</v>
      </c>
      <c r="H2378" s="3" t="n">
        <v>47</v>
      </c>
      <c r="I2378" s="3" t="n">
        <v>0</v>
      </c>
      <c r="L2378" s="0" t="n">
        <v>0</v>
      </c>
      <c r="M2378" s="0" t="n">
        <v>0</v>
      </c>
      <c r="O2378" s="3" t="n">
        <f aca="false">LOOKUP(L2378,$AB$3:$AC$123)</f>
        <v>0.9982</v>
      </c>
      <c r="P2378" s="3"/>
      <c r="Q2378" s="3"/>
      <c r="R2378" s="3" t="n">
        <v>5</v>
      </c>
      <c r="S2378" s="0" t="n">
        <v>15.7</v>
      </c>
      <c r="T2378" s="0" t="n">
        <f aca="false">(S2378/32)*5</f>
        <v>2.453125</v>
      </c>
      <c r="U2378" s="0" t="n">
        <f aca="false">T2378/R2378</f>
        <v>0.490625</v>
      </c>
      <c r="V2378" s="0" t="n">
        <v>26.5</v>
      </c>
      <c r="W2378" s="0" t="n">
        <v>4</v>
      </c>
      <c r="X2378" s="3" t="n">
        <f aca="false">LOOKUP(V2378,$AB$3:$AC$123)</f>
        <v>1.11045</v>
      </c>
      <c r="Y2378" s="2" t="n">
        <f aca="false">(V2378*((W2378+T2378)/1000)*X2378)/((((W2378+T2378)/1000)*X2378)-((W2378/1000)*0.9982))</f>
        <v>59.8459745372006</v>
      </c>
      <c r="Z2378" s="3" t="n">
        <f aca="false">(X2378*(V2378/100)*((W2378+T2378)/1000))*1000</f>
        <v>1.89895625390625</v>
      </c>
      <c r="AA2378" s="0" t="n">
        <f aca="false">Z2378/R2378</f>
        <v>0.37979125078125</v>
      </c>
    </row>
    <row r="2379" customFormat="false" ht="15" hidden="false" customHeight="false" outlineLevel="0" collapsed="false">
      <c r="A2379" s="0" t="s">
        <v>82</v>
      </c>
      <c r="B2379" s="0" t="s">
        <v>83</v>
      </c>
      <c r="C2379" s="0" t="s">
        <v>81</v>
      </c>
      <c r="D2379" s="0" t="s">
        <v>177</v>
      </c>
      <c r="E2379" s="0" t="n">
        <v>50</v>
      </c>
      <c r="F2379" s="0" t="n">
        <v>1</v>
      </c>
      <c r="G2379" s="3" t="n">
        <v>7</v>
      </c>
      <c r="H2379" s="3" t="n">
        <v>41</v>
      </c>
      <c r="I2379" s="3" t="n">
        <v>38</v>
      </c>
      <c r="J2379" s="0" t="n">
        <f aca="false">(I2379/32)*5</f>
        <v>5.9375</v>
      </c>
      <c r="K2379" s="0" t="n">
        <f aca="false">J2379/F2379</f>
        <v>5.9375</v>
      </c>
      <c r="L2379" s="0" t="n">
        <v>22</v>
      </c>
      <c r="M2379" s="0" t="n">
        <v>0</v>
      </c>
      <c r="N2379" s="0" t="n">
        <f aca="false">L2379</f>
        <v>22</v>
      </c>
      <c r="O2379" s="3" t="n">
        <f aca="false">LOOKUP(L2379,$AB$3:$AC$123)</f>
        <v>1.0899</v>
      </c>
      <c r="P2379" s="3" t="n">
        <f aca="false">(O2379*(N2379/100)*(J2379/1000))*1000</f>
        <v>1.423681875</v>
      </c>
      <c r="Q2379" s="3" t="n">
        <f aca="false">P2379/F2379</f>
        <v>1.423681875</v>
      </c>
      <c r="R2379" s="3" t="n">
        <v>4</v>
      </c>
      <c r="S2379" s="0" t="n">
        <v>6.8</v>
      </c>
      <c r="T2379" s="0" t="n">
        <f aca="false">(S2379/32)*5</f>
        <v>1.0625</v>
      </c>
      <c r="U2379" s="0" t="n">
        <f aca="false">T2379/R2379</f>
        <v>0.265625</v>
      </c>
      <c r="V2379" s="0" t="n">
        <v>12.5</v>
      </c>
      <c r="W2379" s="0" t="n">
        <v>4</v>
      </c>
      <c r="X2379" s="3" t="n">
        <f aca="false">LOOKUP(V2379,$AB$3:$AC$123)</f>
        <v>1.0486</v>
      </c>
      <c r="Y2379" s="2" t="n">
        <f aca="false">(V2379*((W2379+T2379)/1000)*X2379)/((((W2379+T2379)/1000)*X2379)-((W2379/1000)*0.9982))</f>
        <v>50.4330983573851</v>
      </c>
      <c r="Z2379" s="3" t="n">
        <f aca="false">(X2379*(V2379/100)*((W2379+T2379)/1000))*1000</f>
        <v>0.6635671875</v>
      </c>
      <c r="AA2379" s="0" t="n">
        <f aca="false">Z2379/R2379</f>
        <v>0.165891796875</v>
      </c>
    </row>
    <row r="2380" customFormat="false" ht="15" hidden="false" customHeight="false" outlineLevel="0" collapsed="false">
      <c r="A2380" s="0" t="s">
        <v>84</v>
      </c>
      <c r="B2380" s="0" t="s">
        <v>85</v>
      </c>
      <c r="C2380" s="0" t="s">
        <v>81</v>
      </c>
      <c r="D2380" s="0" t="s">
        <v>177</v>
      </c>
      <c r="E2380" s="0" t="n">
        <v>50</v>
      </c>
      <c r="F2380" s="0" t="n">
        <v>0</v>
      </c>
      <c r="G2380" s="3" t="n">
        <v>5</v>
      </c>
      <c r="H2380" s="3" t="n">
        <v>51</v>
      </c>
      <c r="I2380" s="3" t="n">
        <v>0</v>
      </c>
      <c r="L2380" s="0" t="n">
        <v>0</v>
      </c>
      <c r="M2380" s="0" t="n">
        <v>0</v>
      </c>
      <c r="O2380" s="3" t="n">
        <f aca="false">LOOKUP(L2380,$AB$3:$AC$123)</f>
        <v>0.9982</v>
      </c>
      <c r="P2380" s="3"/>
      <c r="Q2380" s="3"/>
      <c r="R2380" s="3" t="n">
        <v>2</v>
      </c>
      <c r="S2380" s="0" t="n">
        <v>3.4</v>
      </c>
      <c r="T2380" s="0" t="n">
        <f aca="false">(S2380/32)*5</f>
        <v>0.53125</v>
      </c>
      <c r="U2380" s="0" t="n">
        <f aca="false">T2380/R2380</f>
        <v>0.265625</v>
      </c>
      <c r="V2380" s="0" t="n">
        <v>5.5</v>
      </c>
      <c r="W2380" s="0" t="n">
        <v>4</v>
      </c>
      <c r="X2380" s="3" t="n">
        <f aca="false">LOOKUP(V2380,$AB$3:$AC$123)</f>
        <v>1.01985</v>
      </c>
      <c r="Y2380" s="2" t="n">
        <f aca="false">(V2380*((W2380+T2380)/1000)*X2380)/((((W2380+T2380)/1000)*X2380)-((W2380/1000)*0.9982))</f>
        <v>40.4467915548782</v>
      </c>
      <c r="Z2380" s="3" t="n">
        <f aca="false">(X2380*(V2380/100)*((W2380+T2380)/1000))*1000</f>
        <v>0.2541657421875</v>
      </c>
      <c r="AA2380" s="0" t="n">
        <f aca="false">Z2380/R2380</f>
        <v>0.12708287109375</v>
      </c>
    </row>
    <row r="2381" customFormat="false" ht="15" hidden="false" customHeight="false" outlineLevel="0" collapsed="false">
      <c r="A2381" s="0" t="s">
        <v>86</v>
      </c>
      <c r="B2381" s="0" t="s">
        <v>87</v>
      </c>
      <c r="C2381" s="0" t="s">
        <v>81</v>
      </c>
      <c r="D2381" s="0" t="s">
        <v>177</v>
      </c>
      <c r="E2381" s="0" t="n">
        <v>50</v>
      </c>
      <c r="F2381" s="0" t="n">
        <v>0</v>
      </c>
      <c r="G2381" s="3" t="n">
        <v>8</v>
      </c>
      <c r="H2381" s="3" t="n">
        <v>52</v>
      </c>
      <c r="I2381" s="3" t="n">
        <v>0</v>
      </c>
      <c r="L2381" s="0" t="n">
        <v>0</v>
      </c>
      <c r="M2381" s="0" t="n">
        <v>0</v>
      </c>
      <c r="O2381" s="3" t="n">
        <f aca="false">LOOKUP(L2381,$AB$3:$AC$123)</f>
        <v>0.9982</v>
      </c>
      <c r="P2381" s="3"/>
      <c r="Q2381" s="3"/>
      <c r="R2381" s="3" t="n">
        <v>3</v>
      </c>
      <c r="S2381" s="0" t="n">
        <v>5.1</v>
      </c>
      <c r="T2381" s="0" t="n">
        <f aca="false">(S2381/32)*5</f>
        <v>0.796875</v>
      </c>
      <c r="U2381" s="0" t="n">
        <f aca="false">T2381/R2381</f>
        <v>0.265625</v>
      </c>
      <c r="V2381" s="0" t="n">
        <v>7</v>
      </c>
      <c r="W2381" s="0" t="n">
        <v>4</v>
      </c>
      <c r="X2381" s="3" t="n">
        <f aca="false">LOOKUP(V2381,$AB$3:$AC$123)</f>
        <v>1.0259</v>
      </c>
      <c r="Y2381" s="2" t="n">
        <f aca="false">(V2381*((W2381+T2381)/1000)*X2381)/((((W2381+T2381)/1000)*X2381)-((W2381/1000)*0.9982))</f>
        <v>37.1079140444455</v>
      </c>
      <c r="Z2381" s="3" t="n">
        <f aca="false">(X2381*(V2381/100)*((W2381+T2381)/1000))*1000</f>
        <v>0.344477984375</v>
      </c>
      <c r="AA2381" s="0" t="n">
        <f aca="false">Z2381/R2381</f>
        <v>0.114825994791667</v>
      </c>
    </row>
    <row r="2382" customFormat="false" ht="15" hidden="false" customHeight="false" outlineLevel="0" collapsed="false">
      <c r="A2382" s="0" t="s">
        <v>88</v>
      </c>
      <c r="B2382" s="0" t="s">
        <v>89</v>
      </c>
      <c r="C2382" s="0" t="s">
        <v>81</v>
      </c>
      <c r="D2382" s="0" t="s">
        <v>177</v>
      </c>
      <c r="E2382" s="0" t="n">
        <v>50</v>
      </c>
      <c r="F2382" s="0" t="n">
        <v>0</v>
      </c>
      <c r="G2382" s="3" t="n">
        <v>2</v>
      </c>
      <c r="H2382" s="3" t="n">
        <v>51</v>
      </c>
      <c r="I2382" s="3" t="n">
        <v>0</v>
      </c>
      <c r="L2382" s="0" t="n">
        <v>0</v>
      </c>
      <c r="M2382" s="0" t="n">
        <v>0</v>
      </c>
      <c r="O2382" s="3" t="n">
        <f aca="false">LOOKUP(L2382,$AB$3:$AC$123)</f>
        <v>0.9982</v>
      </c>
      <c r="P2382" s="3"/>
      <c r="Q2382" s="3"/>
      <c r="R2382" s="3" t="n">
        <v>5</v>
      </c>
      <c r="S2382" s="0" t="n">
        <v>7.6</v>
      </c>
      <c r="T2382" s="0" t="n">
        <f aca="false">(S2382/32)*5</f>
        <v>1.1875</v>
      </c>
      <c r="U2382" s="0" t="n">
        <f aca="false">T2382/R2382</f>
        <v>0.2375</v>
      </c>
      <c r="V2382" s="0" t="n">
        <v>16</v>
      </c>
      <c r="W2382" s="0" t="n">
        <v>4</v>
      </c>
      <c r="X2382" s="3" t="n">
        <f aca="false">LOOKUP(V2382,$AB$3:$AC$123)</f>
        <v>1.0635</v>
      </c>
      <c r="Y2382" s="2" t="n">
        <f aca="false">(V2382*((W2382+T2382)/1000)*X2382)/((((W2382+T2382)/1000)*X2382)-((W2382/1000)*0.9982))</f>
        <v>57.9162377951012</v>
      </c>
      <c r="Z2382" s="3" t="n">
        <f aca="false">(X2382*(V2382/100)*((W2382+T2382)/1000))*1000</f>
        <v>0.882705</v>
      </c>
      <c r="AA2382" s="0" t="n">
        <f aca="false">Z2382/R2382</f>
        <v>0.176541</v>
      </c>
    </row>
    <row r="2383" customFormat="false" ht="15" hidden="false" customHeight="false" outlineLevel="0" collapsed="false">
      <c r="A2383" s="0" t="s">
        <v>90</v>
      </c>
      <c r="B2383" s="0" t="s">
        <v>91</v>
      </c>
      <c r="C2383" s="0" t="s">
        <v>81</v>
      </c>
      <c r="D2383" s="0" t="s">
        <v>177</v>
      </c>
      <c r="E2383" s="0" t="n">
        <v>50</v>
      </c>
      <c r="F2383" s="0" t="n">
        <v>2</v>
      </c>
      <c r="G2383" s="3" t="n">
        <v>10</v>
      </c>
      <c r="H2383" s="3" t="n">
        <v>43</v>
      </c>
      <c r="I2383" s="0" t="n">
        <f aca="false">32*3+10.3</f>
        <v>106.3</v>
      </c>
      <c r="J2383" s="0" t="n">
        <f aca="false">(I2383/32)*5</f>
        <v>16.609375</v>
      </c>
      <c r="K2383" s="0" t="n">
        <f aca="false">J2383/F2383</f>
        <v>8.3046875</v>
      </c>
      <c r="L2383" s="0" t="n">
        <v>19.5</v>
      </c>
      <c r="M2383" s="0" t="n">
        <v>0</v>
      </c>
      <c r="N2383" s="0" t="n">
        <f aca="false">L2383</f>
        <v>19.5</v>
      </c>
      <c r="O2383" s="3" t="n">
        <f aca="false">LOOKUP(L2383,$AB$3:$AC$123)</f>
        <v>1.07875</v>
      </c>
      <c r="P2383" s="3" t="n">
        <f aca="false">(O2383*(N2383/100)*(J2383/1000))*1000</f>
        <v>3.49388583984375</v>
      </c>
      <c r="Q2383" s="3" t="n">
        <f aca="false">P2383/F2383</f>
        <v>1.74694291992187</v>
      </c>
      <c r="R2383" s="3" t="n">
        <v>3</v>
      </c>
      <c r="S2383" s="0" t="n">
        <v>10.7</v>
      </c>
      <c r="T2383" s="0" t="n">
        <f aca="false">(S2383/32)*5</f>
        <v>1.671875</v>
      </c>
      <c r="U2383" s="0" t="n">
        <f aca="false">T2383/R2383</f>
        <v>0.557291666666667</v>
      </c>
      <c r="V2383" s="0" t="n">
        <v>26</v>
      </c>
      <c r="W2383" s="0" t="n">
        <v>4</v>
      </c>
      <c r="X2383" s="3" t="n">
        <f aca="false">LOOKUP(V2383,$AB$3:$AC$123)</f>
        <v>1.1081</v>
      </c>
      <c r="Y2383" s="2" t="n">
        <f aca="false">(V2383*((W2383+T2383)/1000)*X2383)/((((W2383+T2383)/1000)*X2383)-((W2383/1000)*0.9982))</f>
        <v>71.2894981700887</v>
      </c>
      <c r="Z2383" s="3" t="n">
        <f aca="false">(X2383*(V2383/100)*((W2383+T2383)/1000))*1000</f>
        <v>1.63410121875</v>
      </c>
      <c r="AA2383" s="0" t="n">
        <f aca="false">Z2383/R2383</f>
        <v>0.54470040625</v>
      </c>
    </row>
    <row r="2384" customFormat="false" ht="15" hidden="false" customHeight="false" outlineLevel="0" collapsed="false">
      <c r="A2384" s="0" t="s">
        <v>92</v>
      </c>
      <c r="B2384" s="0" t="s">
        <v>93</v>
      </c>
      <c r="C2384" s="0" t="s">
        <v>81</v>
      </c>
      <c r="D2384" s="0" t="s">
        <v>177</v>
      </c>
      <c r="E2384" s="0" t="n">
        <v>50</v>
      </c>
      <c r="F2384" s="0" t="n">
        <v>1</v>
      </c>
      <c r="G2384" s="3" t="n">
        <v>3</v>
      </c>
      <c r="H2384" s="3" t="n">
        <v>45</v>
      </c>
      <c r="I2384" s="0" t="n">
        <f aca="false">32+6.3</f>
        <v>38.3</v>
      </c>
      <c r="J2384" s="0" t="n">
        <f aca="false">(I2384/32)*5</f>
        <v>5.984375</v>
      </c>
      <c r="K2384" s="0" t="n">
        <f aca="false">J2384/F2384</f>
        <v>5.984375</v>
      </c>
      <c r="L2384" s="0" t="n">
        <v>13</v>
      </c>
      <c r="M2384" s="0" t="n">
        <v>0</v>
      </c>
      <c r="N2384" s="0" t="n">
        <f aca="false">L2384</f>
        <v>13</v>
      </c>
      <c r="O2384" s="3" t="n">
        <f aca="false">LOOKUP(L2384,$AB$3:$AC$123)</f>
        <v>1.0507</v>
      </c>
      <c r="P2384" s="3" t="n">
        <f aca="false">(O2384*(N2384/100)*(J2384/1000))*1000</f>
        <v>0.817411765625</v>
      </c>
      <c r="Q2384" s="3" t="n">
        <f aca="false">P2384/F2384</f>
        <v>0.817411765625</v>
      </c>
      <c r="R2384" s="3" t="n">
        <v>3</v>
      </c>
      <c r="S2384" s="0" t="n">
        <v>7.1</v>
      </c>
      <c r="T2384" s="0" t="n">
        <f aca="false">(S2384/32)*5</f>
        <v>1.109375</v>
      </c>
      <c r="U2384" s="0" t="n">
        <f aca="false">T2384/R2384</f>
        <v>0.369791666666667</v>
      </c>
      <c r="V2384" s="0" t="n">
        <v>17.5</v>
      </c>
      <c r="W2384" s="0" t="n">
        <v>4</v>
      </c>
      <c r="X2384" s="3" t="n">
        <f aca="false">LOOKUP(V2384,$AB$3:$AC$123)</f>
        <v>1.07</v>
      </c>
      <c r="Y2384" s="2" t="n">
        <f aca="false">(V2384*((W2384+T2384)/1000)*X2384)/((((W2384+T2384)/1000)*X2384)-((W2384/1000)*0.9982))</f>
        <v>64.8969060145754</v>
      </c>
      <c r="Z2384" s="3" t="n">
        <f aca="false">(X2384*(V2384/100)*((W2384+T2384)/1000))*1000</f>
        <v>0.95673046875</v>
      </c>
      <c r="AA2384" s="0" t="n">
        <f aca="false">Z2384/R2384</f>
        <v>0.31891015625</v>
      </c>
    </row>
    <row r="2385" customFormat="false" ht="15" hidden="false" customHeight="false" outlineLevel="0" collapsed="false">
      <c r="A2385" s="0" t="s">
        <v>94</v>
      </c>
      <c r="B2385" s="0" t="s">
        <v>95</v>
      </c>
      <c r="C2385" s="0" t="s">
        <v>81</v>
      </c>
      <c r="D2385" s="0" t="s">
        <v>177</v>
      </c>
      <c r="E2385" s="0" t="n">
        <v>50</v>
      </c>
      <c r="F2385" s="0" t="n">
        <v>0</v>
      </c>
      <c r="G2385" s="3" t="n">
        <v>14</v>
      </c>
      <c r="H2385" s="3" t="n">
        <v>76</v>
      </c>
      <c r="I2385" s="3" t="n">
        <v>0</v>
      </c>
      <c r="L2385" s="0" t="n">
        <v>0</v>
      </c>
      <c r="M2385" s="0" t="n">
        <v>0</v>
      </c>
      <c r="O2385" s="3" t="n">
        <f aca="false">LOOKUP(L2385,$AB$3:$AC$123)</f>
        <v>0.9982</v>
      </c>
      <c r="P2385" s="3"/>
      <c r="Q2385" s="3"/>
      <c r="R2385" s="3" t="n">
        <v>4</v>
      </c>
      <c r="S2385" s="0" t="n">
        <v>7.8</v>
      </c>
      <c r="T2385" s="0" t="n">
        <f aca="false">(S2385/32)*5</f>
        <v>1.21875</v>
      </c>
      <c r="U2385" s="0" t="n">
        <f aca="false">T2385/R2385</f>
        <v>0.3046875</v>
      </c>
      <c r="V2385" s="0" t="n">
        <v>15</v>
      </c>
      <c r="W2385" s="0" t="n">
        <v>4</v>
      </c>
      <c r="X2385" s="3" t="n">
        <f aca="false">LOOKUP(V2385,$AB$3:$AC$123)</f>
        <v>1.0592</v>
      </c>
      <c r="Y2385" s="2" t="n">
        <f aca="false">(V2385*((W2385+T2385)/1000)*X2385)/((((W2385+T2385)/1000)*X2385)-((W2385/1000)*0.9982))</f>
        <v>54.0201316046648</v>
      </c>
      <c r="Z2385" s="3" t="n">
        <f aca="false">(X2385*(V2385/100)*((W2385+T2385)/1000))*1000</f>
        <v>0.829155</v>
      </c>
      <c r="AA2385" s="0" t="n">
        <f aca="false">Z2385/R2385</f>
        <v>0.20728875</v>
      </c>
    </row>
    <row r="2386" customFormat="false" ht="15" hidden="false" customHeight="false" outlineLevel="0" collapsed="false">
      <c r="A2386" s="0" t="s">
        <v>96</v>
      </c>
      <c r="B2386" s="0" t="s">
        <v>97</v>
      </c>
      <c r="C2386" s="0" t="s">
        <v>81</v>
      </c>
      <c r="D2386" s="0" t="s">
        <v>177</v>
      </c>
      <c r="E2386" s="0" t="n">
        <v>50</v>
      </c>
      <c r="F2386" s="0" t="n">
        <v>2</v>
      </c>
      <c r="G2386" s="3" t="n">
        <v>1</v>
      </c>
      <c r="H2386" s="3" t="n">
        <v>52</v>
      </c>
      <c r="I2386" s="0" t="n">
        <f aca="false">32*3+2.6</f>
        <v>98.6</v>
      </c>
      <c r="J2386" s="0" t="n">
        <f aca="false">(I2386/32)*5</f>
        <v>15.40625</v>
      </c>
      <c r="K2386" s="0" t="n">
        <f aca="false">J2386/F2386</f>
        <v>7.703125</v>
      </c>
      <c r="L2386" s="0" t="n">
        <v>17</v>
      </c>
      <c r="M2386" s="0" t="n">
        <v>0</v>
      </c>
      <c r="N2386" s="0" t="n">
        <f aca="false">L2386</f>
        <v>17</v>
      </c>
      <c r="O2386" s="3" t="n">
        <f aca="false">LOOKUP(L2386,$AB$3:$AC$123)</f>
        <v>1.0678</v>
      </c>
      <c r="P2386" s="3" t="n">
        <f aca="false">(O2386*(N2386/100)*(J2386/1000))*1000</f>
        <v>2.7966349375</v>
      </c>
      <c r="Q2386" s="3" t="n">
        <f aca="false">P2386/F2386</f>
        <v>1.39831746875</v>
      </c>
      <c r="R2386" s="3" t="n">
        <v>1</v>
      </c>
      <c r="S2386" s="0" t="n">
        <v>0.8</v>
      </c>
      <c r="T2386" s="0" t="n">
        <f aca="false">(S2386/32)*5</f>
        <v>0.125</v>
      </c>
      <c r="U2386" s="0" t="n">
        <f aca="false">T2386/R2386</f>
        <v>0.125</v>
      </c>
      <c r="V2386" s="0" t="n">
        <v>9</v>
      </c>
      <c r="W2386" s="0" t="n">
        <v>1</v>
      </c>
      <c r="X2386" s="3" t="n">
        <f aca="false">LOOKUP(V2386,$AB$3:$AC$123)</f>
        <v>1.0341</v>
      </c>
      <c r="Y2386" s="2" t="n">
        <f aca="false">(V2386*((W2386+T2386)/1000)*X2386)/((((W2386+T2386)/1000)*X2386)-((W2386/1000)*0.9982))</f>
        <v>63.3937031711194</v>
      </c>
      <c r="Z2386" s="3" t="n">
        <f aca="false">(X2386*(V2386/100)*((W2386+T2386)/1000))*1000</f>
        <v>0.104702625</v>
      </c>
      <c r="AA2386" s="0" t="n">
        <f aca="false">Z2386/R2386</f>
        <v>0.104702625</v>
      </c>
    </row>
    <row r="2387" customFormat="false" ht="15" hidden="false" customHeight="false" outlineLevel="0" collapsed="false">
      <c r="A2387" s="0" t="s">
        <v>98</v>
      </c>
      <c r="B2387" s="0" t="s">
        <v>99</v>
      </c>
      <c r="C2387" s="0" t="s">
        <v>81</v>
      </c>
      <c r="D2387" s="0" t="s">
        <v>177</v>
      </c>
      <c r="E2387" s="0" t="n">
        <v>50</v>
      </c>
      <c r="F2387" s="0" t="n">
        <v>0</v>
      </c>
      <c r="G2387" s="3" t="n">
        <v>17</v>
      </c>
      <c r="H2387" s="3" t="n">
        <v>69</v>
      </c>
      <c r="I2387" s="3" t="n">
        <v>0</v>
      </c>
      <c r="L2387" s="0" t="n">
        <v>0</v>
      </c>
      <c r="M2387" s="0" t="n">
        <v>0</v>
      </c>
      <c r="O2387" s="3" t="n">
        <f aca="false">LOOKUP(L2387,$AB$3:$AC$123)</f>
        <v>0.9982</v>
      </c>
      <c r="P2387" s="3"/>
      <c r="Q2387" s="3"/>
      <c r="R2387" s="3" t="n">
        <v>4</v>
      </c>
      <c r="S2387" s="0" t="n">
        <v>8</v>
      </c>
      <c r="T2387" s="0" t="n">
        <f aca="false">(S2387/32)*5</f>
        <v>1.25</v>
      </c>
      <c r="U2387" s="0" t="n">
        <f aca="false">T2387/R2387</f>
        <v>0.3125</v>
      </c>
      <c r="V2387" s="0" t="n">
        <v>18</v>
      </c>
      <c r="W2387" s="0" t="n">
        <v>4</v>
      </c>
      <c r="X2387" s="3" t="n">
        <f aca="false">LOOKUP(V2387,$AB$3:$AC$123)</f>
        <v>1.0722</v>
      </c>
      <c r="Y2387" s="2" t="n">
        <f aca="false">(V2387*((W2387+T2387)/1000)*X2387)/((((W2387+T2387)/1000)*X2387)-((W2387/1000)*0.9982))</f>
        <v>61.9238502673797</v>
      </c>
      <c r="Z2387" s="3" t="n">
        <f aca="false">(X2387*(V2387/100)*((W2387+T2387)/1000))*1000</f>
        <v>1.013229</v>
      </c>
      <c r="AA2387" s="0" t="n">
        <f aca="false">Z2387/R2387</f>
        <v>0.25330725</v>
      </c>
    </row>
    <row r="2388" customFormat="false" ht="15" hidden="false" customHeight="false" outlineLevel="0" collapsed="false">
      <c r="A2388" s="0" t="s">
        <v>100</v>
      </c>
      <c r="B2388" s="0" t="s">
        <v>101</v>
      </c>
      <c r="C2388" s="0" t="s">
        <v>81</v>
      </c>
      <c r="D2388" s="0" t="s">
        <v>177</v>
      </c>
      <c r="E2388" s="0" t="n">
        <v>50</v>
      </c>
      <c r="F2388" s="0" t="n">
        <v>0</v>
      </c>
      <c r="G2388" s="3" t="n">
        <v>4</v>
      </c>
      <c r="H2388" s="3" t="n">
        <v>32</v>
      </c>
      <c r="I2388" s="3" t="n">
        <v>0</v>
      </c>
      <c r="L2388" s="0" t="n">
        <v>0</v>
      </c>
      <c r="M2388" s="0" t="n">
        <v>0</v>
      </c>
      <c r="O2388" s="3" t="n">
        <f aca="false">LOOKUP(L2388,$AB$3:$AC$123)</f>
        <v>0.9982</v>
      </c>
      <c r="P2388" s="3"/>
      <c r="Q2388" s="3"/>
      <c r="R2388" s="3" t="n">
        <v>2</v>
      </c>
      <c r="S2388" s="0" t="n">
        <v>2.8</v>
      </c>
      <c r="T2388" s="0" t="n">
        <f aca="false">(S2388/32)*5</f>
        <v>0.4375</v>
      </c>
      <c r="U2388" s="0" t="n">
        <f aca="false">T2388/R2388</f>
        <v>0.21875</v>
      </c>
      <c r="V2388" s="0" t="n">
        <v>31</v>
      </c>
      <c r="W2388" s="0" t="n">
        <v>1</v>
      </c>
      <c r="X2388" s="3" t="n">
        <f aca="false">LOOKUP(V2388,$AB$3:$AC$123)</f>
        <v>1.1318</v>
      </c>
      <c r="Y2388" s="2" t="n">
        <f aca="false">(V2388*((W2388+T2388)/1000)*X2388)/((((W2388+T2388)/1000)*X2388)-((W2388/1000)*0.9982))</f>
        <v>80.2144490169182</v>
      </c>
      <c r="Z2388" s="3" t="n">
        <f aca="false">(X2388*(V2388/100)*((W2388+T2388)/1000))*1000</f>
        <v>0.504358375</v>
      </c>
      <c r="AA2388" s="0" t="n">
        <f aca="false">Z2388/R2388</f>
        <v>0.2521791875</v>
      </c>
    </row>
    <row r="2389" customFormat="false" ht="15" hidden="false" customHeight="false" outlineLevel="0" collapsed="false">
      <c r="A2389" s="0" t="s">
        <v>102</v>
      </c>
      <c r="B2389" s="0" t="s">
        <v>103</v>
      </c>
      <c r="C2389" s="0" t="s">
        <v>81</v>
      </c>
      <c r="D2389" s="0" t="s">
        <v>177</v>
      </c>
      <c r="E2389" s="0" t="n">
        <v>50</v>
      </c>
      <c r="F2389" s="0" t="n">
        <v>0</v>
      </c>
      <c r="G2389" s="3" t="n">
        <v>8</v>
      </c>
      <c r="H2389" s="3" t="n">
        <v>76</v>
      </c>
      <c r="I2389" s="3" t="n">
        <v>0</v>
      </c>
      <c r="L2389" s="0" t="n">
        <v>0</v>
      </c>
      <c r="M2389" s="0" t="n">
        <v>0</v>
      </c>
      <c r="O2389" s="3" t="n">
        <f aca="false">LOOKUP(L2389,$AB$3:$AC$123)</f>
        <v>0.9982</v>
      </c>
      <c r="P2389" s="3"/>
      <c r="Q2389" s="3"/>
      <c r="R2389" s="3" t="n">
        <v>1</v>
      </c>
      <c r="S2389" s="0" t="n">
        <v>0.9</v>
      </c>
      <c r="T2389" s="0" t="n">
        <f aca="false">(S2389/32)*5</f>
        <v>0.140625</v>
      </c>
      <c r="U2389" s="0" t="n">
        <f aca="false">T2389/R2389</f>
        <v>0.140625</v>
      </c>
      <c r="V2389" s="0" t="n">
        <v>2</v>
      </c>
      <c r="W2389" s="0" t="n">
        <v>4</v>
      </c>
      <c r="X2389" s="3" t="n">
        <f aca="false">LOOKUP(V2389,$AB$3:$AC$123)</f>
        <v>1.006</v>
      </c>
      <c r="Y2389" s="2" t="n">
        <f aca="false">(V2389*((W2389+T2389)/1000)*X2389)/((((W2389+T2389)/1000)*X2389)-((W2389/1000)*0.9982))</f>
        <v>48.2480906359722</v>
      </c>
      <c r="Z2389" s="3" t="n">
        <f aca="false">(X2389*(V2389/100)*((W2389+T2389)/1000))*1000</f>
        <v>0.083309375</v>
      </c>
      <c r="AA2389" s="0" t="n">
        <f aca="false">Z2389/R2389</f>
        <v>0.083309375</v>
      </c>
    </row>
    <row r="2390" customFormat="false" ht="15" hidden="false" customHeight="false" outlineLevel="0" collapsed="false">
      <c r="A2390" s="0" t="s">
        <v>104</v>
      </c>
      <c r="B2390" s="0" t="s">
        <v>105</v>
      </c>
      <c r="C2390" s="0" t="s">
        <v>106</v>
      </c>
      <c r="D2390" s="0" t="s">
        <v>177</v>
      </c>
      <c r="E2390" s="0" t="n">
        <v>50</v>
      </c>
      <c r="F2390" s="0" t="n">
        <v>3</v>
      </c>
      <c r="G2390" s="3" t="n">
        <v>11</v>
      </c>
      <c r="H2390" s="3" t="n">
        <v>52</v>
      </c>
      <c r="I2390" s="0" t="n">
        <f aca="false">32*5+5.7+5.7-15.6</f>
        <v>155.8</v>
      </c>
      <c r="J2390" s="0" t="n">
        <f aca="false">(I2390/32)*5</f>
        <v>24.34375</v>
      </c>
      <c r="K2390" s="0" t="n">
        <f aca="false">J2390/F2390</f>
        <v>8.11458333333333</v>
      </c>
      <c r="L2390" s="0" t="n">
        <v>19</v>
      </c>
      <c r="M2390" s="0" t="n">
        <v>0</v>
      </c>
      <c r="N2390" s="0" t="n">
        <f aca="false">L2390</f>
        <v>19</v>
      </c>
      <c r="O2390" s="3" t="n">
        <f aca="false">LOOKUP(L2390,$AB$3:$AC$123)</f>
        <v>1.0765</v>
      </c>
      <c r="P2390" s="3" t="n">
        <f aca="false">(O2390*(N2390/100)*(J2390/1000))*1000</f>
        <v>4.97914890625</v>
      </c>
      <c r="Q2390" s="3" t="n">
        <f aca="false">P2390/F2390</f>
        <v>1.65971630208333</v>
      </c>
      <c r="R2390" s="3" t="n">
        <v>4</v>
      </c>
      <c r="S2390" s="0" t="n">
        <v>14.6</v>
      </c>
      <c r="T2390" s="0" t="n">
        <f aca="false">(S2390/32)*5</f>
        <v>2.28125</v>
      </c>
      <c r="U2390" s="0" t="n">
        <f aca="false">T2390/R2390</f>
        <v>0.5703125</v>
      </c>
      <c r="V2390" s="0" t="n">
        <v>26.5</v>
      </c>
      <c r="W2390" s="0" t="n">
        <v>4</v>
      </c>
      <c r="X2390" s="3" t="n">
        <f aca="false">LOOKUP(V2390,$AB$3:$AC$123)</f>
        <v>1.11045</v>
      </c>
      <c r="Y2390" s="2" t="n">
        <f aca="false">(V2390*((W2390+T2390)/1000)*X2390)/((((W2390+T2390)/1000)*X2390)-((W2390/1000)*0.9982))</f>
        <v>61.9800821746846</v>
      </c>
      <c r="Z2390" s="3" t="n">
        <f aca="false">(X2390*(V2390/100)*((W2390+T2390)/1000))*1000</f>
        <v>1.8483787265625</v>
      </c>
      <c r="AA2390" s="0" t="n">
        <f aca="false">Z2390/R2390</f>
        <v>0.462094681640625</v>
      </c>
    </row>
    <row r="2391" customFormat="false" ht="15" hidden="false" customHeight="false" outlineLevel="0" collapsed="false">
      <c r="A2391" s="0" t="s">
        <v>107</v>
      </c>
      <c r="B2391" s="0" t="s">
        <v>37</v>
      </c>
      <c r="C2391" s="0" t="s">
        <v>106</v>
      </c>
      <c r="D2391" s="0" t="s">
        <v>177</v>
      </c>
      <c r="E2391" s="0" t="n">
        <v>50</v>
      </c>
      <c r="F2391" s="0" t="n">
        <v>2</v>
      </c>
      <c r="G2391" s="3" t="n">
        <v>5</v>
      </c>
      <c r="H2391" s="3" t="n">
        <v>41</v>
      </c>
      <c r="I2391" s="0" t="n">
        <f aca="false">32*3+10.7</f>
        <v>106.7</v>
      </c>
      <c r="J2391" s="0" t="n">
        <f aca="false">(I2391/32)*5</f>
        <v>16.671875</v>
      </c>
      <c r="K2391" s="0" t="n">
        <f aca="false">J2391/F2391</f>
        <v>8.3359375</v>
      </c>
      <c r="L2391" s="0" t="n">
        <v>21.5</v>
      </c>
      <c r="M2391" s="0" t="n">
        <v>0</v>
      </c>
      <c r="N2391" s="0" t="n">
        <f aca="false">L2391</f>
        <v>21.5</v>
      </c>
      <c r="O2391" s="3" t="n">
        <f aca="false">LOOKUP(L2391,$AB$3:$AC$123)</f>
        <v>1.087675</v>
      </c>
      <c r="P2391" s="3" t="n">
        <f aca="false">(O2391*(N2391/100)*(J2391/1000))*1000</f>
        <v>3.89872005273437</v>
      </c>
      <c r="Q2391" s="3" t="n">
        <f aca="false">P2391/F2391</f>
        <v>1.94936002636719</v>
      </c>
      <c r="R2391" s="3" t="n">
        <v>4</v>
      </c>
      <c r="S2391" s="0" t="n">
        <v>17</v>
      </c>
      <c r="T2391" s="0" t="n">
        <f aca="false">(S2391/32)*5</f>
        <v>2.65625</v>
      </c>
      <c r="U2391" s="0" t="n">
        <f aca="false">T2391/R2391</f>
        <v>0.6640625</v>
      </c>
      <c r="V2391" s="0" t="n">
        <v>28</v>
      </c>
      <c r="W2391" s="0" t="n">
        <v>4</v>
      </c>
      <c r="X2391" s="3" t="n">
        <f aca="false">LOOKUP(V2391,$AB$3:$AC$123)</f>
        <v>1.1175</v>
      </c>
      <c r="Y2391" s="2" t="n">
        <f aca="false">(V2391*((W2391+T2391)/1000)*X2391)/((((W2391+T2391)/1000)*X2391)-((W2391/1000)*0.9982))</f>
        <v>60.4470972148028</v>
      </c>
      <c r="Z2391" s="3" t="n">
        <f aca="false">(X2391*(V2391/100)*((W2391+T2391)/1000))*1000</f>
        <v>2.082740625</v>
      </c>
      <c r="AA2391" s="0" t="n">
        <f aca="false">Z2391/R2391</f>
        <v>0.52068515625</v>
      </c>
    </row>
    <row r="2392" customFormat="false" ht="15" hidden="false" customHeight="false" outlineLevel="0" collapsed="false">
      <c r="A2392" s="0" t="s">
        <v>108</v>
      </c>
      <c r="B2392" s="0" t="s">
        <v>109</v>
      </c>
      <c r="C2392" s="0" t="s">
        <v>106</v>
      </c>
      <c r="D2392" s="0" t="s">
        <v>177</v>
      </c>
      <c r="E2392" s="0" t="n">
        <v>50</v>
      </c>
      <c r="F2392" s="0" t="n">
        <v>1</v>
      </c>
      <c r="G2392" s="3" t="n">
        <v>14</v>
      </c>
      <c r="H2392" s="3" t="n">
        <v>82</v>
      </c>
      <c r="I2392" s="0" t="n">
        <f aca="false">64+7.5</f>
        <v>71.5</v>
      </c>
      <c r="J2392" s="0" t="n">
        <f aca="false">(I2392/32)*5</f>
        <v>11.171875</v>
      </c>
      <c r="K2392" s="0" t="n">
        <f aca="false">J2392/F2392</f>
        <v>11.171875</v>
      </c>
      <c r="L2392" s="0" t="n">
        <v>15</v>
      </c>
      <c r="M2392" s="0" t="n">
        <v>0</v>
      </c>
      <c r="N2392" s="0" t="n">
        <f aca="false">L2392</f>
        <v>15</v>
      </c>
      <c r="O2392" s="3" t="n">
        <f aca="false">LOOKUP(L2392,$AB$3:$AC$123)</f>
        <v>1.0592</v>
      </c>
      <c r="P2392" s="3" t="n">
        <f aca="false">(O2392*(N2392/100)*(J2392/1000))*1000</f>
        <v>1.7749875</v>
      </c>
      <c r="Q2392" s="3" t="n">
        <f aca="false">P2392/F2392</f>
        <v>1.7749875</v>
      </c>
      <c r="R2392" s="3" t="n">
        <v>11</v>
      </c>
      <c r="S2392" s="0" t="n">
        <v>24.3</v>
      </c>
      <c r="T2392" s="0" t="n">
        <f aca="false">(S2392/32)*5</f>
        <v>3.796875</v>
      </c>
      <c r="U2392" s="0" t="n">
        <f aca="false">T2392/R2392</f>
        <v>0.345170454545454</v>
      </c>
      <c r="V2392" s="0" t="n">
        <v>37</v>
      </c>
      <c r="W2392" s="0" t="n">
        <v>4</v>
      </c>
      <c r="X2392" s="3" t="n">
        <f aca="false">LOOKUP(V2392,$AB$3:$AC$123)</f>
        <v>1.16125</v>
      </c>
      <c r="Y2392" s="2" t="n">
        <f aca="false">(V2392*((W2392+T2392)/1000)*X2392)/((((W2392+T2392)/1000)*X2392)-((W2392/1000)*0.9982))</f>
        <v>66.1887428723757</v>
      </c>
      <c r="Z2392" s="3" t="n">
        <f aca="false">(X2392*(V2392/100)*((W2392+T2392)/1000))*1000</f>
        <v>3.3500248046875</v>
      </c>
      <c r="AA2392" s="0" t="n">
        <f aca="false">Z2392/R2392</f>
        <v>0.304547709517045</v>
      </c>
    </row>
    <row r="2393" customFormat="false" ht="15" hidden="false" customHeight="false" outlineLevel="0" collapsed="false">
      <c r="A2393" s="0" t="s">
        <v>110</v>
      </c>
      <c r="B2393" s="0" t="s">
        <v>111</v>
      </c>
      <c r="C2393" s="0" t="s">
        <v>106</v>
      </c>
      <c r="D2393" s="0" t="s">
        <v>177</v>
      </c>
      <c r="E2393" s="0" t="n">
        <v>50</v>
      </c>
      <c r="F2393" s="0" t="n">
        <v>2</v>
      </c>
      <c r="G2393" s="3" t="n">
        <v>9</v>
      </c>
      <c r="H2393" s="3" t="n">
        <v>58</v>
      </c>
      <c r="I2393" s="0" t="n">
        <f aca="false">32*4+14.5</f>
        <v>142.5</v>
      </c>
      <c r="J2393" s="0" t="n">
        <f aca="false">(I2393/32)*5</f>
        <v>22.265625</v>
      </c>
      <c r="K2393" s="0" t="n">
        <f aca="false">J2393/F2393</f>
        <v>11.1328125</v>
      </c>
      <c r="L2393" s="0" t="n">
        <v>16.5</v>
      </c>
      <c r="M2393" s="0" t="n">
        <v>0</v>
      </c>
      <c r="N2393" s="0" t="n">
        <f aca="false">L2393</f>
        <v>16.5</v>
      </c>
      <c r="O2393" s="3" t="n">
        <f aca="false">LOOKUP(L2393,$AB$3:$AC$123)</f>
        <v>1.06565</v>
      </c>
      <c r="P2393" s="3" t="n">
        <f aca="false">(O2393*(N2393/100)*(J2393/1000))*1000</f>
        <v>3.91501494140625</v>
      </c>
      <c r="Q2393" s="3" t="n">
        <f aca="false">P2393/F2393</f>
        <v>1.95750747070312</v>
      </c>
      <c r="R2393" s="3" t="n">
        <v>5</v>
      </c>
      <c r="S2393" s="0" t="n">
        <v>18.2</v>
      </c>
      <c r="T2393" s="0" t="n">
        <f aca="false">(S2393/32)*5</f>
        <v>2.84375</v>
      </c>
      <c r="U2393" s="0" t="n">
        <f aca="false">T2393/R2393</f>
        <v>0.56875</v>
      </c>
      <c r="V2393" s="0" t="n">
        <v>31</v>
      </c>
      <c r="W2393" s="0" t="n">
        <v>4</v>
      </c>
      <c r="X2393" s="3" t="n">
        <f aca="false">LOOKUP(V2393,$AB$3:$AC$123)</f>
        <v>1.1318</v>
      </c>
      <c r="Y2393" s="2" t="n">
        <f aca="false">(V2393*((W2393+T2393)/1000)*X2393)/((((W2393+T2393)/1000)*X2393)-((W2393/1000)*0.9982))</f>
        <v>63.9811465294859</v>
      </c>
      <c r="Z2393" s="3" t="n">
        <f aca="false">(X2393*(V2393/100)*((W2393+T2393)/1000))*1000</f>
        <v>2.4011844375</v>
      </c>
      <c r="AA2393" s="0" t="n">
        <f aca="false">Z2393/R2393</f>
        <v>0.4802368875</v>
      </c>
    </row>
    <row r="2394" customFormat="false" ht="15" hidden="false" customHeight="false" outlineLevel="0" collapsed="false">
      <c r="A2394" s="0" t="s">
        <v>112</v>
      </c>
      <c r="B2394" s="0" t="s">
        <v>113</v>
      </c>
      <c r="C2394" s="0" t="s">
        <v>106</v>
      </c>
      <c r="D2394" s="0" t="s">
        <v>177</v>
      </c>
      <c r="E2394" s="0" t="n">
        <v>50</v>
      </c>
      <c r="F2394" s="0" t="n">
        <v>2</v>
      </c>
      <c r="G2394" s="3" t="n">
        <v>8</v>
      </c>
      <c r="H2394" s="3" t="n">
        <v>59</v>
      </c>
      <c r="I2394" s="0" t="n">
        <f aca="false">32*4+6.5+7.1</f>
        <v>141.6</v>
      </c>
      <c r="J2394" s="0" t="n">
        <f aca="false">(I2394/32)*5</f>
        <v>22.125</v>
      </c>
      <c r="K2394" s="0" t="n">
        <f aca="false">J2394/F2394</f>
        <v>11.0625</v>
      </c>
      <c r="L2394" s="0" t="n">
        <v>21</v>
      </c>
      <c r="M2394" s="0" t="n">
        <v>0</v>
      </c>
      <c r="N2394" s="0" t="n">
        <f aca="false">L2394</f>
        <v>21</v>
      </c>
      <c r="O2394" s="3" t="n">
        <f aca="false">LOOKUP(L2394,$AB$3:$AC$123)</f>
        <v>1.08545</v>
      </c>
      <c r="P2394" s="3" t="n">
        <f aca="false">(O2394*(N2394/100)*(J2394/1000))*1000</f>
        <v>5.0432720625</v>
      </c>
      <c r="Q2394" s="3" t="n">
        <f aca="false">P2394/F2394</f>
        <v>2.52163603125</v>
      </c>
      <c r="R2394" s="3" t="n">
        <v>3</v>
      </c>
      <c r="S2394" s="0" t="n">
        <v>16.6</v>
      </c>
      <c r="T2394" s="0" t="n">
        <f aca="false">(S2394/32)*5</f>
        <v>2.59375</v>
      </c>
      <c r="U2394" s="0" t="n">
        <f aca="false">T2394/R2394</f>
        <v>0.864583333333333</v>
      </c>
      <c r="V2394" s="0" t="n">
        <v>23</v>
      </c>
      <c r="W2394" s="0" t="n">
        <v>4</v>
      </c>
      <c r="X2394" s="3" t="n">
        <f aca="false">LOOKUP(V2394,$AB$3:$AC$123)</f>
        <v>1.09445</v>
      </c>
      <c r="Y2394" s="2" t="n">
        <f aca="false">(V2394*((W2394+T2394)/1000)*X2394)/((((W2394+T2394)/1000)*X2394)-((W2394/1000)*0.9982))</f>
        <v>51.4870038440529</v>
      </c>
      <c r="Z2394" s="3" t="n">
        <f aca="false">(X2394*(V2394/100)*((W2394+T2394)/1000))*1000</f>
        <v>1.659801828125</v>
      </c>
      <c r="AA2394" s="0" t="n">
        <f aca="false">Z2394/R2394</f>
        <v>0.553267276041667</v>
      </c>
    </row>
    <row r="2395" customFormat="false" ht="15" hidden="false" customHeight="false" outlineLevel="0" collapsed="false">
      <c r="A2395" s="0" t="s">
        <v>114</v>
      </c>
      <c r="B2395" s="0" t="s">
        <v>115</v>
      </c>
      <c r="C2395" s="0" t="s">
        <v>106</v>
      </c>
      <c r="D2395" s="0" t="s">
        <v>177</v>
      </c>
      <c r="E2395" s="0" t="n">
        <v>50</v>
      </c>
      <c r="F2395" s="0" t="n">
        <v>2</v>
      </c>
      <c r="G2395" s="3" t="n">
        <v>7</v>
      </c>
      <c r="H2395" s="3" t="n">
        <v>52</v>
      </c>
      <c r="I2395" s="3" t="n">
        <f aca="false">32*4+7.4</f>
        <v>135.4</v>
      </c>
      <c r="J2395" s="0" t="n">
        <f aca="false">(I2395/32)*5</f>
        <v>21.15625</v>
      </c>
      <c r="K2395" s="0" t="n">
        <f aca="false">J2395/F2395</f>
        <v>10.578125</v>
      </c>
      <c r="L2395" s="0" t="n">
        <v>21</v>
      </c>
      <c r="M2395" s="0" t="n">
        <v>0</v>
      </c>
      <c r="N2395" s="0" t="n">
        <f aca="false">L2395</f>
        <v>21</v>
      </c>
      <c r="O2395" s="3" t="n">
        <f aca="false">LOOKUP(L2395,$AB$3:$AC$123)</f>
        <v>1.08545</v>
      </c>
      <c r="P2395" s="3" t="n">
        <f aca="false">(O2395*(N2395/100)*(J2395/1000))*1000</f>
        <v>4.822450828125</v>
      </c>
      <c r="Q2395" s="3" t="n">
        <f aca="false">P2395/F2395</f>
        <v>2.4112254140625</v>
      </c>
      <c r="R2395" s="3" t="n">
        <v>5</v>
      </c>
      <c r="S2395" s="0" t="n">
        <v>12.5</v>
      </c>
      <c r="T2395" s="0" t="n">
        <f aca="false">(S2395/32)*5</f>
        <v>1.953125</v>
      </c>
      <c r="U2395" s="0" t="n">
        <f aca="false">T2395/R2395</f>
        <v>0.390625</v>
      </c>
      <c r="V2395" s="0" t="n">
        <v>19</v>
      </c>
      <c r="W2395" s="0" t="n">
        <v>4</v>
      </c>
      <c r="X2395" s="3" t="n">
        <f aca="false">LOOKUP(V2395,$AB$3:$AC$123)</f>
        <v>1.0765</v>
      </c>
      <c r="Y2395" s="2" t="n">
        <f aca="false">(V2395*((W2395+T2395)/1000)*X2395)/((((W2395+T2395)/1000)*X2395)-((W2395/1000)*0.9982))</f>
        <v>50.4037228513789</v>
      </c>
      <c r="Z2395" s="3" t="n">
        <f aca="false">(X2395*(V2395/100)*((W2395+T2395)/1000))*1000</f>
        <v>1.217622421875</v>
      </c>
      <c r="AA2395" s="0" t="n">
        <f aca="false">Z2395/R2395</f>
        <v>0.243524484375</v>
      </c>
    </row>
    <row r="2396" customFormat="false" ht="15" hidden="false" customHeight="false" outlineLevel="0" collapsed="false">
      <c r="A2396" s="0" t="s">
        <v>116</v>
      </c>
      <c r="B2396" s="0" t="s">
        <v>117</v>
      </c>
      <c r="C2396" s="0" t="s">
        <v>106</v>
      </c>
      <c r="D2396" s="0" t="s">
        <v>177</v>
      </c>
      <c r="E2396" s="0" t="n">
        <v>50</v>
      </c>
      <c r="F2396" s="0" t="n">
        <v>0</v>
      </c>
      <c r="G2396" s="3" t="n">
        <v>5</v>
      </c>
      <c r="H2396" s="3" t="n">
        <v>29</v>
      </c>
      <c r="I2396" s="3" t="n">
        <v>0</v>
      </c>
      <c r="L2396" s="0" t="n">
        <v>0</v>
      </c>
      <c r="M2396" s="0" t="n">
        <v>0</v>
      </c>
      <c r="O2396" s="3" t="n">
        <f aca="false">LOOKUP(L2396,$AB$3:$AC$123)</f>
        <v>0.9982</v>
      </c>
      <c r="P2396" s="3"/>
      <c r="Q2396" s="3"/>
      <c r="R2396" s="3" t="n">
        <v>2</v>
      </c>
      <c r="S2396" s="0" t="n">
        <v>7.6</v>
      </c>
      <c r="T2396" s="0" t="n">
        <f aca="false">(S2396/32)*5</f>
        <v>1.1875</v>
      </c>
      <c r="U2396" s="0" t="n">
        <f aca="false">T2396/R2396</f>
        <v>0.59375</v>
      </c>
      <c r="V2396" s="0" t="n">
        <v>20</v>
      </c>
      <c r="W2396" s="0" t="n">
        <v>4</v>
      </c>
      <c r="X2396" s="3" t="n">
        <f aca="false">LOOKUP(V2396,$AB$3:$AC$123)</f>
        <v>1.081</v>
      </c>
      <c r="Y2396" s="2" t="n">
        <f aca="false">(V2396*((W2396+T2396)/1000)*X2396)/((((W2396+T2396)/1000)*X2396)-((W2396/1000)*0.9982))</f>
        <v>69.4498842798647</v>
      </c>
      <c r="Z2396" s="3" t="n">
        <f aca="false">(X2396*(V2396/100)*((W2396+T2396)/1000))*1000</f>
        <v>1.1215375</v>
      </c>
      <c r="AA2396" s="0" t="n">
        <f aca="false">Z2396/R2396</f>
        <v>0.56076875</v>
      </c>
    </row>
    <row r="2397" customFormat="false" ht="15" hidden="false" customHeight="false" outlineLevel="0" collapsed="false">
      <c r="A2397" s="0" t="s">
        <v>118</v>
      </c>
      <c r="B2397" s="0" t="s">
        <v>119</v>
      </c>
      <c r="C2397" s="0" t="s">
        <v>106</v>
      </c>
      <c r="D2397" s="0" t="s">
        <v>177</v>
      </c>
      <c r="E2397" s="0" t="n">
        <v>50</v>
      </c>
      <c r="F2397" s="0" t="n">
        <v>1</v>
      </c>
      <c r="G2397" s="3" t="n">
        <v>15</v>
      </c>
      <c r="H2397" s="3" t="n">
        <v>57</v>
      </c>
      <c r="I2397" s="0" t="n">
        <f aca="false">32*2-11.3+6.9</f>
        <v>59.6</v>
      </c>
      <c r="J2397" s="0" t="n">
        <f aca="false">(I2397/32)*5</f>
        <v>9.3125</v>
      </c>
      <c r="K2397" s="0" t="n">
        <f aca="false">J2397/F2397</f>
        <v>9.3125</v>
      </c>
      <c r="L2397" s="0" t="n">
        <v>19</v>
      </c>
      <c r="M2397" s="0" t="n">
        <v>0</v>
      </c>
      <c r="N2397" s="0" t="n">
        <f aca="false">L2397</f>
        <v>19</v>
      </c>
      <c r="O2397" s="3" t="n">
        <f aca="false">LOOKUP(L2397,$AB$3:$AC$123)</f>
        <v>1.0765</v>
      </c>
      <c r="P2397" s="3" t="n">
        <f aca="false">(O2397*(N2397/100)*(J2397/1000))*1000</f>
        <v>1.9047321875</v>
      </c>
      <c r="Q2397" s="3" t="n">
        <f aca="false">P2397/F2397</f>
        <v>1.9047321875</v>
      </c>
      <c r="R2397" s="3" t="n">
        <v>4</v>
      </c>
      <c r="S2397" s="0" t="n">
        <v>19.7</v>
      </c>
      <c r="T2397" s="0" t="n">
        <f aca="false">(S2397/32)*5</f>
        <v>3.078125</v>
      </c>
      <c r="U2397" s="0" t="n">
        <f aca="false">T2397/R2397</f>
        <v>0.76953125</v>
      </c>
      <c r="V2397" s="0" t="n">
        <v>21</v>
      </c>
      <c r="W2397" s="0" t="n">
        <v>4</v>
      </c>
      <c r="X2397" s="3" t="n">
        <f aca="false">LOOKUP(V2397,$AB$3:$AC$123)</f>
        <v>1.08545</v>
      </c>
      <c r="Y2397" s="2" t="n">
        <f aca="false">(V2397*((W2397+T2397)/1000)*X2397)/((((W2397+T2397)/1000)*X2397)-((W2397/1000)*0.9982))</f>
        <v>43.7223235500413</v>
      </c>
      <c r="Z2397" s="3" t="n">
        <f aca="false">(X2397*(V2397/100)*((W2397+T2397)/1000))*1000</f>
        <v>1.6134196640625</v>
      </c>
      <c r="AA2397" s="0" t="n">
        <f aca="false">Z2397/R2397</f>
        <v>0.403354916015625</v>
      </c>
    </row>
    <row r="2398" customFormat="false" ht="15" hidden="false" customHeight="false" outlineLevel="0" collapsed="false">
      <c r="A2398" s="0" t="s">
        <v>120</v>
      </c>
      <c r="B2398" s="0" t="s">
        <v>121</v>
      </c>
      <c r="C2398" s="0" t="s">
        <v>106</v>
      </c>
      <c r="D2398" s="0" t="s">
        <v>177</v>
      </c>
      <c r="E2398" s="0" t="n">
        <v>50</v>
      </c>
      <c r="F2398" s="0" t="n">
        <v>2</v>
      </c>
      <c r="G2398" s="3" t="n">
        <v>13</v>
      </c>
      <c r="H2398" s="3" t="n">
        <v>86</v>
      </c>
      <c r="I2398" s="0" t="n">
        <f aca="false">32*3+17.6</f>
        <v>113.6</v>
      </c>
      <c r="J2398" s="0" t="n">
        <f aca="false">(I2398/32)*5</f>
        <v>17.75</v>
      </c>
      <c r="K2398" s="0" t="n">
        <f aca="false">J2398/F2398</f>
        <v>8.875</v>
      </c>
      <c r="L2398" s="0" t="n">
        <v>18</v>
      </c>
      <c r="M2398" s="0" t="n">
        <v>0</v>
      </c>
      <c r="N2398" s="0" t="n">
        <f aca="false">L2398</f>
        <v>18</v>
      </c>
      <c r="O2398" s="3" t="n">
        <f aca="false">LOOKUP(L2398,$AB$3:$AC$123)</f>
        <v>1.0722</v>
      </c>
      <c r="P2398" s="3" t="n">
        <f aca="false">(O2398*(N2398/100)*(J2398/1000))*1000</f>
        <v>3.425679</v>
      </c>
      <c r="Q2398" s="3" t="n">
        <f aca="false">P2398/F2398</f>
        <v>1.7128395</v>
      </c>
      <c r="R2398" s="3" t="n">
        <v>3</v>
      </c>
      <c r="S2398" s="0" t="n">
        <v>6</v>
      </c>
      <c r="T2398" s="0" t="n">
        <f aca="false">(S2398/32)*5</f>
        <v>0.9375</v>
      </c>
      <c r="U2398" s="0" t="n">
        <f aca="false">T2398/R2398</f>
        <v>0.3125</v>
      </c>
      <c r="V2398" s="0" t="n">
        <v>23.5</v>
      </c>
      <c r="W2398" s="0" t="n">
        <v>4</v>
      </c>
      <c r="X2398" s="3" t="n">
        <f aca="false">LOOKUP(V2398,$AB$3:$AC$123)</f>
        <v>1.096725</v>
      </c>
      <c r="Y2398" s="2" t="n">
        <f aca="false">(V2398*((W2398+T2398)/1000)*X2398)/((((W2398+T2398)/1000)*X2398)-((W2398/1000)*0.9982))</f>
        <v>89.4721156286287</v>
      </c>
      <c r="Z2398" s="3" t="n">
        <f aca="false">(X2398*(V2398/100)*((W2398+T2398)/1000))*1000</f>
        <v>1.2725437265625</v>
      </c>
      <c r="AA2398" s="0" t="n">
        <f aca="false">Z2398/R2398</f>
        <v>0.4241812421875</v>
      </c>
    </row>
    <row r="2399" customFormat="false" ht="15" hidden="false" customHeight="false" outlineLevel="0" collapsed="false">
      <c r="A2399" s="0" t="s">
        <v>122</v>
      </c>
      <c r="B2399" s="0" t="s">
        <v>123</v>
      </c>
      <c r="C2399" s="0" t="s">
        <v>106</v>
      </c>
      <c r="D2399" s="0" t="s">
        <v>177</v>
      </c>
      <c r="E2399" s="0" t="n">
        <v>50</v>
      </c>
      <c r="F2399" s="0" t="n">
        <v>0</v>
      </c>
      <c r="G2399" s="3" t="n">
        <v>7</v>
      </c>
      <c r="H2399" s="3" t="n">
        <v>33</v>
      </c>
      <c r="I2399" s="3" t="n">
        <v>0</v>
      </c>
      <c r="L2399" s="0" t="n">
        <v>0</v>
      </c>
      <c r="M2399" s="0" t="n">
        <v>0</v>
      </c>
      <c r="O2399" s="3" t="n">
        <f aca="false">LOOKUP(L2399,$AB$3:$AC$123)</f>
        <v>0.9982</v>
      </c>
      <c r="P2399" s="3"/>
      <c r="Q2399" s="3"/>
      <c r="R2399" s="3" t="n">
        <v>7</v>
      </c>
      <c r="S2399" s="0" t="n">
        <v>10.7</v>
      </c>
      <c r="T2399" s="0" t="n">
        <f aca="false">(S2399/32)*5</f>
        <v>1.671875</v>
      </c>
      <c r="U2399" s="0" t="n">
        <f aca="false">T2399/R2399</f>
        <v>0.238839285714286</v>
      </c>
      <c r="V2399" s="0" t="n">
        <v>17</v>
      </c>
      <c r="W2399" s="0" t="n">
        <v>4</v>
      </c>
      <c r="X2399" s="3" t="n">
        <f aca="false">LOOKUP(V2399,$AB$3:$AC$123)</f>
        <v>1.0678</v>
      </c>
      <c r="Y2399" s="2" t="n">
        <f aca="false">(V2399*((W2399+T2399)/1000)*X2399)/((((W2399+T2399)/1000)*X2399)-((W2399/1000)*0.9982))</f>
        <v>49.892360390756</v>
      </c>
      <c r="Z2399" s="3" t="n">
        <f aca="false">(X2399*(V2399/100)*((W2399+T2399)/1000))*1000</f>
        <v>1.02959278125</v>
      </c>
      <c r="AA2399" s="0" t="n">
        <f aca="false">Z2399/R2399</f>
        <v>0.147084683035714</v>
      </c>
    </row>
    <row r="2400" customFormat="false" ht="15" hidden="false" customHeight="false" outlineLevel="0" collapsed="false">
      <c r="A2400" s="0" t="s">
        <v>124</v>
      </c>
      <c r="B2400" s="0" t="s">
        <v>125</v>
      </c>
      <c r="C2400" s="0" t="s">
        <v>106</v>
      </c>
      <c r="D2400" s="0" t="s">
        <v>177</v>
      </c>
      <c r="E2400" s="0" t="n">
        <v>50</v>
      </c>
      <c r="F2400" s="0" t="n">
        <v>1</v>
      </c>
      <c r="G2400" s="3" t="n">
        <v>3</v>
      </c>
      <c r="H2400" s="3" t="n">
        <v>40</v>
      </c>
      <c r="I2400" s="0" t="n">
        <f aca="false">32*2+13.6+4.1</f>
        <v>81.7</v>
      </c>
      <c r="J2400" s="0" t="n">
        <f aca="false">(I2400/32)*5</f>
        <v>12.765625</v>
      </c>
      <c r="K2400" s="0" t="n">
        <f aca="false">J2400/F2400</f>
        <v>12.765625</v>
      </c>
      <c r="L2400" s="0" t="n">
        <v>20</v>
      </c>
      <c r="M2400" s="0" t="n">
        <v>0</v>
      </c>
      <c r="N2400" s="0" t="n">
        <f aca="false">L2400</f>
        <v>20</v>
      </c>
      <c r="O2400" s="3" t="n">
        <f aca="false">LOOKUP(L2400,$AB$3:$AC$123)</f>
        <v>1.081</v>
      </c>
      <c r="P2400" s="3" t="n">
        <f aca="false">(O2400*(N2400/100)*(J2400/1000))*1000</f>
        <v>2.759928125</v>
      </c>
      <c r="Q2400" s="3" t="n">
        <f aca="false">P2400/F2400</f>
        <v>2.759928125</v>
      </c>
      <c r="R2400" s="3" t="n">
        <v>3</v>
      </c>
      <c r="S2400" s="0" t="n">
        <v>3.2</v>
      </c>
      <c r="T2400" s="0" t="n">
        <f aca="false">(S2400/32)*5</f>
        <v>0.5</v>
      </c>
      <c r="U2400" s="0" t="n">
        <f aca="false">T2400/R2400</f>
        <v>0.166666666666667</v>
      </c>
      <c r="V2400" s="0" t="n">
        <v>6.5</v>
      </c>
      <c r="W2400" s="0" t="n">
        <v>4</v>
      </c>
      <c r="X2400" s="3" t="n">
        <f aca="false">LOOKUP(V2400,$AB$3:$AC$123)</f>
        <v>1.02385</v>
      </c>
      <c r="Y2400" s="2" t="n">
        <f aca="false">(V2400*((W2400+T2400)/1000)*X2400)/((((W2400+T2400)/1000)*X2400)-((W2400/1000)*0.9982))</f>
        <v>48.732944143851</v>
      </c>
      <c r="Z2400" s="3" t="n">
        <f aca="false">(X2400*(V2400/100)*((W2400+T2400)/1000))*1000</f>
        <v>0.299476125</v>
      </c>
      <c r="AA2400" s="0" t="n">
        <f aca="false">Z2400/R2400</f>
        <v>0.099825375</v>
      </c>
    </row>
    <row r="2401" customFormat="false" ht="15" hidden="false" customHeight="false" outlineLevel="0" collapsed="false">
      <c r="A2401" s="0" t="s">
        <v>126</v>
      </c>
      <c r="B2401" s="0" t="s">
        <v>127</v>
      </c>
      <c r="C2401" s="0" t="s">
        <v>106</v>
      </c>
      <c r="D2401" s="0" t="s">
        <v>177</v>
      </c>
      <c r="E2401" s="0" t="n">
        <v>50</v>
      </c>
      <c r="F2401" s="0" t="n">
        <v>1</v>
      </c>
      <c r="G2401" s="3" t="n">
        <v>7</v>
      </c>
      <c r="H2401" s="3" t="n">
        <v>52</v>
      </c>
      <c r="I2401" s="0" t="n">
        <f aca="false">32+13.3</f>
        <v>45.3</v>
      </c>
      <c r="J2401" s="0" t="n">
        <f aca="false">(I2401/32)*5</f>
        <v>7.078125</v>
      </c>
      <c r="K2401" s="0" t="n">
        <f aca="false">J2401/F2401</f>
        <v>7.078125</v>
      </c>
      <c r="L2401" s="0" t="n">
        <v>16.5</v>
      </c>
      <c r="M2401" s="0" t="n">
        <v>0</v>
      </c>
      <c r="N2401" s="0" t="n">
        <f aca="false">L2401</f>
        <v>16.5</v>
      </c>
      <c r="O2401" s="3" t="n">
        <f aca="false">LOOKUP(L2401,$AB$3:$AC$123)</f>
        <v>1.06565</v>
      </c>
      <c r="P2401" s="3" t="n">
        <f aca="false">(O2401*(N2401/100)*(J2401/1000))*1000</f>
        <v>1.24456264453125</v>
      </c>
      <c r="Q2401" s="3" t="n">
        <f aca="false">P2401/F2401</f>
        <v>1.24456264453125</v>
      </c>
      <c r="R2401" s="3" t="n">
        <v>4</v>
      </c>
      <c r="S2401" s="0" t="n">
        <v>7.7</v>
      </c>
      <c r="T2401" s="0" t="n">
        <f aca="false">(S2401/32)*5</f>
        <v>1.203125</v>
      </c>
      <c r="U2401" s="0" t="n">
        <f aca="false">T2401/R2401</f>
        <v>0.30078125</v>
      </c>
      <c r="V2401" s="0" t="n">
        <v>22.5</v>
      </c>
      <c r="W2401" s="0" t="n">
        <v>4</v>
      </c>
      <c r="X2401" s="3" t="n">
        <f aca="false">LOOKUP(V2401,$AB$3:$AC$123)</f>
        <v>1.092175</v>
      </c>
      <c r="Y2401" s="2" t="n">
        <f aca="false">(V2401*((W2401+T2401)/1000)*X2401)/((((W2401+T2401)/1000)*X2401)-((W2401/1000)*0.9982))</f>
        <v>75.6610005355735</v>
      </c>
      <c r="Z2401" s="3" t="n">
        <f aca="false">(X2401*(V2401/100)*((W2401+T2401)/1000))*1000</f>
        <v>1.27861268554688</v>
      </c>
      <c r="AA2401" s="0" t="n">
        <f aca="false">Z2401/R2401</f>
        <v>0.319653171386719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:D49"/>
    </sheetView>
  </sheetViews>
  <sheetFormatPr defaultRowHeight="13.8"/>
  <cols>
    <col collapsed="false" hidden="false" max="1" min="1" style="0" width="8.5748987854251"/>
    <col collapsed="false" hidden="false" max="2" min="2" style="0" width="10.2834008097166"/>
    <col collapsed="false" hidden="false" max="10" min="3" style="0" width="8.5748987854251"/>
    <col collapsed="false" hidden="false" max="11" min="11" style="0" width="10.1417004048583"/>
    <col collapsed="false" hidden="false" max="12" min="12" style="0" width="11.4251012145749"/>
    <col collapsed="false" hidden="false" max="13" min="13" style="0" width="11.8542510121458"/>
    <col collapsed="false" hidden="false" max="17" min="14" style="0" width="8.5748987854251"/>
    <col collapsed="false" hidden="false" max="18" min="18" style="0" width="11.9959514170041"/>
    <col collapsed="false" hidden="false" max="19" min="19" style="0" width="12.4251012145749"/>
    <col collapsed="false" hidden="false" max="1025" min="20" style="0" width="8.5748987854251"/>
  </cols>
  <sheetData>
    <row r="1" customFormat="false" ht="13.8" hidden="false" customHeight="false" outlineLevel="0" collapsed="false">
      <c r="A1" s="0" t="s">
        <v>178</v>
      </c>
      <c r="B1" s="0" t="s">
        <v>2</v>
      </c>
      <c r="C1" s="0" t="s">
        <v>56</v>
      </c>
      <c r="D1" s="0" t="s">
        <v>28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  <c r="R1" s="0" t="s">
        <v>192</v>
      </c>
      <c r="S1" s="0" t="s">
        <v>193</v>
      </c>
    </row>
    <row r="2" customFormat="false" ht="13.8" hidden="false" customHeight="false" outlineLevel="0" collapsed="false">
      <c r="A2" s="0" t="s">
        <v>26</v>
      </c>
      <c r="B2" s="0" t="s">
        <v>28</v>
      </c>
      <c r="C2" s="0" t="s">
        <v>194</v>
      </c>
      <c r="D2" s="0" t="s">
        <v>195</v>
      </c>
      <c r="E2" s="3" t="n">
        <v>36</v>
      </c>
      <c r="F2" s="3" t="n">
        <v>8</v>
      </c>
      <c r="G2" s="0" t="n">
        <f aca="false">AVERAGE(Turnera!F2258,Turnera!F2306,Turnera!F2354)</f>
        <v>0.666666666666667</v>
      </c>
      <c r="H2" s="0" t="n">
        <f aca="false">AVERAGE(Turnera!J2258,Turnera!J2306,Turnera!J2354)</f>
        <v>7.5859375</v>
      </c>
      <c r="I2" s="0" t="n">
        <f aca="false">AVERAGE(Turnera!L2258,Turnera!L2306,Turnera!L2354)</f>
        <v>19</v>
      </c>
      <c r="J2" s="0" t="n">
        <f aca="false">AVERAGE(Turnera!P2258,Turnera!P2306,Turnera!P2354)</f>
        <v>2.4009372109375</v>
      </c>
      <c r="K2" s="0" t="n">
        <f aca="false">AVERAGE(Turnera!K2258,Turnera!K2306,Turnera!K2354)</f>
        <v>7.5859375</v>
      </c>
      <c r="L2" s="0" t="n">
        <f aca="false">AVERAGE(Turnera!N2258,Turnera!N2306,Turnera!N2354)</f>
        <v>28.5</v>
      </c>
      <c r="M2" s="0" t="n">
        <f aca="false">AVERAGE(Turnera!Q2258,Turnera!Q2306,Turnera!Q2354)</f>
        <v>2.4009372109375</v>
      </c>
      <c r="N2" s="0" t="n">
        <f aca="false">AVERAGE(Turnera!R2258,Turnera!R2306,Turnera!R2354)</f>
        <v>2.66666666666667</v>
      </c>
      <c r="O2" s="0" t="n">
        <f aca="false">AVERAGE(Turnera!T2258,Turnera!T2306,Turnera!T2354)</f>
        <v>1.984375</v>
      </c>
      <c r="P2" s="0" t="n">
        <f aca="false">AVERAGE(Turnera!Y2258,Turnera!Y2306,Turnera!Y2354)</f>
        <v>48.5627266610467</v>
      </c>
      <c r="Q2" s="0" t="n">
        <f aca="false">AVERAGE(Turnera!Z2258,Turnera!Z2306,Turnera!Z2354)</f>
        <v>1.35202405729167</v>
      </c>
      <c r="R2" s="0" t="n">
        <f aca="false">AVERAGE(Turnera!U2258,Turnera!U2306:U2306,Turnera!U2354)</f>
        <v>0.736979166666667</v>
      </c>
      <c r="S2" s="0" t="n">
        <f aca="false">AVERAGE(Turnera!AA2258,Turnera!AA2306,Turnera!AA2354)</f>
        <v>0.444057615885417</v>
      </c>
    </row>
    <row r="3" customFormat="false" ht="13.8" hidden="false" customHeight="false" outlineLevel="0" collapsed="false">
      <c r="A3" s="0" t="s">
        <v>32</v>
      </c>
      <c r="B3" s="0" t="s">
        <v>28</v>
      </c>
      <c r="C3" s="0" t="s">
        <v>194</v>
      </c>
      <c r="D3" s="0" t="s">
        <v>195</v>
      </c>
      <c r="E3" s="3" t="n">
        <v>82</v>
      </c>
      <c r="F3" s="3" t="n">
        <v>14</v>
      </c>
      <c r="G3" s="0" t="n">
        <f aca="false">AVERAGE(Turnera!F2259,Turnera!F2307,Turnera!F2355)</f>
        <v>0.666666666666667</v>
      </c>
      <c r="H3" s="0" t="n">
        <f aca="false">AVERAGE(Turnera!J2259,Turnera!J2307,Turnera!J2355)</f>
        <v>5.5546875</v>
      </c>
      <c r="I3" s="0" t="n">
        <f aca="false">AVERAGE(Turnera!L2259,Turnera!L2307,Turnera!L2355)</f>
        <v>12.8333333333333</v>
      </c>
      <c r="J3" s="0" t="n">
        <f aca="false">AVERAGE(Turnera!P2259,Turnera!P2307,Turnera!P2355)</f>
        <v>1.17605699707031</v>
      </c>
      <c r="K3" s="0" t="n">
        <f aca="false">AVERAGE(Turnera!K2259,Turnera!K2307,Turnera!K2355)</f>
        <v>5.5546875</v>
      </c>
      <c r="L3" s="0" t="n">
        <f aca="false">AVERAGE(Turnera!N2259,Turnera!N2307,Turnera!N2355)</f>
        <v>19.25</v>
      </c>
      <c r="M3" s="0" t="n">
        <f aca="false">AVERAGE(Turnera!Q2259,Turnera!Q2307,Turnera!Q2355)</f>
        <v>1.17605699707031</v>
      </c>
      <c r="N3" s="0" t="n">
        <f aca="false">AVERAGE(Turnera!R2259,Turnera!R2307,Turnera!R2355)</f>
        <v>7.66666666666667</v>
      </c>
      <c r="O3" s="0" t="n">
        <f aca="false">AVERAGE(Turnera!T2259,Turnera!T2307,Turnera!T2355)</f>
        <v>2.86979166666667</v>
      </c>
      <c r="P3" s="0" t="n">
        <f aca="false">AVERAGE(Turnera!Y2259,Turnera!Y2307,Turnera!Y2355)</f>
        <v>58.1599983336734</v>
      </c>
      <c r="Q3" s="0" t="n">
        <f aca="false">AVERAGE(Turnera!Z2259,Turnera!Z2307,Turnera!Z2355)</f>
        <v>2.24351120833333</v>
      </c>
      <c r="R3" s="0" t="n">
        <f aca="false">AVERAGE(Turnera!U2259,Turnera!U2307:U2307,Turnera!U2355)</f>
        <v>0.360387731481481</v>
      </c>
      <c r="S3" s="0" t="n">
        <f aca="false">AVERAGE(Turnera!AA2259,Turnera!AA2307,Turnera!AA2355)</f>
        <v>0.277445641203704</v>
      </c>
    </row>
    <row r="4" customFormat="false" ht="13.8" hidden="false" customHeight="false" outlineLevel="0" collapsed="false">
      <c r="A4" s="0" t="s">
        <v>34</v>
      </c>
      <c r="B4" s="0" t="s">
        <v>28</v>
      </c>
      <c r="C4" s="0" t="s">
        <v>194</v>
      </c>
      <c r="D4" s="0" t="s">
        <v>195</v>
      </c>
      <c r="E4" s="3" t="n">
        <v>54</v>
      </c>
      <c r="F4" s="3" t="n">
        <v>10</v>
      </c>
      <c r="G4" s="0" t="n">
        <f aca="false">AVERAGE(Turnera!F2260,Turnera!F2308,Turnera!F2356)</f>
        <v>1</v>
      </c>
      <c r="H4" s="0" t="n">
        <f aca="false">AVERAGE(Turnera!J2260,Turnera!J2308,Turnera!J2356)</f>
        <v>11.90625</v>
      </c>
      <c r="I4" s="0" t="n">
        <f aca="false">AVERAGE(Turnera!L2260,Turnera!L2308,Turnera!L2356)</f>
        <v>12</v>
      </c>
      <c r="J4" s="0" t="n">
        <f aca="false">AVERAGE(Turnera!P2260,Turnera!P2308,Turnera!P2356)</f>
        <v>2.314088078125</v>
      </c>
      <c r="K4" s="0" t="n">
        <f aca="false">AVERAGE(Turnera!K2260,Turnera!K2308,Turnera!K2356)</f>
        <v>8.5859375</v>
      </c>
      <c r="L4" s="0" t="n">
        <f aca="false">AVERAGE(Turnera!N2260,Turnera!N2308,Turnera!N2356)</f>
        <v>18</v>
      </c>
      <c r="M4" s="0" t="n">
        <f aca="false">AVERAGE(Turnera!Q2260,Turnera!Q2308,Turnera!Q2356)</f>
        <v>1.6349679609375</v>
      </c>
      <c r="N4" s="0" t="n">
        <f aca="false">AVERAGE(Turnera!R2260,Turnera!R2308,Turnera!R2356)</f>
        <v>4</v>
      </c>
      <c r="O4" s="0" t="n">
        <f aca="false">AVERAGE(Turnera!T2260,Turnera!T2308,Turnera!T2356)</f>
        <v>3.53645833333333</v>
      </c>
      <c r="P4" s="0" t="n">
        <f aca="false">AVERAGE(Turnera!Y2260,Turnera!Y2308,Turnera!Y2356)</f>
        <v>54.405074490467</v>
      </c>
      <c r="Q4" s="0" t="n">
        <f aca="false">AVERAGE(Turnera!Z2260,Turnera!Z2308,Turnera!Z2356)</f>
        <v>2.3942832734375</v>
      </c>
      <c r="R4" s="0" t="n">
        <f aca="false">AVERAGE(Turnera!U2260,Turnera!U2308:U2308,Turnera!U2356)</f>
        <v>0.884114583333333</v>
      </c>
      <c r="S4" s="0" t="n">
        <f aca="false">AVERAGE(Turnera!AA2260,Turnera!AA2308,Turnera!AA2356)</f>
        <v>0.598570818359375</v>
      </c>
    </row>
    <row r="5" customFormat="false" ht="13.8" hidden="false" customHeight="false" outlineLevel="0" collapsed="false">
      <c r="A5" s="0" t="s">
        <v>36</v>
      </c>
      <c r="B5" s="0" t="s">
        <v>28</v>
      </c>
      <c r="C5" s="0" t="s">
        <v>194</v>
      </c>
      <c r="D5" s="0" t="s">
        <v>195</v>
      </c>
      <c r="E5" s="3" t="n">
        <v>41</v>
      </c>
      <c r="F5" s="3" t="n">
        <v>8</v>
      </c>
      <c r="G5" s="0" t="n">
        <f aca="false">AVERAGE(Turnera!F2261,Turnera!F2309,Turnera!F2357)</f>
        <v>0.333333333333333</v>
      </c>
      <c r="H5" s="0" t="n">
        <f aca="false">AVERAGE(Turnera!J2261,Turnera!J2309,Turnera!J2357)</f>
        <v>6.46875</v>
      </c>
      <c r="I5" s="0" t="n">
        <f aca="false">AVERAGE(Turnera!L2261,Turnera!L2309,Turnera!L2357)</f>
        <v>7.33333333333333</v>
      </c>
      <c r="J5" s="0" t="n">
        <f aca="false">AVERAGE(Turnera!P2261,Turnera!P2309,Turnera!P2357)</f>
        <v>1.5510639375</v>
      </c>
      <c r="K5" s="0" t="n">
        <f aca="false">AVERAGE(Turnera!K2261,Turnera!K2309,Turnera!K2357)</f>
        <v>6.46875</v>
      </c>
      <c r="L5" s="0" t="n">
        <f aca="false">AVERAGE(Turnera!N2261,Turnera!N2309,Turnera!N2357)</f>
        <v>22</v>
      </c>
      <c r="M5" s="0" t="n">
        <f aca="false">AVERAGE(Turnera!Q2261,Turnera!Q2309,Turnera!Q2357)</f>
        <v>1.5510639375</v>
      </c>
      <c r="N5" s="0" t="n">
        <f aca="false">AVERAGE(Turnera!R2261,Turnera!R2309,Turnera!R2357)</f>
        <v>2</v>
      </c>
      <c r="O5" s="0" t="n">
        <f aca="false">AVERAGE(Turnera!T2261,Turnera!T2309,Turnera!T2357)</f>
        <v>1.49479166666667</v>
      </c>
      <c r="P5" s="0" t="n">
        <f aca="false">AVERAGE(Turnera!Y2261,Turnera!Y2309,Turnera!Y2357)</f>
        <v>39.6620305826583</v>
      </c>
      <c r="Q5" s="0" t="n">
        <f aca="false">AVERAGE(Turnera!Z2261,Turnera!Z2309,Turnera!Z2357)</f>
        <v>0.740240609375</v>
      </c>
      <c r="R5" s="0" t="n">
        <f aca="false">AVERAGE(Turnera!U2261,Turnera!U2309:U2309,Turnera!U2357)</f>
        <v>0.714409722222222</v>
      </c>
      <c r="S5" s="0" t="n">
        <f aca="false">AVERAGE(Turnera!AA2261,Turnera!AA2309,Turnera!AA2357)</f>
        <v>0.336858127604167</v>
      </c>
    </row>
    <row r="6" customFormat="false" ht="13.8" hidden="false" customHeight="false" outlineLevel="0" collapsed="false">
      <c r="A6" s="0" t="s">
        <v>38</v>
      </c>
      <c r="B6" s="0" t="s">
        <v>28</v>
      </c>
      <c r="C6" s="0" t="s">
        <v>194</v>
      </c>
      <c r="D6" s="0" t="s">
        <v>195</v>
      </c>
      <c r="E6" s="3" t="n">
        <v>68</v>
      </c>
      <c r="F6" s="3" t="n">
        <v>16</v>
      </c>
      <c r="G6" s="0" t="n">
        <f aca="false">AVERAGE(Turnera!F2262,Turnera!F2310,Turnera!F2358)</f>
        <v>1.33333333333333</v>
      </c>
      <c r="H6" s="0" t="n">
        <f aca="false">AVERAGE(Turnera!J2262,Turnera!J2310,Turnera!J2358)</f>
        <v>14.7421875</v>
      </c>
      <c r="I6" s="0" t="n">
        <f aca="false">AVERAGE(Turnera!L2262,Turnera!L2310,Turnera!L2358)</f>
        <v>13.6666666666667</v>
      </c>
      <c r="J6" s="0" t="n">
        <f aca="false">AVERAGE(Turnera!P2262,Turnera!P2310,Turnera!P2358)</f>
        <v>3.2116674765625</v>
      </c>
      <c r="K6" s="0" t="n">
        <f aca="false">AVERAGE(Turnera!K2262,Turnera!K2310,Turnera!K2358)</f>
        <v>6.29947916666667</v>
      </c>
      <c r="L6" s="0" t="n">
        <f aca="false">AVERAGE(Turnera!N2262,Turnera!N2310,Turnera!N2358)</f>
        <v>20.5</v>
      </c>
      <c r="M6" s="0" t="n">
        <f aca="false">AVERAGE(Turnera!Q2262,Turnera!Q2310,Turnera!Q2358)</f>
        <v>1.38635393489583</v>
      </c>
      <c r="N6" s="0" t="n">
        <f aca="false">AVERAGE(Turnera!R2262,Turnera!R2310,Turnera!R2358)</f>
        <v>9</v>
      </c>
      <c r="O6" s="0" t="n">
        <f aca="false">AVERAGE(Turnera!T2262,Turnera!T2310,Turnera!T2358)</f>
        <v>4.17708333333333</v>
      </c>
      <c r="P6" s="0" t="n">
        <f aca="false">AVERAGE(Turnera!Y2262,Turnera!Y2310,Turnera!Y2358)</f>
        <v>58.3026010560913</v>
      </c>
      <c r="Q6" s="0" t="n">
        <f aca="false">AVERAGE(Turnera!Z2262,Turnera!Z2310,Turnera!Z2358)</f>
        <v>3.19186120052083</v>
      </c>
      <c r="R6" s="0" t="n">
        <f aca="false">AVERAGE(Turnera!U2262,Turnera!U2310:U2310,Turnera!U2358)</f>
        <v>0.468905009920635</v>
      </c>
      <c r="S6" s="0" t="n">
        <f aca="false">AVERAGE(Turnera!AA2262,Turnera!AA2310,Turnera!AA2358)</f>
        <v>0.349693463836185</v>
      </c>
    </row>
    <row r="7" customFormat="false" ht="13.8" hidden="false" customHeight="false" outlineLevel="0" collapsed="false">
      <c r="A7" s="0" t="s">
        <v>40</v>
      </c>
      <c r="B7" s="0" t="s">
        <v>28</v>
      </c>
      <c r="C7" s="0" t="s">
        <v>194</v>
      </c>
      <c r="D7" s="0" t="s">
        <v>195</v>
      </c>
      <c r="E7" s="3" t="n">
        <v>50</v>
      </c>
      <c r="F7" s="3" t="n">
        <v>10</v>
      </c>
      <c r="G7" s="0" t="n">
        <f aca="false">AVERAGE(Turnera!F2263,Turnera!F2311,Turnera!F2359)</f>
        <v>1</v>
      </c>
      <c r="H7" s="0" t="n">
        <f aca="false">AVERAGE(Turnera!J2263,Turnera!J2311,Turnera!J2359)</f>
        <v>8.32291666666667</v>
      </c>
      <c r="I7" s="0" t="n">
        <f aca="false">AVERAGE(Turnera!L2263,Turnera!L2311,Turnera!L2359)</f>
        <v>27.5</v>
      </c>
      <c r="J7" s="0" t="n">
        <f aca="false">AVERAGE(Turnera!P2263,Turnera!P2311,Turnera!P2359)</f>
        <v>2.62953896484375</v>
      </c>
      <c r="K7" s="0" t="n">
        <f aca="false">AVERAGE(Turnera!K2263,Turnera!K2311,Turnera!K2359)</f>
        <v>8.32291666666667</v>
      </c>
      <c r="L7" s="0" t="n">
        <f aca="false">AVERAGE(Turnera!N2263,Turnera!N2311,Turnera!N2359)</f>
        <v>27.5</v>
      </c>
      <c r="M7" s="0" t="n">
        <f aca="false">AVERAGE(Turnera!Q2263,Turnera!Q2311,Turnera!Q2359)</f>
        <v>2.62953896484375</v>
      </c>
      <c r="N7" s="0" t="n">
        <f aca="false">AVERAGE(Turnera!R2263,Turnera!R2311,Turnera!R2359)</f>
        <v>5.66666666666667</v>
      </c>
      <c r="O7" s="0" t="n">
        <f aca="false">AVERAGE(Turnera!T2263,Turnera!T2311,Turnera!T2359)</f>
        <v>2.95833333333333</v>
      </c>
      <c r="P7" s="0" t="n">
        <f aca="false">AVERAGE(Turnera!Y2263,Turnera!Y2311,Turnera!Y2359)</f>
        <v>53.1264500904321</v>
      </c>
      <c r="Q7" s="0" t="n">
        <f aca="false">AVERAGE(Turnera!Z2263,Turnera!Z2311,Turnera!Z2359)</f>
        <v>1.96579363151042</v>
      </c>
      <c r="R7" s="0" t="n">
        <f aca="false">AVERAGE(Turnera!U2263,Turnera!U2311:U2311,Turnera!U2359)</f>
        <v>0.549231150793651</v>
      </c>
      <c r="S7" s="0" t="n">
        <f aca="false">AVERAGE(Turnera!AA2263,Turnera!AA2311,Turnera!AA2359)</f>
        <v>0.363179186709449</v>
      </c>
    </row>
    <row r="8" customFormat="false" ht="13.8" hidden="false" customHeight="false" outlineLevel="0" collapsed="false">
      <c r="A8" s="0" t="s">
        <v>42</v>
      </c>
      <c r="B8" s="0" t="s">
        <v>28</v>
      </c>
      <c r="C8" s="0" t="s">
        <v>194</v>
      </c>
      <c r="D8" s="0" t="s">
        <v>195</v>
      </c>
      <c r="E8" s="3" t="n">
        <v>56</v>
      </c>
      <c r="F8" s="3" t="n">
        <v>7</v>
      </c>
      <c r="G8" s="0" t="n">
        <f aca="false">AVERAGE(Turnera!F2264,Turnera!F2312,Turnera!F2360)</f>
        <v>1</v>
      </c>
      <c r="H8" s="0" t="n">
        <f aca="false">AVERAGE(Turnera!J2264,Turnera!J2312,Turnera!J2360)</f>
        <v>9.6484375</v>
      </c>
      <c r="I8" s="0" t="n">
        <f aca="false">AVERAGE(Turnera!L2264,Turnera!L2312,Turnera!L2360)</f>
        <v>16</v>
      </c>
      <c r="J8" s="0" t="n">
        <f aca="false">AVERAGE(Turnera!P2264,Turnera!P2312,Turnera!P2360)</f>
        <v>2.592501734375</v>
      </c>
      <c r="K8" s="0" t="n">
        <f aca="false">AVERAGE(Turnera!K2264,Turnera!K2312,Turnera!K2360)</f>
        <v>6.76171875</v>
      </c>
      <c r="L8" s="0" t="n">
        <f aca="false">AVERAGE(Turnera!N2264,Turnera!N2312,Turnera!N2360)</f>
        <v>24</v>
      </c>
      <c r="M8" s="0" t="n">
        <f aca="false">AVERAGE(Turnera!Q2264,Turnera!Q2312,Turnera!Q2360)</f>
        <v>1.7608207421875</v>
      </c>
      <c r="N8" s="0" t="n">
        <f aca="false">AVERAGE(Turnera!R2264,Turnera!R2312,Turnera!R2360)</f>
        <v>3.33333333333333</v>
      </c>
      <c r="O8" s="0" t="n">
        <f aca="false">AVERAGE(Turnera!T2264,Turnera!T2312,Turnera!T2360)</f>
        <v>1.546875</v>
      </c>
      <c r="P8" s="0" t="n">
        <f aca="false">AVERAGE(Turnera!Y2264,Turnera!Y2312,Turnera!Y2360)</f>
        <v>59.460838359042</v>
      </c>
      <c r="Q8" s="0" t="n">
        <f aca="false">AVERAGE(Turnera!Z2264,Turnera!Z2312,Turnera!Z2360)</f>
        <v>1.189533140625</v>
      </c>
      <c r="R8" s="0" t="n">
        <f aca="false">AVERAGE(Turnera!U2264,Turnera!U2312:U2312,Turnera!U2360)</f>
        <v>0.465277777777778</v>
      </c>
      <c r="S8" s="0" t="n">
        <f aca="false">AVERAGE(Turnera!AA2264,Turnera!AA2312,Turnera!AA2360)</f>
        <v>0.347999921875</v>
      </c>
    </row>
    <row r="9" customFormat="false" ht="13.8" hidden="false" customHeight="false" outlineLevel="0" collapsed="false">
      <c r="A9" s="0" t="s">
        <v>44</v>
      </c>
      <c r="B9" s="0" t="s">
        <v>28</v>
      </c>
      <c r="C9" s="0" t="s">
        <v>194</v>
      </c>
      <c r="D9" s="0" t="s">
        <v>195</v>
      </c>
      <c r="E9" s="3" t="n">
        <v>35</v>
      </c>
      <c r="F9" s="3" t="n">
        <v>7</v>
      </c>
      <c r="G9" s="0" t="n">
        <f aca="false">AVERAGE(Turnera!F2265,Turnera!F2313,Turnera!F2361)</f>
        <v>0</v>
      </c>
      <c r="H9" s="0" t="e">
        <f aca="false">AVERAGE(Turnera!J2265,Turnera!J2313,Turnera!J2361)</f>
        <v>#DIV/0!</v>
      </c>
      <c r="I9" s="0" t="n">
        <f aca="false">AVERAGE(Turnera!L2265,Turnera!L2313,Turnera!L2361)</f>
        <v>0</v>
      </c>
      <c r="J9" s="0" t="n">
        <v>0</v>
      </c>
      <c r="M9" s="0" t="n">
        <v>0</v>
      </c>
      <c r="N9" s="0" t="n">
        <f aca="false">AVERAGE(Turnera!R2265,Turnera!R2313,Turnera!R2361)</f>
        <v>2.33333333333333</v>
      </c>
      <c r="O9" s="0" t="n">
        <f aca="false">AVERAGE(Turnera!T2265,Turnera!T2313,Turnera!T2361)</f>
        <v>0.932291666666667</v>
      </c>
      <c r="P9" s="0" t="n">
        <f aca="false">AVERAGE(Turnera!Y2265,Turnera!Y2313,Turnera!Y2361)</f>
        <v>46.4639481843196</v>
      </c>
      <c r="Q9" s="0" t="n">
        <f aca="false">AVERAGE(Turnera!Z2265,Turnera!Z2313,Turnera!Z2361)</f>
        <v>0.4894201953125</v>
      </c>
      <c r="R9" s="0" t="n">
        <f aca="false">AVERAGE(Turnera!U2265,Turnera!U2313:U2313,Turnera!U2361)</f>
        <v>0.4140625</v>
      </c>
      <c r="S9" s="0" t="n">
        <f aca="false">AVERAGE(Turnera!AA2265,Turnera!AA2313,Turnera!AA2361)</f>
        <v>0.223563196614583</v>
      </c>
    </row>
    <row r="10" customFormat="false" ht="13.8" hidden="false" customHeight="false" outlineLevel="0" collapsed="false">
      <c r="A10" s="0" t="s">
        <v>46</v>
      </c>
      <c r="B10" s="0" t="s">
        <v>28</v>
      </c>
      <c r="C10" s="0" t="s">
        <v>194</v>
      </c>
      <c r="D10" s="0" t="s">
        <v>195</v>
      </c>
      <c r="E10" s="3" t="n">
        <v>57</v>
      </c>
      <c r="F10" s="3" t="n">
        <v>7</v>
      </c>
      <c r="G10" s="0" t="n">
        <f aca="false">AVERAGE(Turnera!F2266,Turnera!F2314,Turnera!F2362)</f>
        <v>0.666666666666667</v>
      </c>
      <c r="H10" s="0" t="n">
        <f aca="false">AVERAGE(Turnera!J2266,Turnera!J2314,Turnera!J2362)</f>
        <v>5.4609375</v>
      </c>
      <c r="I10" s="0" t="n">
        <f aca="false">AVERAGE(Turnera!L2266,Turnera!L2314,Turnera!L2362)</f>
        <v>16.1666666666667</v>
      </c>
      <c r="J10" s="0" t="n">
        <f aca="false">AVERAGE(Turnera!P2266,Turnera!P2314,Turnera!P2362)</f>
        <v>1.42326162695313</v>
      </c>
      <c r="K10" s="0" t="n">
        <f aca="false">AVERAGE(Turnera!K2266,Turnera!K2314,Turnera!K2362)</f>
        <v>5.4609375</v>
      </c>
      <c r="L10" s="0" t="n">
        <f aca="false">AVERAGE(Turnera!N2266,Turnera!N2314,Turnera!N2362)</f>
        <v>24.25</v>
      </c>
      <c r="M10" s="0" t="n">
        <f aca="false">AVERAGE(Turnera!Q2266,Turnera!Q2314,Turnera!Q2362)</f>
        <v>1.42326162695313</v>
      </c>
      <c r="N10" s="0" t="n">
        <f aca="false">AVERAGE(Turnera!R2266,Turnera!R2314,Turnera!R2362)</f>
        <v>4</v>
      </c>
      <c r="O10" s="0" t="n">
        <f aca="false">AVERAGE(Turnera!T2266,Turnera!T2314,Turnera!T2362)</f>
        <v>0.760416666666667</v>
      </c>
      <c r="P10" s="0" t="n">
        <f aca="false">AVERAGE(Turnera!Y2266,Turnera!Y2314,Turnera!Y2362)</f>
        <v>59.5151335438896</v>
      </c>
      <c r="Q10" s="0" t="n">
        <f aca="false">AVERAGE(Turnera!Z2266,Turnera!Z2314,Turnera!Z2362)</f>
        <v>0.547286061197917</v>
      </c>
      <c r="R10" s="0" t="n">
        <f aca="false">AVERAGE(Turnera!U2266,Turnera!U2314:U2314,Turnera!U2362)</f>
        <v>0.188368055555556</v>
      </c>
      <c r="S10" s="0" t="n">
        <f aca="false">AVERAGE(Turnera!AA2266,Turnera!AA2314,Turnera!AA2362)</f>
        <v>0.138389524956597</v>
      </c>
    </row>
    <row r="11" customFormat="false" ht="13.8" hidden="false" customHeight="false" outlineLevel="0" collapsed="false">
      <c r="A11" s="0" t="s">
        <v>48</v>
      </c>
      <c r="B11" s="0" t="s">
        <v>28</v>
      </c>
      <c r="C11" s="0" t="s">
        <v>194</v>
      </c>
      <c r="D11" s="0" t="s">
        <v>195</v>
      </c>
      <c r="E11" s="3" t="n">
        <v>40</v>
      </c>
      <c r="F11" s="3" t="n">
        <v>9</v>
      </c>
      <c r="G11" s="0" t="n">
        <f aca="false">AVERAGE(Turnera!F2267,Turnera!F2315,Turnera!F2363)</f>
        <v>1</v>
      </c>
      <c r="H11" s="0" t="n">
        <f aca="false">AVERAGE(Turnera!J2267,Turnera!J2315,Turnera!J2363)</f>
        <v>13.1015625</v>
      </c>
      <c r="I11" s="0" t="n">
        <f aca="false">AVERAGE(Turnera!L2267,Turnera!L2315,Turnera!L2363)</f>
        <v>14.5</v>
      </c>
      <c r="J11" s="0" t="n">
        <f aca="false">AVERAGE(Turnera!P2267,Turnera!P2315,Turnera!P2363)</f>
        <v>3.5802927890625</v>
      </c>
      <c r="K11" s="0" t="n">
        <f aca="false">AVERAGE(Turnera!K2267,Turnera!K2315,Turnera!K2363)</f>
        <v>8.92578125</v>
      </c>
      <c r="L11" s="0" t="n">
        <f aca="false">AVERAGE(Turnera!N2267,Turnera!N2315,Turnera!N2363)</f>
        <v>21.75</v>
      </c>
      <c r="M11" s="0" t="n">
        <f aca="false">AVERAGE(Turnera!Q2267,Turnera!Q2315,Turnera!Q2363)</f>
        <v>2.08839889453125</v>
      </c>
      <c r="N11" s="0" t="n">
        <f aca="false">AVERAGE(Turnera!R2267,Turnera!R2315,Turnera!R2363)</f>
        <v>3.33333333333333</v>
      </c>
      <c r="O11" s="0" t="n">
        <f aca="false">AVERAGE(Turnera!T2267,Turnera!T2315,Turnera!T2363)</f>
        <v>1.65625</v>
      </c>
      <c r="P11" s="0" t="n">
        <f aca="false">AVERAGE(Turnera!Y2267,Turnera!Y2315,Turnera!Y2363)</f>
        <v>46.2705812705304</v>
      </c>
      <c r="Q11" s="0" t="n">
        <f aca="false">AVERAGE(Turnera!Z2267,Turnera!Z2315,Turnera!Z2363)</f>
        <v>0.952024479166666</v>
      </c>
      <c r="R11" s="0" t="n">
        <f aca="false">AVERAGE(Turnera!U2267,Turnera!U2315:U2315,Turnera!U2363)</f>
        <v>0.489149305555556</v>
      </c>
      <c r="S11" s="0" t="n">
        <f aca="false">AVERAGE(Turnera!AA2267,Turnera!AA2315,Turnera!AA2363)</f>
        <v>0.279712934027778</v>
      </c>
    </row>
    <row r="12" customFormat="false" ht="13.8" hidden="false" customHeight="false" outlineLevel="0" collapsed="false">
      <c r="A12" s="0" t="s">
        <v>50</v>
      </c>
      <c r="B12" s="0" t="s">
        <v>28</v>
      </c>
      <c r="C12" s="0" t="s">
        <v>194</v>
      </c>
      <c r="D12" s="0" t="s">
        <v>195</v>
      </c>
      <c r="E12" s="3" t="n">
        <v>57</v>
      </c>
      <c r="F12" s="3" t="n">
        <v>3</v>
      </c>
      <c r="G12" s="0" t="n">
        <f aca="false">AVERAGE(Turnera!F2268,Turnera!F2316,Turnera!F2364)</f>
        <v>0.333333333333333</v>
      </c>
      <c r="H12" s="0" t="n">
        <f aca="false">AVERAGE(Turnera!J2268,Turnera!J2316,Turnera!J2364)</f>
        <v>4.0625</v>
      </c>
      <c r="I12" s="0" t="n">
        <f aca="false">AVERAGE(Turnera!L2268,Turnera!L2316,Turnera!L2364)</f>
        <v>9</v>
      </c>
      <c r="J12" s="0" t="n">
        <f aca="false">AVERAGE(Turnera!P2268,Turnera!P2316,Turnera!P2364)</f>
        <v>1.2206025</v>
      </c>
      <c r="K12" s="0" t="n">
        <f aca="false">AVERAGE(Turnera!K2268,Turnera!K2316,Turnera!K2364)</f>
        <v>4.0625</v>
      </c>
      <c r="L12" s="0" t="n">
        <f aca="false">AVERAGE(Turnera!N2268,Turnera!N2316,Turnera!N2364)</f>
        <v>27</v>
      </c>
      <c r="M12" s="0" t="n">
        <f aca="false">AVERAGE(Turnera!Q2268,Turnera!Q2316,Turnera!Q2364)</f>
        <v>1.2206025</v>
      </c>
      <c r="N12" s="0" t="n">
        <f aca="false">AVERAGE(Turnera!R2268,Turnera!R2316,Turnera!R2364)</f>
        <v>3</v>
      </c>
      <c r="O12" s="0" t="n">
        <f aca="false">AVERAGE(Turnera!T2268,Turnera!T2316,Turnera!T2364)</f>
        <v>0.708333333333333</v>
      </c>
      <c r="P12" s="0" t="n">
        <f aca="false">AVERAGE(Turnera!Y2268,Turnera!Y2316,Turnera!Y2364)</f>
        <v>47.5984012827165</v>
      </c>
      <c r="Q12" s="0" t="n">
        <f aca="false">AVERAGE(Turnera!Z2268,Turnera!Z2316,Turnera!Z2364)</f>
        <v>0.407649049479167</v>
      </c>
      <c r="R12" s="0" t="n">
        <f aca="false">AVERAGE(Turnera!U2268,Turnera!U2316:U2316,Turnera!U2364)</f>
        <v>0.272916666666667</v>
      </c>
      <c r="S12" s="0" t="n">
        <f aca="false">AVERAGE(Turnera!AA2268,Turnera!AA2316,Turnera!AA2364)</f>
        <v>0.164173374739583</v>
      </c>
    </row>
    <row r="13" customFormat="false" ht="13.8" hidden="false" customHeight="false" outlineLevel="0" collapsed="false">
      <c r="A13" s="0" t="s">
        <v>52</v>
      </c>
      <c r="B13" s="0" t="s">
        <v>28</v>
      </c>
      <c r="C13" s="0" t="s">
        <v>194</v>
      </c>
      <c r="D13" s="0" t="s">
        <v>195</v>
      </c>
      <c r="E13" s="3" t="n">
        <v>47</v>
      </c>
      <c r="F13" s="3" t="n">
        <v>3</v>
      </c>
      <c r="G13" s="0" t="n">
        <f aca="false">AVERAGE(Turnera!F2269,Turnera!F2317,Turnera!F2365)</f>
        <v>0</v>
      </c>
      <c r="H13" s="0" t="e">
        <f aca="false">AVERAGE(Turnera!J2269,Turnera!J2317,Turnera!J2365)</f>
        <v>#DIV/0!</v>
      </c>
      <c r="I13" s="0" t="n">
        <f aca="false">AVERAGE(Turnera!L2269,Turnera!L2317,Turnera!L2365)</f>
        <v>0</v>
      </c>
      <c r="J13" s="0" t="n">
        <v>0</v>
      </c>
      <c r="M13" s="0" t="n">
        <v>0</v>
      </c>
      <c r="N13" s="0" t="n">
        <f aca="false">AVERAGE(Turnera!R2269,Turnera!R2317,Turnera!R2365)</f>
        <v>1.66666666666667</v>
      </c>
      <c r="O13" s="0" t="n">
        <f aca="false">AVERAGE(Turnera!T2269,Turnera!T2317,Turnera!T2365)</f>
        <v>0.416666666666667</v>
      </c>
      <c r="P13" s="0" t="n">
        <f aca="false">AVERAGE(Turnera!Y2269,Turnera!Y2317,Turnera!Y2365)</f>
        <v>50.0772165524839</v>
      </c>
      <c r="Q13" s="0" t="n">
        <f aca="false">AVERAGE(Turnera!Z2269,Turnera!Z2317,Turnera!Z2365)</f>
        <v>0.2892493359375</v>
      </c>
      <c r="R13" s="0" t="n">
        <f aca="false">AVERAGE(Turnera!U2269,Turnera!U2317:U2317,Turnera!U2365)</f>
        <v>0.252604166666667</v>
      </c>
      <c r="S13" s="0" t="n">
        <f aca="false">AVERAGE(Turnera!AA2269,Turnera!AA2317,Turnera!AA2365)</f>
        <v>0.1579980859375</v>
      </c>
    </row>
    <row r="14" customFormat="false" ht="13.8" hidden="false" customHeight="false" outlineLevel="0" collapsed="false">
      <c r="A14" s="0" t="s">
        <v>54</v>
      </c>
      <c r="B14" s="0" t="s">
        <v>56</v>
      </c>
      <c r="C14" s="0" t="s">
        <v>195</v>
      </c>
      <c r="D14" s="0" t="s">
        <v>194</v>
      </c>
      <c r="E14" s="3" t="n">
        <v>30</v>
      </c>
      <c r="F14" s="3" t="n">
        <v>4</v>
      </c>
      <c r="G14" s="0" t="n">
        <f aca="false">AVERAGE(Turnera!F2270,Turnera!F2318,Turnera!F2366)</f>
        <v>0.333333333333333</v>
      </c>
      <c r="H14" s="0" t="n">
        <f aca="false">AVERAGE(Turnera!J2270,Turnera!J2318,Turnera!J2366)</f>
        <v>6.625</v>
      </c>
      <c r="I14" s="0" t="n">
        <f aca="false">AVERAGE(Turnera!L2270,Turnera!L2318,Turnera!L2366)</f>
        <v>7.5</v>
      </c>
      <c r="J14" s="0" t="n">
        <f aca="false">AVERAGE(Turnera!P2270,Turnera!P2318,Turnera!P2366)</f>
        <v>1.628023359375</v>
      </c>
      <c r="K14" s="0" t="n">
        <f aca="false">AVERAGE(Turnera!K2270,Turnera!K2318,Turnera!K2366)</f>
        <v>6.625</v>
      </c>
      <c r="L14" s="0" t="n">
        <f aca="false">AVERAGE(Turnera!N2270,Turnera!N2318,Turnera!N2366)</f>
        <v>22.5</v>
      </c>
      <c r="M14" s="0" t="n">
        <f aca="false">AVERAGE(Turnera!Q2270,Turnera!Q2318,Turnera!Q2366)</f>
        <v>1.628023359375</v>
      </c>
      <c r="N14" s="0" t="n">
        <f aca="false">AVERAGE(Turnera!R2270,Turnera!R2318,Turnera!R2366)</f>
        <v>3.66666666666667</v>
      </c>
      <c r="O14" s="0" t="n">
        <f aca="false">AVERAGE(Turnera!T2270,Turnera!T2318,Turnera!T2366)</f>
        <v>1.34895833333333</v>
      </c>
      <c r="P14" s="0" t="n">
        <f aca="false">AVERAGE(Turnera!Y2270,Turnera!Y2318,Turnera!Y2366)</f>
        <v>49.6555111418695</v>
      </c>
      <c r="Q14" s="0" t="n">
        <f aca="false">AVERAGE(Turnera!Z2270,Turnera!Z2318,Turnera!Z2366)</f>
        <v>0.831875302083333</v>
      </c>
      <c r="R14" s="0" t="n">
        <f aca="false">AVERAGE(Turnera!U2270,Turnera!U2318:U2318,Turnera!U2366)</f>
        <v>0.453993055555556</v>
      </c>
      <c r="S14" s="0" t="n">
        <f aca="false">AVERAGE(Turnera!AA2270,Turnera!AA2318,Turnera!AA2366)</f>
        <v>0.260463541666667</v>
      </c>
    </row>
    <row r="15" customFormat="false" ht="13.8" hidden="false" customHeight="false" outlineLevel="0" collapsed="false">
      <c r="A15" s="0" t="s">
        <v>57</v>
      </c>
      <c r="B15" s="0" t="s">
        <v>56</v>
      </c>
      <c r="C15" s="0" t="s">
        <v>195</v>
      </c>
      <c r="D15" s="0" t="s">
        <v>194</v>
      </c>
      <c r="E15" s="3" t="n">
        <v>59</v>
      </c>
      <c r="F15" s="3" t="n">
        <v>8</v>
      </c>
      <c r="G15" s="0" t="n">
        <f aca="false">AVERAGE(Turnera!F2271,Turnera!F2319,Turnera!F2367)</f>
        <v>1</v>
      </c>
      <c r="H15" s="0" t="n">
        <f aca="false">AVERAGE(Turnera!J2271,Turnera!J2319,Turnera!J2367)</f>
        <v>28.984375</v>
      </c>
      <c r="I15" s="0" t="n">
        <f aca="false">AVERAGE(Turnera!L2271,Turnera!L2319,Turnera!L2367)</f>
        <v>8.33333333333333</v>
      </c>
      <c r="J15" s="0" t="n">
        <f aca="false">AVERAGE(Turnera!P2271,Turnera!P2319,Turnera!P2367)</f>
        <v>7.9964267578125</v>
      </c>
      <c r="K15" s="0" t="n">
        <f aca="false">AVERAGE(Turnera!K2271,Turnera!K2319,Turnera!K2367)</f>
        <v>9.66145833333333</v>
      </c>
      <c r="L15" s="0" t="n">
        <f aca="false">AVERAGE(Turnera!N2271,Turnera!N2319,Turnera!N2367)</f>
        <v>25</v>
      </c>
      <c r="M15" s="0" t="n">
        <f aca="false">AVERAGE(Turnera!Q2271,Turnera!Q2319,Turnera!Q2367)</f>
        <v>2.6654755859375</v>
      </c>
      <c r="N15" s="0" t="n">
        <f aca="false">AVERAGE(Turnera!R2271,Turnera!R2319,Turnera!R2367)</f>
        <v>4</v>
      </c>
      <c r="O15" s="0" t="n">
        <f aca="false">AVERAGE(Turnera!T2271,Turnera!T2319,Turnera!T2367)</f>
        <v>2.28645833333333</v>
      </c>
      <c r="P15" s="0" t="n">
        <f aca="false">AVERAGE(Turnera!Y2271,Turnera!Y2319,Turnera!Y2367)</f>
        <v>58.3956326986939</v>
      </c>
      <c r="Q15" s="0" t="n">
        <f aca="false">AVERAGE(Turnera!Z2271,Turnera!Z2319,Turnera!Z2367)</f>
        <v>1.774100203125</v>
      </c>
      <c r="R15" s="0" t="n">
        <f aca="false">AVERAGE(Turnera!U2271,Turnera!U2319:U2319,Turnera!U2367)</f>
        <v>0.543229166666667</v>
      </c>
      <c r="S15" s="0" t="n">
        <f aca="false">AVERAGE(Turnera!AA2271,Turnera!AA2319,Turnera!AA2367)</f>
        <v>0.414678229166667</v>
      </c>
    </row>
    <row r="16" customFormat="false" ht="13.8" hidden="false" customHeight="false" outlineLevel="0" collapsed="false">
      <c r="A16" s="0" t="s">
        <v>59</v>
      </c>
      <c r="B16" s="0" t="s">
        <v>56</v>
      </c>
      <c r="C16" s="0" t="s">
        <v>195</v>
      </c>
      <c r="D16" s="0" t="s">
        <v>194</v>
      </c>
      <c r="E16" s="3" t="n">
        <v>63</v>
      </c>
      <c r="F16" s="3" t="n">
        <v>10</v>
      </c>
      <c r="G16" s="0" t="n">
        <f aca="false">AVERAGE(Turnera!F2272,Turnera!F2320,Turnera!F2368)</f>
        <v>2</v>
      </c>
      <c r="H16" s="0" t="n">
        <f aca="false">AVERAGE(Turnera!J2272,Turnera!J2320,Turnera!J2368)</f>
        <v>27.8515625</v>
      </c>
      <c r="I16" s="0" t="n">
        <f aca="false">AVERAGE(Turnera!L2272,Turnera!L2320,Turnera!L2368)</f>
        <v>16.3333333333333</v>
      </c>
      <c r="J16" s="0" t="n">
        <f aca="false">AVERAGE(Turnera!P2272,Turnera!P2320,Turnera!P2368)</f>
        <v>7.499830703125</v>
      </c>
      <c r="K16" s="0" t="n">
        <f aca="false">AVERAGE(Turnera!K2272,Turnera!K2320,Turnera!K2368)</f>
        <v>9.28385416666667</v>
      </c>
      <c r="L16" s="0" t="n">
        <f aca="false">AVERAGE(Turnera!N2272,Turnera!N2320,Turnera!N2368)</f>
        <v>24.5</v>
      </c>
      <c r="M16" s="0" t="n">
        <f aca="false">AVERAGE(Turnera!Q2272,Turnera!Q2320,Turnera!Q2368)</f>
        <v>2.49994356770833</v>
      </c>
      <c r="N16" s="0" t="n">
        <f aca="false">AVERAGE(Turnera!R2272,Turnera!R2320,Turnera!R2368)</f>
        <v>6.33333333333333</v>
      </c>
      <c r="O16" s="0" t="n">
        <f aca="false">AVERAGE(Turnera!T2272,Turnera!T2320,Turnera!T2368)</f>
        <v>3.51041666666667</v>
      </c>
      <c r="P16" s="0" t="n">
        <f aca="false">AVERAGE(Turnera!Y2272,Turnera!Y2320,Turnera!Y2368)</f>
        <v>58.6348489172408</v>
      </c>
      <c r="Q16" s="0" t="n">
        <f aca="false">AVERAGE(Turnera!Z2272,Turnera!Z2320,Turnera!Z2368)</f>
        <v>2.65822478645833</v>
      </c>
      <c r="R16" s="0" t="n">
        <f aca="false">AVERAGE(Turnera!U2272,Turnera!U2320:U2320,Turnera!U2368)</f>
        <v>0.567559523809524</v>
      </c>
      <c r="S16" s="0" t="n">
        <f aca="false">AVERAGE(Turnera!AA2272,Turnera!AA2320,Turnera!AA2368)</f>
        <v>0.435196674255953</v>
      </c>
    </row>
    <row r="17" customFormat="false" ht="13.8" hidden="false" customHeight="false" outlineLevel="0" collapsed="false">
      <c r="A17" s="0" t="s">
        <v>61</v>
      </c>
      <c r="B17" s="0" t="s">
        <v>56</v>
      </c>
      <c r="C17" s="0" t="s">
        <v>195</v>
      </c>
      <c r="D17" s="0" t="s">
        <v>194</v>
      </c>
      <c r="E17" s="3" t="n">
        <v>77</v>
      </c>
      <c r="F17" s="3" t="n">
        <v>13</v>
      </c>
      <c r="G17" s="0" t="n">
        <f aca="false">AVERAGE(Turnera!F2273,Turnera!F2321,Turnera!F2369)</f>
        <v>1</v>
      </c>
      <c r="H17" s="0" t="n">
        <f aca="false">AVERAGE(Turnera!J2273,Turnera!J2321,Turnera!J2369)</f>
        <v>20</v>
      </c>
      <c r="I17" s="0" t="n">
        <f aca="false">AVERAGE(Turnera!L2273,Turnera!L2321,Turnera!L2369)</f>
        <v>8.66666666666667</v>
      </c>
      <c r="J17" s="0" t="n">
        <f aca="false">AVERAGE(Turnera!P2273,Turnera!P2321,Turnera!P2369)</f>
        <v>5.76212</v>
      </c>
      <c r="K17" s="0" t="n">
        <f aca="false">AVERAGE(Turnera!K2273,Turnera!K2321,Turnera!K2369)</f>
        <v>6.66666666666667</v>
      </c>
      <c r="L17" s="0" t="n">
        <f aca="false">AVERAGE(Turnera!N2273,Turnera!N2321,Turnera!N2369)</f>
        <v>26</v>
      </c>
      <c r="M17" s="0" t="n">
        <f aca="false">AVERAGE(Turnera!Q2273,Turnera!Q2321,Turnera!Q2369)</f>
        <v>1.92070666666667</v>
      </c>
      <c r="N17" s="0" t="n">
        <f aca="false">AVERAGE(Turnera!R2273,Turnera!R2321,Turnera!R2369)</f>
        <v>5.33333333333333</v>
      </c>
      <c r="O17" s="0" t="n">
        <f aca="false">AVERAGE(Turnera!T2273,Turnera!T2321,Turnera!T2369)</f>
        <v>2.40625</v>
      </c>
      <c r="P17" s="0" t="n">
        <f aca="false">AVERAGE(Turnera!Y2273,Turnera!Y2321,Turnera!Y2369)</f>
        <v>60.6196874285091</v>
      </c>
      <c r="Q17" s="0" t="n">
        <f aca="false">AVERAGE(Turnera!Z2273,Turnera!Z2321,Turnera!Z2369)</f>
        <v>1.98178960807292</v>
      </c>
      <c r="R17" s="0" t="n">
        <f aca="false">AVERAGE(Turnera!U2273,Turnera!U2321:U2321,Turnera!U2369)</f>
        <v>0.462239583333333</v>
      </c>
      <c r="S17" s="0" t="n">
        <f aca="false">AVERAGE(Turnera!AA2273,Turnera!AA2321,Turnera!AA2369)</f>
        <v>0.369575163194444</v>
      </c>
    </row>
    <row r="18" customFormat="false" ht="13.8" hidden="false" customHeight="false" outlineLevel="0" collapsed="false">
      <c r="A18" s="0" t="s">
        <v>63</v>
      </c>
      <c r="B18" s="0" t="s">
        <v>56</v>
      </c>
      <c r="C18" s="0" t="s">
        <v>195</v>
      </c>
      <c r="D18" s="0" t="s">
        <v>194</v>
      </c>
      <c r="E18" s="3" t="n">
        <v>29</v>
      </c>
      <c r="F18" s="3" t="n">
        <v>4</v>
      </c>
      <c r="G18" s="0" t="n">
        <f aca="false">AVERAGE(Turnera!F2274,Turnera!F2322,Turnera!F2370)</f>
        <v>0.333333333333333</v>
      </c>
      <c r="H18" s="0" t="n">
        <f aca="false">AVERAGE(Turnera!J2274,Turnera!J2322,Turnera!J2370)</f>
        <v>12.890625</v>
      </c>
      <c r="I18" s="0" t="n">
        <f aca="false">AVERAGE(Turnera!L2274,Turnera!L2322,Turnera!L2370)</f>
        <v>6.66666666666667</v>
      </c>
      <c r="J18" s="0" t="n">
        <f aca="false">AVERAGE(Turnera!P2274,Turnera!P2322,Turnera!P2370)</f>
        <v>2.786953125</v>
      </c>
      <c r="K18" s="0" t="n">
        <f aca="false">AVERAGE(Turnera!K2274,Turnera!K2322,Turnera!K2370)</f>
        <v>12.890625</v>
      </c>
      <c r="L18" s="0" t="n">
        <f aca="false">AVERAGE(Turnera!N2274,Turnera!N2322,Turnera!N2370)</f>
        <v>20</v>
      </c>
      <c r="M18" s="0" t="n">
        <f aca="false">AVERAGE(Turnera!Q2274,Turnera!Q2322,Turnera!Q2370)</f>
        <v>2.786953125</v>
      </c>
      <c r="N18" s="0" t="n">
        <f aca="false">AVERAGE(Turnera!R2274,Turnera!R2322,Turnera!R2370)</f>
        <v>2.33333333333333</v>
      </c>
      <c r="O18" s="0" t="n">
        <f aca="false">AVERAGE(Turnera!T2274,Turnera!T2322,Turnera!T2370)</f>
        <v>0.46875</v>
      </c>
      <c r="P18" s="0" t="n">
        <f aca="false">AVERAGE(Turnera!Y2274,Turnera!Y2322,Turnera!Y2370)</f>
        <v>34.8324121288971</v>
      </c>
      <c r="Q18" s="0" t="n">
        <f aca="false">AVERAGE(Turnera!Z2274,Turnera!Z2322,Turnera!Z2370)</f>
        <v>0.161940529947917</v>
      </c>
      <c r="R18" s="0" t="n">
        <f aca="false">AVERAGE(Turnera!U2274,Turnera!U2322:U2322,Turnera!U2370)</f>
        <v>0.201388888888889</v>
      </c>
      <c r="S18" s="0" t="n">
        <f aca="false">AVERAGE(Turnera!AA2274,Turnera!AA2322,Turnera!AA2370)</f>
        <v>0.0839955516493056</v>
      </c>
    </row>
    <row r="19" customFormat="false" ht="13.8" hidden="false" customHeight="false" outlineLevel="0" collapsed="false">
      <c r="A19" s="0" t="s">
        <v>65</v>
      </c>
      <c r="B19" s="0" t="s">
        <v>56</v>
      </c>
      <c r="C19" s="0" t="s">
        <v>195</v>
      </c>
      <c r="D19" s="0" t="s">
        <v>194</v>
      </c>
      <c r="E19" s="3" t="n">
        <v>107</v>
      </c>
      <c r="F19" s="3" t="n">
        <v>19</v>
      </c>
      <c r="G19" s="0" t="n">
        <f aca="false">AVERAGE(Turnera!F2275,Turnera!F2323,Turnera!F2371)</f>
        <v>2</v>
      </c>
      <c r="H19" s="0" t="n">
        <f aca="false">AVERAGE(Turnera!J2275,Turnera!J2323,Turnera!J2371)</f>
        <v>26.5546875</v>
      </c>
      <c r="I19" s="0" t="n">
        <f aca="false">AVERAGE(Turnera!L2275,Turnera!L2323,Turnera!L2371)</f>
        <v>16</v>
      </c>
      <c r="J19" s="0" t="n">
        <f aca="false">AVERAGE(Turnera!P2275,Turnera!P2323,Turnera!P2371)</f>
        <v>6.959625421875</v>
      </c>
      <c r="K19" s="0" t="n">
        <f aca="false">AVERAGE(Turnera!K2275,Turnera!K2323,Turnera!K2371)</f>
        <v>8.8515625</v>
      </c>
      <c r="L19" s="0" t="n">
        <f aca="false">AVERAGE(Turnera!N2275,Turnera!N2323,Turnera!N2371)</f>
        <v>24</v>
      </c>
      <c r="M19" s="0" t="n">
        <f aca="false">AVERAGE(Turnera!Q2275,Turnera!Q2323,Turnera!Q2371)</f>
        <v>2.319875140625</v>
      </c>
      <c r="N19" s="0" t="n">
        <f aca="false">AVERAGE(Turnera!R2275,Turnera!R2323,Turnera!R2371)</f>
        <v>9.33333333333333</v>
      </c>
      <c r="O19" s="0" t="n">
        <f aca="false">AVERAGE(Turnera!T2275,Turnera!T2323,Turnera!T2371)</f>
        <v>5.05729166666667</v>
      </c>
      <c r="P19" s="0" t="n">
        <f aca="false">AVERAGE(Turnera!Y2275,Turnera!Y2323,Turnera!Y2371)</f>
        <v>65.3302187558225</v>
      </c>
      <c r="Q19" s="0" t="n">
        <f aca="false">AVERAGE(Turnera!Z2275,Turnera!Z2323,Turnera!Z2371)</f>
        <v>4.31656925520833</v>
      </c>
      <c r="R19" s="0" t="n">
        <f aca="false">AVERAGE(Turnera!U2275,Turnera!U2323:U2323,Turnera!U2371)</f>
        <v>0.555431547619048</v>
      </c>
      <c r="S19" s="0" t="n">
        <f aca="false">AVERAGE(Turnera!AA2275,Turnera!AA2323,Turnera!AA2371)</f>
        <v>0.4861724953187</v>
      </c>
    </row>
    <row r="20" customFormat="false" ht="13.8" hidden="false" customHeight="false" outlineLevel="0" collapsed="false">
      <c r="A20" s="0" t="s">
        <v>67</v>
      </c>
      <c r="B20" s="0" t="s">
        <v>56</v>
      </c>
      <c r="C20" s="0" t="s">
        <v>195</v>
      </c>
      <c r="D20" s="0" t="s">
        <v>194</v>
      </c>
      <c r="E20" s="3" t="n">
        <v>81</v>
      </c>
      <c r="F20" s="3" t="n">
        <v>7</v>
      </c>
      <c r="G20" s="0" t="n">
        <f aca="false">AVERAGE(Turnera!F2276,Turnera!F2324,Turnera!F2372)</f>
        <v>0.333333333333333</v>
      </c>
      <c r="H20" s="0" t="n">
        <f aca="false">AVERAGE(Turnera!J2276,Turnera!J2324,Turnera!J2372)</f>
        <v>12.71875</v>
      </c>
      <c r="I20" s="0" t="n">
        <f aca="false">AVERAGE(Turnera!L2276,Turnera!L2324,Turnera!L2372)</f>
        <v>7</v>
      </c>
      <c r="J20" s="0" t="n">
        <f aca="false">AVERAGE(Turnera!P2276,Turnera!P2324,Turnera!P2372)</f>
        <v>2.899169109375</v>
      </c>
      <c r="K20" s="0" t="n">
        <f aca="false">AVERAGE(Turnera!K2276,Turnera!K2324,Turnera!K2372)</f>
        <v>12.71875</v>
      </c>
      <c r="L20" s="0" t="n">
        <f aca="false">AVERAGE(Turnera!N2276,Turnera!N2324,Turnera!N2372)</f>
        <v>21</v>
      </c>
      <c r="M20" s="0" t="n">
        <f aca="false">AVERAGE(Turnera!Q2276,Turnera!Q2324,Turnera!Q2372)</f>
        <v>2.899169109375</v>
      </c>
      <c r="N20" s="0" t="n">
        <f aca="false">AVERAGE(Turnera!R2276,Turnera!R2324,Turnera!R2372)</f>
        <v>3.33333333333333</v>
      </c>
      <c r="O20" s="0" t="n">
        <f aca="false">AVERAGE(Turnera!T2276,Turnera!T2324,Turnera!T2372)</f>
        <v>2.11458333333333</v>
      </c>
      <c r="P20" s="0" t="n">
        <f aca="false">AVERAGE(Turnera!Y2276,Turnera!Y2324,Turnera!Y2372)</f>
        <v>58.1056083304736</v>
      </c>
      <c r="Q20" s="0" t="n">
        <f aca="false">AVERAGE(Turnera!Z2276,Turnera!Z2324,Turnera!Z2372)</f>
        <v>1.67670398567708</v>
      </c>
      <c r="R20" s="0" t="n">
        <f aca="false">AVERAGE(Turnera!U2276,Turnera!U2324:U2324,Turnera!U2372)</f>
        <v>0.617621527777778</v>
      </c>
      <c r="S20" s="0" t="n">
        <f aca="false">AVERAGE(Turnera!AA2276,Turnera!AA2324,Turnera!AA2372)</f>
        <v>0.480284386176215</v>
      </c>
    </row>
    <row r="21" customFormat="false" ht="13.8" hidden="false" customHeight="false" outlineLevel="0" collapsed="false">
      <c r="A21" s="0" t="s">
        <v>69</v>
      </c>
      <c r="B21" s="0" t="s">
        <v>56</v>
      </c>
      <c r="C21" s="0" t="s">
        <v>195</v>
      </c>
      <c r="D21" s="0" t="s">
        <v>194</v>
      </c>
      <c r="E21" s="3" t="n">
        <v>82</v>
      </c>
      <c r="F21" s="3" t="n">
        <v>17</v>
      </c>
      <c r="G21" s="0" t="n">
        <f aca="false">AVERAGE(Turnera!F2277,Turnera!F2325,Turnera!F2373)</f>
        <v>0.333333333333333</v>
      </c>
      <c r="H21" s="0" t="n">
        <f aca="false">AVERAGE(Turnera!J2277,Turnera!J2325,Turnera!J2373)</f>
        <v>11.46875</v>
      </c>
      <c r="I21" s="0" t="n">
        <f aca="false">AVERAGE(Turnera!L2277,Turnera!L2325,Turnera!L2373)</f>
        <v>6.83333333333333</v>
      </c>
      <c r="J21" s="0" t="n">
        <f aca="false">AVERAGE(Turnera!P2277,Turnera!P2325,Turnera!P2373)</f>
        <v>2.54676352734375</v>
      </c>
      <c r="K21" s="0" t="n">
        <f aca="false">AVERAGE(Turnera!K2277,Turnera!K2325,Turnera!K2373)</f>
        <v>11.46875</v>
      </c>
      <c r="L21" s="0" t="n">
        <f aca="false">AVERAGE(Turnera!N2277,Turnera!N2325,Turnera!N2373)</f>
        <v>20.5</v>
      </c>
      <c r="M21" s="0" t="n">
        <f aca="false">AVERAGE(Turnera!Q2277,Turnera!Q2325,Turnera!Q2373)</f>
        <v>2.54676352734375</v>
      </c>
      <c r="N21" s="0" t="n">
        <f aca="false">AVERAGE(Turnera!R2277,Turnera!R2325,Turnera!R2373)</f>
        <v>6.66666666666667</v>
      </c>
      <c r="O21" s="0" t="n">
        <f aca="false">AVERAGE(Turnera!T2277,Turnera!T2325,Turnera!T2373)</f>
        <v>2.47395833333333</v>
      </c>
      <c r="P21" s="0" t="n">
        <f aca="false">AVERAGE(Turnera!Y2277,Turnera!Y2325,Turnera!Y2373)</f>
        <v>57.6778238418599</v>
      </c>
      <c r="Q21" s="0" t="n">
        <f aca="false">AVERAGE(Turnera!Z2277,Turnera!Z2325,Turnera!Z2373)</f>
        <v>1.8147376953125</v>
      </c>
      <c r="R21" s="0" t="n">
        <f aca="false">AVERAGE(Turnera!U2277,Turnera!U2325:U2325,Turnera!U2373)</f>
        <v>0.37249503968254</v>
      </c>
      <c r="S21" s="0" t="n">
        <f aca="false">AVERAGE(Turnera!AA2277,Turnera!AA2325,Turnera!AA2373)</f>
        <v>0.275311098958333</v>
      </c>
    </row>
    <row r="22" customFormat="false" ht="13.8" hidden="false" customHeight="false" outlineLevel="0" collapsed="false">
      <c r="A22" s="0" t="s">
        <v>71</v>
      </c>
      <c r="B22" s="0" t="s">
        <v>56</v>
      </c>
      <c r="C22" s="0" t="s">
        <v>195</v>
      </c>
      <c r="D22" s="0" t="s">
        <v>194</v>
      </c>
      <c r="E22" s="3" t="n">
        <v>33</v>
      </c>
      <c r="F22" s="3" t="n">
        <v>5</v>
      </c>
      <c r="G22" s="0" t="n">
        <f aca="false">AVERAGE(Turnera!F2278,Turnera!F2326,Turnera!F2374)</f>
        <v>0</v>
      </c>
      <c r="H22" s="0" t="e">
        <f aca="false">AVERAGE(Turnera!J2278,Turnera!J2326,Turnera!J2374)</f>
        <v>#DIV/0!</v>
      </c>
      <c r="I22" s="0" t="n">
        <f aca="false">AVERAGE(Turnera!L2278,Turnera!L2326,Turnera!L2374)</f>
        <v>0</v>
      </c>
      <c r="J22" s="0" t="e">
        <f aca="false">AVERAGE(Turnera!P2278,Turnera!P2326,Turnera!P2374)</f>
        <v>#DIV/0!</v>
      </c>
      <c r="M22" s="0" t="n">
        <v>0</v>
      </c>
      <c r="N22" s="0" t="n">
        <f aca="false">AVERAGE(Turnera!R2278,Turnera!R2326,Turnera!R2374)</f>
        <v>4.66666666666667</v>
      </c>
      <c r="O22" s="0" t="n">
        <f aca="false">AVERAGE(Turnera!T2278,Turnera!T2326,Turnera!T2374)</f>
        <v>2.77083333333333</v>
      </c>
      <c r="P22" s="0" t="n">
        <f aca="false">AVERAGE(Turnera!Y2278,Turnera!Y2326,Turnera!Y2374)</f>
        <v>60.2915158014591</v>
      </c>
      <c r="Q22" s="0" t="n">
        <f aca="false">AVERAGE(Turnera!Z2278,Turnera!Z2326,Turnera!Z2374)</f>
        <v>2.25347290364583</v>
      </c>
      <c r="R22" s="0" t="n">
        <f aca="false">AVERAGE(Turnera!U2278,Turnera!U2326:U2326,Turnera!U2374)</f>
        <v>0.64453125</v>
      </c>
      <c r="S22" s="0" t="n">
        <f aca="false">AVERAGE(Turnera!AA2278,Turnera!AA2326,Turnera!AA2374)</f>
        <v>0.509238522135417</v>
      </c>
    </row>
    <row r="23" customFormat="false" ht="13.8" hidden="false" customHeight="false" outlineLevel="0" collapsed="false">
      <c r="A23" s="0" t="s">
        <v>73</v>
      </c>
      <c r="B23" s="0" t="s">
        <v>56</v>
      </c>
      <c r="C23" s="0" t="s">
        <v>195</v>
      </c>
      <c r="D23" s="0" t="s">
        <v>194</v>
      </c>
      <c r="E23" s="3" t="n">
        <v>39</v>
      </c>
      <c r="F23" s="3" t="n">
        <v>4</v>
      </c>
      <c r="G23" s="0" t="n">
        <f aca="false">AVERAGE(Turnera!F2279,Turnera!F2327,Turnera!F2375)</f>
        <v>0.666666666666667</v>
      </c>
      <c r="H23" s="0" t="n">
        <f aca="false">AVERAGE(Turnera!J2279,Turnera!J2327,Turnera!J2375)</f>
        <v>13.5859375</v>
      </c>
      <c r="I23" s="0" t="n">
        <f aca="false">AVERAGE(Turnera!L2279,Turnera!L2327,Turnera!L2375)</f>
        <v>13.6666666666667</v>
      </c>
      <c r="J23" s="0" t="n">
        <f aca="false">AVERAGE(Turnera!P2279,Turnera!P2327,Turnera!P2375)</f>
        <v>3.0253634375</v>
      </c>
      <c r="K23" s="0" t="n">
        <f aca="false">AVERAGE(Turnera!K2279,Turnera!K2327,Turnera!K2375)</f>
        <v>13.5859375</v>
      </c>
      <c r="L23" s="0" t="n">
        <f aca="false">AVERAGE(Turnera!N2279,Turnera!N2327,Turnera!N2375)</f>
        <v>20.5</v>
      </c>
      <c r="M23" s="0" t="n">
        <f aca="false">AVERAGE(Turnera!Q2279,Turnera!Q2327,Turnera!Q2375)</f>
        <v>3.0253634375</v>
      </c>
      <c r="N23" s="0" t="n">
        <f aca="false">AVERAGE(Turnera!R2279,Turnera!R2327,Turnera!R2375)</f>
        <v>4.66666666666667</v>
      </c>
      <c r="O23" s="0" t="n">
        <f aca="false">AVERAGE(Turnera!T2279,Turnera!T2327,Turnera!T2375)</f>
        <v>2.359375</v>
      </c>
      <c r="P23" s="0" t="n">
        <f aca="false">AVERAGE(Turnera!Y2279,Turnera!Y2327,Turnera!Y2375)</f>
        <v>48.3221455130497</v>
      </c>
      <c r="Q23" s="0" t="n">
        <f aca="false">AVERAGE(Turnera!Z2279,Turnera!Z2327,Turnera!Z2375)</f>
        <v>1.36141092578125</v>
      </c>
      <c r="R23" s="0" t="n">
        <f aca="false">AVERAGE(Turnera!U2279,Turnera!U2327:U2327,Turnera!U2375)</f>
        <v>0.546527777777778</v>
      </c>
      <c r="S23" s="0" t="n">
        <f aca="false">AVERAGE(Turnera!AA2279,Turnera!AA2327,Turnera!AA2375)</f>
        <v>0.310192327994792</v>
      </c>
    </row>
    <row r="24" customFormat="false" ht="13.8" hidden="false" customHeight="false" outlineLevel="0" collapsed="false">
      <c r="A24" s="0" t="s">
        <v>75</v>
      </c>
      <c r="B24" s="0" t="s">
        <v>56</v>
      </c>
      <c r="C24" s="0" t="s">
        <v>195</v>
      </c>
      <c r="D24" s="0" t="s">
        <v>194</v>
      </c>
      <c r="E24" s="3" t="n">
        <v>79</v>
      </c>
      <c r="F24" s="3" t="n">
        <v>14</v>
      </c>
      <c r="G24" s="0" t="n">
        <f aca="false">AVERAGE(Turnera!F2280,Turnera!F2328,Turnera!F2376)</f>
        <v>2.33333333333333</v>
      </c>
      <c r="H24" s="0" t="n">
        <f aca="false">AVERAGE(Turnera!J2280,Turnera!J2328,Turnera!J2376)</f>
        <v>26.234375</v>
      </c>
      <c r="I24" s="0" t="n">
        <f aca="false">AVERAGE(Turnera!L2280,Turnera!L2328,Turnera!L2376)</f>
        <v>22.6666666666667</v>
      </c>
      <c r="J24" s="0" t="n">
        <f aca="false">AVERAGE(Turnera!P2280,Turnera!P2328,Turnera!P2376)</f>
        <v>6.579374078125</v>
      </c>
      <c r="K24" s="0" t="n">
        <f aca="false">AVERAGE(Turnera!K2280,Turnera!K2328,Turnera!K2376)</f>
        <v>11.6805555555556</v>
      </c>
      <c r="L24" s="0" t="n">
        <f aca="false">AVERAGE(Turnera!N2280,Turnera!N2328,Turnera!N2376)</f>
        <v>22.6666666666667</v>
      </c>
      <c r="M24" s="0" t="n">
        <f aca="false">AVERAGE(Turnera!Q2280,Turnera!Q2328,Turnera!Q2376)</f>
        <v>2.76716676128472</v>
      </c>
      <c r="N24" s="0" t="n">
        <f aca="false">AVERAGE(Turnera!R2280,Turnera!R2328,Turnera!R2376)</f>
        <v>8</v>
      </c>
      <c r="O24" s="0" t="n">
        <f aca="false">AVERAGE(Turnera!T2280,Turnera!T2328,Turnera!T2376)</f>
        <v>3.375</v>
      </c>
      <c r="P24" s="0" t="n">
        <f aca="false">AVERAGE(Turnera!Y2280,Turnera!Y2328,Turnera!Y2376)</f>
        <v>60.7948191528161</v>
      </c>
      <c r="Q24" s="0" t="n">
        <f aca="false">AVERAGE(Turnera!Z2280,Turnera!Z2328,Turnera!Z2376)</f>
        <v>2.60679396614583</v>
      </c>
      <c r="R24" s="0" t="n">
        <f aca="false">AVERAGE(Turnera!U2280,Turnera!U2328:U2328,Turnera!U2376)</f>
        <v>0.445535714285714</v>
      </c>
      <c r="S24" s="0" t="n">
        <f aca="false">AVERAGE(Turnera!AA2280,Turnera!AA2328,Turnera!AA2376)</f>
        <v>0.330849700520833</v>
      </c>
    </row>
    <row r="25" customFormat="false" ht="13.8" hidden="false" customHeight="false" outlineLevel="0" collapsed="false">
      <c r="A25" s="0" t="s">
        <v>77</v>
      </c>
      <c r="B25" s="0" t="s">
        <v>56</v>
      </c>
      <c r="C25" s="0" t="s">
        <v>195</v>
      </c>
      <c r="D25" s="0" t="s">
        <v>194</v>
      </c>
      <c r="E25" s="3" t="n">
        <v>58</v>
      </c>
      <c r="F25" s="3" t="n">
        <v>7</v>
      </c>
      <c r="G25" s="0" t="n">
        <f aca="false">AVERAGE(Turnera!F2281,Turnera!F2329,Turnera!F2377)</f>
        <v>0.666666666666667</v>
      </c>
      <c r="H25" s="0" t="n">
        <f aca="false">AVERAGE(Turnera!J2281,Turnera!J2329,Turnera!J2377)</f>
        <v>18.84375</v>
      </c>
      <c r="I25" s="0" t="n">
        <f aca="false">AVERAGE(Turnera!L2281,Turnera!L2329,Turnera!L2377)</f>
        <v>5.66666666666667</v>
      </c>
      <c r="J25" s="0" t="n">
        <f aca="false">AVERAGE(Turnera!P2281,Turnera!P2329,Turnera!P2377)</f>
        <v>3.4206305625</v>
      </c>
      <c r="K25" s="0" t="n">
        <f aca="false">AVERAGE(Turnera!K2281,Turnera!K2329,Turnera!K2377)</f>
        <v>9.421875</v>
      </c>
      <c r="L25" s="0" t="n">
        <f aca="false">AVERAGE(Turnera!N2281,Turnera!N2329,Turnera!N2377)</f>
        <v>17</v>
      </c>
      <c r="M25" s="0" t="n">
        <f aca="false">AVERAGE(Turnera!Q2281,Turnera!Q2329,Turnera!Q2377)</f>
        <v>1.71031528125</v>
      </c>
      <c r="N25" s="0" t="n">
        <f aca="false">AVERAGE(Turnera!R2281,Turnera!R2329,Turnera!R2377)</f>
        <v>3.66666666666667</v>
      </c>
      <c r="O25" s="0" t="n">
        <f aca="false">AVERAGE(Turnera!T2281,Turnera!T2329,Turnera!T2377)</f>
        <v>0.875</v>
      </c>
      <c r="P25" s="0" t="n">
        <f aca="false">AVERAGE(Turnera!Y2281,Turnera!Y2329,Turnera!Y2377)</f>
        <v>55.6542812042401</v>
      </c>
      <c r="Q25" s="0" t="n">
        <f aca="false">AVERAGE(Turnera!Z2281,Turnera!Z2329,Turnera!Z2377)</f>
        <v>0.60561440625</v>
      </c>
      <c r="R25" s="0" t="n">
        <f aca="false">AVERAGE(Turnera!U2281,Turnera!U2329:U2329,Turnera!U2377)</f>
        <v>0.238715277777778</v>
      </c>
      <c r="S25" s="0" t="n">
        <f aca="false">AVERAGE(Turnera!AA2281,Turnera!AA2329,Turnera!AA2377)</f>
        <v>0.165010641493056</v>
      </c>
    </row>
    <row r="26" customFormat="false" ht="13.8" hidden="false" customHeight="false" outlineLevel="0" collapsed="false">
      <c r="A26" s="0" t="s">
        <v>79</v>
      </c>
      <c r="B26" s="0" t="s">
        <v>81</v>
      </c>
      <c r="C26" s="0" t="s">
        <v>195</v>
      </c>
      <c r="D26" s="0" t="s">
        <v>195</v>
      </c>
      <c r="E26" s="3" t="n">
        <v>47</v>
      </c>
      <c r="F26" s="3" t="n">
        <v>8</v>
      </c>
      <c r="G26" s="0" t="n">
        <f aca="false">AVERAGE(Turnera!F2282,Turnera!F2330,Turnera!F2378)</f>
        <v>0</v>
      </c>
      <c r="H26" s="0" t="e">
        <f aca="false">AVERAGE(Turnera!J2282,Turnera!J2330,Turnera!J2378)</f>
        <v>#DIV/0!</v>
      </c>
      <c r="I26" s="0" t="n">
        <f aca="false">AVERAGE(Turnera!L2282,Turnera!L2330,Turnera!L2378)</f>
        <v>0</v>
      </c>
      <c r="J26" s="0" t="n">
        <v>0</v>
      </c>
      <c r="M26" s="0" t="n">
        <v>0</v>
      </c>
      <c r="N26" s="0" t="n">
        <f aca="false">AVERAGE(Turnera!R2282,Turnera!R2330,Turnera!R2378)</f>
        <v>4</v>
      </c>
      <c r="O26" s="0" t="n">
        <f aca="false">AVERAGE(Turnera!T2282,Turnera!T2330,Turnera!T2378)</f>
        <v>1.40625</v>
      </c>
      <c r="P26" s="0" t="n">
        <f aca="false">AVERAGE(Turnera!Y2282,Turnera!Y2330,Turnera!Y2378)</f>
        <v>51.4565150067822</v>
      </c>
      <c r="Q26" s="0" t="n">
        <f aca="false">AVERAGE(Turnera!Z2282,Turnera!Z2330,Turnera!Z2378)</f>
        <v>0.99873304296875</v>
      </c>
      <c r="R26" s="0" t="n">
        <f aca="false">AVERAGE(Turnera!U2282,Turnera!U2330:U2330,Turnera!U2378)</f>
        <v>0.341493055555556</v>
      </c>
      <c r="S26" s="0" t="n">
        <f aca="false">AVERAGE(Turnera!AA2282,Turnera!AA2330,Turnera!AA2378)</f>
        <v>0.24058336484375</v>
      </c>
    </row>
    <row r="27" customFormat="false" ht="13.8" hidden="false" customHeight="false" outlineLevel="0" collapsed="false">
      <c r="A27" s="0" t="s">
        <v>82</v>
      </c>
      <c r="B27" s="0" t="s">
        <v>81</v>
      </c>
      <c r="C27" s="0" t="s">
        <v>195</v>
      </c>
      <c r="D27" s="0" t="s">
        <v>195</v>
      </c>
      <c r="E27" s="3" t="n">
        <v>41</v>
      </c>
      <c r="F27" s="3" t="n">
        <v>7</v>
      </c>
      <c r="G27" s="0" t="n">
        <f aca="false">AVERAGE(Turnera!F2283,Turnera!F2331,Turnera!F2379)</f>
        <v>0.333333333333333</v>
      </c>
      <c r="H27" s="0" t="n">
        <f aca="false">AVERAGE(Turnera!J2283,Turnera!J2331,Turnera!J2379)</f>
        <v>5.9375</v>
      </c>
      <c r="I27" s="0" t="n">
        <f aca="false">AVERAGE(Turnera!L2283,Turnera!L2331,Turnera!L2379)</f>
        <v>7.33333333333333</v>
      </c>
      <c r="J27" s="0" t="n">
        <f aca="false">AVERAGE(Turnera!P2283,Turnera!P2331,Turnera!P2379)</f>
        <v>1.423681875</v>
      </c>
      <c r="K27" s="0" t="n">
        <f aca="false">AVERAGE(Turnera!K2283,Turnera!K2331,Turnera!K2379)</f>
        <v>5.9375</v>
      </c>
      <c r="L27" s="0" t="n">
        <f aca="false">AVERAGE(Turnera!N2283,Turnera!N2331,Turnera!N2379)</f>
        <v>22</v>
      </c>
      <c r="M27" s="0" t="n">
        <f aca="false">AVERAGE(Turnera!Q2283,Turnera!Q2331,Turnera!Q2379)</f>
        <v>1.423681875</v>
      </c>
      <c r="N27" s="0" t="n">
        <f aca="false">AVERAGE(Turnera!R2283,Turnera!R2331,Turnera!R2379)</f>
        <v>4.33333333333333</v>
      </c>
      <c r="O27" s="0" t="n">
        <f aca="false">AVERAGE(Turnera!T2283,Turnera!T2331,Turnera!T2379)</f>
        <v>1.63020833333333</v>
      </c>
      <c r="P27" s="0" t="n">
        <f aca="false">AVERAGE(Turnera!Y2283,Turnera!Y2331,Turnera!Y2379)</f>
        <v>55.4128010213942</v>
      </c>
      <c r="Q27" s="0" t="n">
        <f aca="false">AVERAGE(Turnera!Z2283,Turnera!Z2331,Turnera!Z2379)</f>
        <v>1.25620007161458</v>
      </c>
      <c r="R27" s="0" t="n">
        <f aca="false">AVERAGE(Turnera!U2283,Turnera!U2331:U2331,Turnera!U2379)</f>
        <v>0.356770833333333</v>
      </c>
      <c r="S27" s="0" t="n">
        <f aca="false">AVERAGE(Turnera!AA2283,Turnera!AA2331,Turnera!AA2379)</f>
        <v>0.270571826822917</v>
      </c>
    </row>
    <row r="28" customFormat="false" ht="13.8" hidden="false" customHeight="false" outlineLevel="0" collapsed="false">
      <c r="A28" s="0" t="s">
        <v>84</v>
      </c>
      <c r="B28" s="0" t="s">
        <v>81</v>
      </c>
      <c r="C28" s="0" t="s">
        <v>195</v>
      </c>
      <c r="D28" s="0" t="s">
        <v>195</v>
      </c>
      <c r="E28" s="3" t="n">
        <v>51</v>
      </c>
      <c r="F28" s="3" t="n">
        <v>5</v>
      </c>
      <c r="G28" s="0" t="n">
        <f aca="false">AVERAGE(Turnera!F2284,Turnera!F2332,Turnera!F2380)</f>
        <v>1</v>
      </c>
      <c r="H28" s="0" t="n">
        <f aca="false">AVERAGE(Turnera!J2284,Turnera!J2332,Turnera!J2380)</f>
        <v>7.65625</v>
      </c>
      <c r="I28" s="0" t="n">
        <f aca="false">AVERAGE(Turnera!L2284,Turnera!L2332,Turnera!L2380)</f>
        <v>16.3333333333333</v>
      </c>
      <c r="J28" s="0" t="n">
        <f aca="false">AVERAGE(Turnera!P2284,Turnera!P2332,Turnera!P2380)</f>
        <v>2.0140419375</v>
      </c>
      <c r="K28" s="0" t="n">
        <f aca="false">AVERAGE(Turnera!K2284,Turnera!K2332,Turnera!K2380)</f>
        <v>5.296875</v>
      </c>
      <c r="L28" s="0" t="n">
        <f aca="false">AVERAGE(Turnera!N2284,Turnera!N2332,Turnera!N2380)</f>
        <v>24.5</v>
      </c>
      <c r="M28" s="0" t="n">
        <f aca="false">AVERAGE(Turnera!Q2284,Turnera!Q2332,Turnera!Q2380)</f>
        <v>1.44831571875</v>
      </c>
      <c r="N28" s="0" t="n">
        <f aca="false">AVERAGE(Turnera!R2284,Turnera!R2332,Turnera!R2380)</f>
        <v>4</v>
      </c>
      <c r="O28" s="0" t="n">
        <f aca="false">AVERAGE(Turnera!T2284,Turnera!T2332,Turnera!T2380)</f>
        <v>1.96875</v>
      </c>
      <c r="P28" s="0" t="n">
        <f aca="false">AVERAGE(Turnera!Y2284,Turnera!Y2332,Turnera!Y2380)</f>
        <v>48.4515837577403</v>
      </c>
      <c r="Q28" s="0" t="n">
        <f aca="false">AVERAGE(Turnera!Z2284,Turnera!Z2332,Turnera!Z2380)</f>
        <v>1.28609952148437</v>
      </c>
      <c r="R28" s="0" t="n">
        <f aca="false">AVERAGE(Turnera!U2284,Turnera!U2332:U2332,Turnera!U2380)</f>
        <v>0.446875</v>
      </c>
      <c r="S28" s="0" t="n">
        <f aca="false">AVERAGE(Turnera!AA2284,Turnera!AA2332,Turnera!AA2380)</f>
        <v>0.282636478515625</v>
      </c>
    </row>
    <row r="29" customFormat="false" ht="13.8" hidden="false" customHeight="false" outlineLevel="0" collapsed="false">
      <c r="A29" s="0" t="s">
        <v>86</v>
      </c>
      <c r="B29" s="0" t="s">
        <v>81</v>
      </c>
      <c r="C29" s="0" t="s">
        <v>195</v>
      </c>
      <c r="D29" s="0" t="s">
        <v>195</v>
      </c>
      <c r="E29" s="3" t="n">
        <v>52</v>
      </c>
      <c r="F29" s="3" t="n">
        <v>8</v>
      </c>
      <c r="G29" s="0" t="n">
        <f aca="false">AVERAGE(Turnera!F2285,Turnera!F2333,Turnera!F2381)</f>
        <v>1</v>
      </c>
      <c r="H29" s="0" t="n">
        <f aca="false">AVERAGE(Turnera!J2285,Turnera!J2333,Turnera!J2381)</f>
        <v>9.2578125</v>
      </c>
      <c r="I29" s="0" t="n">
        <f aca="false">AVERAGE(Turnera!L2285,Turnera!L2333,Turnera!L2381)</f>
        <v>16.3333333333333</v>
      </c>
      <c r="J29" s="0" t="n">
        <f aca="false">AVERAGE(Turnera!P2285,Turnera!P2333,Turnera!P2381)</f>
        <v>2.46671572265625</v>
      </c>
      <c r="K29" s="0" t="n">
        <f aca="false">AVERAGE(Turnera!K2285,Turnera!K2333,Turnera!K2381)</f>
        <v>7.12890625</v>
      </c>
      <c r="L29" s="0" t="n">
        <f aca="false">AVERAGE(Turnera!N2285,Turnera!N2333,Turnera!N2381)</f>
        <v>24.5</v>
      </c>
      <c r="M29" s="0" t="n">
        <f aca="false">AVERAGE(Turnera!Q2285,Turnera!Q2333,Turnera!Q2381)</f>
        <v>1.77385786132813</v>
      </c>
      <c r="N29" s="0" t="n">
        <f aca="false">AVERAGE(Turnera!R2285,Turnera!R2333,Turnera!R2381)</f>
        <v>3.66666666666667</v>
      </c>
      <c r="O29" s="0" t="n">
        <f aca="false">AVERAGE(Turnera!T2285,Turnera!T2333,Turnera!T2381)</f>
        <v>1.95833333333333</v>
      </c>
      <c r="P29" s="0" t="n">
        <f aca="false">AVERAGE(Turnera!Y2285,Turnera!Y2333,Turnera!Y2381)</f>
        <v>52.2192268043705</v>
      </c>
      <c r="Q29" s="0" t="n">
        <f aca="false">AVERAGE(Turnera!Z2285,Turnera!Z2333,Turnera!Z2381)</f>
        <v>1.42572474479167</v>
      </c>
      <c r="R29" s="0" t="n">
        <f aca="false">AVERAGE(Turnera!U2285,Turnera!U2333:U2333,Turnera!U2381)</f>
        <v>0.538194444444444</v>
      </c>
      <c r="S29" s="0" t="n">
        <f aca="false">AVERAGE(Turnera!AA2285,Turnera!AA2333,Turnera!AA2381)</f>
        <v>0.398128414930556</v>
      </c>
    </row>
    <row r="30" customFormat="false" ht="13.8" hidden="false" customHeight="false" outlineLevel="0" collapsed="false">
      <c r="A30" s="0" t="s">
        <v>88</v>
      </c>
      <c r="B30" s="0" t="s">
        <v>81</v>
      </c>
      <c r="C30" s="0" t="s">
        <v>195</v>
      </c>
      <c r="D30" s="0" t="s">
        <v>195</v>
      </c>
      <c r="E30" s="3" t="n">
        <v>51</v>
      </c>
      <c r="F30" s="3" t="n">
        <v>2</v>
      </c>
      <c r="G30" s="0" t="n">
        <f aca="false">AVERAGE(Turnera!F2286,Turnera!F2334,Turnera!F2382)</f>
        <v>0.666666666666667</v>
      </c>
      <c r="H30" s="0" t="n">
        <f aca="false">AVERAGE(Turnera!J2286,Turnera!J2334,Turnera!J2382)</f>
        <v>5.921875</v>
      </c>
      <c r="I30" s="0" t="n">
        <f aca="false">AVERAGE(Turnera!L2286,Turnera!L2334,Turnera!L2382)</f>
        <v>15.6666666666667</v>
      </c>
      <c r="J30" s="0" t="n">
        <f aca="false">AVERAGE(Turnera!P2286,Turnera!P2334,Turnera!P2382)</f>
        <v>1.50516933398437</v>
      </c>
      <c r="K30" s="0" t="n">
        <f aca="false">AVERAGE(Turnera!K2286,Turnera!K2334,Turnera!K2382)</f>
        <v>5.921875</v>
      </c>
      <c r="L30" s="0" t="n">
        <f aca="false">AVERAGE(Turnera!N2286,Turnera!N2334,Turnera!N2382)</f>
        <v>23.5</v>
      </c>
      <c r="M30" s="0" t="n">
        <f aca="false">AVERAGE(Turnera!Q2286,Turnera!Q2334,Turnera!Q2382)</f>
        <v>1.50516933398437</v>
      </c>
      <c r="N30" s="0" t="n">
        <f aca="false">AVERAGE(Turnera!R2286,Turnera!R2334,Turnera!R2382)</f>
        <v>3.66666666666667</v>
      </c>
      <c r="O30" s="0" t="n">
        <f aca="false">AVERAGE(Turnera!T2286,Turnera!T2334,Turnera!T2382)</f>
        <v>0.838541666666667</v>
      </c>
      <c r="P30" s="0" t="n">
        <f aca="false">AVERAGE(Turnera!Y2286,Turnera!Y2334,Turnera!Y2382)</f>
        <v>44.7397258278511</v>
      </c>
      <c r="Q30" s="0" t="n">
        <f aca="false">AVERAGE(Turnera!Z2286,Turnera!Z2334,Turnera!Z2382)</f>
        <v>0.470292498697917</v>
      </c>
      <c r="R30" s="0" t="n">
        <f aca="false">AVERAGE(Turnera!U2286,Turnera!U2334:U2334,Turnera!U2382)</f>
        <v>0.206770833333333</v>
      </c>
      <c r="S30" s="0" t="n">
        <f aca="false">AVERAGE(Turnera!AA2286,Turnera!AA2334,Turnera!AA2382)</f>
        <v>0.111687499348958</v>
      </c>
    </row>
    <row r="31" customFormat="false" ht="13.8" hidden="false" customHeight="false" outlineLevel="0" collapsed="false">
      <c r="A31" s="0" t="s">
        <v>90</v>
      </c>
      <c r="B31" s="0" t="s">
        <v>81</v>
      </c>
      <c r="C31" s="0" t="s">
        <v>195</v>
      </c>
      <c r="D31" s="0" t="s">
        <v>195</v>
      </c>
      <c r="E31" s="3" t="n">
        <v>43</v>
      </c>
      <c r="F31" s="3" t="n">
        <v>10</v>
      </c>
      <c r="G31" s="0" t="n">
        <f aca="false">AVERAGE(Turnera!F2287,Turnera!F2335,Turnera!F2383)</f>
        <v>1</v>
      </c>
      <c r="H31" s="0" t="n">
        <f aca="false">AVERAGE(Turnera!J2287,Turnera!J2335,Turnera!J2383)</f>
        <v>11.8515625</v>
      </c>
      <c r="I31" s="0" t="n">
        <f aca="false">AVERAGE(Turnera!L2287,Turnera!L2335,Turnera!L2383)</f>
        <v>16.1666666666667</v>
      </c>
      <c r="J31" s="0" t="n">
        <f aca="false">AVERAGE(Turnera!P2287,Turnera!P2335,Turnera!P2383)</f>
        <v>2.90128225585937</v>
      </c>
      <c r="K31" s="0" t="n">
        <f aca="false">AVERAGE(Turnera!K2287,Turnera!K2335,Turnera!K2383)</f>
        <v>7.69921875</v>
      </c>
      <c r="L31" s="0" t="n">
        <f aca="false">AVERAGE(Turnera!N2287,Turnera!N2335,Turnera!N2383)</f>
        <v>24.25</v>
      </c>
      <c r="M31" s="0" t="n">
        <f aca="false">AVERAGE(Turnera!Q2287,Turnera!Q2335,Turnera!Q2383)</f>
        <v>2.02781079589844</v>
      </c>
      <c r="N31" s="0" t="n">
        <f aca="false">AVERAGE(Turnera!R2287,Turnera!R2335,Turnera!R2383)</f>
        <v>5</v>
      </c>
      <c r="O31" s="0" t="n">
        <f aca="false">AVERAGE(Turnera!T2287,Turnera!T2335,Turnera!T2383)</f>
        <v>2.328125</v>
      </c>
      <c r="P31" s="0" t="n">
        <f aca="false">AVERAGE(Turnera!Y2287,Turnera!Y2335,Turnera!Y2383)</f>
        <v>63.5286747274484</v>
      </c>
      <c r="Q31" s="0" t="n">
        <f aca="false">AVERAGE(Turnera!Z2287,Turnera!Z2335,Turnera!Z2383)</f>
        <v>1.90649140625</v>
      </c>
      <c r="R31" s="0" t="n">
        <f aca="false">AVERAGE(Turnera!U2287,Turnera!U2335:U2335,Turnera!U2383)</f>
        <v>0.493501984126984</v>
      </c>
      <c r="S31" s="0" t="n">
        <f aca="false">AVERAGE(Turnera!AA2287,Turnera!AA2335,Turnera!AA2383)</f>
        <v>0.417083373511905</v>
      </c>
    </row>
    <row r="32" customFormat="false" ht="13.8" hidden="false" customHeight="false" outlineLevel="0" collapsed="false">
      <c r="A32" s="0" t="s">
        <v>92</v>
      </c>
      <c r="B32" s="0" t="s">
        <v>81</v>
      </c>
      <c r="C32" s="0" t="s">
        <v>195</v>
      </c>
      <c r="D32" s="0" t="s">
        <v>195</v>
      </c>
      <c r="E32" s="3" t="n">
        <v>45</v>
      </c>
      <c r="F32" s="3" t="n">
        <v>3</v>
      </c>
      <c r="G32" s="0" t="n">
        <f aca="false">AVERAGE(Turnera!F2288,Turnera!F2336,Turnera!F2384)</f>
        <v>0.666666666666667</v>
      </c>
      <c r="H32" s="0" t="n">
        <f aca="false">AVERAGE(Turnera!J2288,Turnera!J2336,Turnera!J2384)</f>
        <v>4.03125</v>
      </c>
      <c r="I32" s="0" t="n">
        <f aca="false">AVERAGE(Turnera!L2288,Turnera!L2336,Turnera!L2384)</f>
        <v>14.3333333333333</v>
      </c>
      <c r="J32" s="0" t="n">
        <f aca="false">AVERAGE(Turnera!P2288,Turnera!P2336,Turnera!P2384)</f>
        <v>0.7600129140625</v>
      </c>
      <c r="K32" s="0" t="n">
        <f aca="false">AVERAGE(Turnera!K2288,Turnera!K2336,Turnera!K2384)</f>
        <v>4.03125</v>
      </c>
      <c r="L32" s="0" t="n">
        <f aca="false">AVERAGE(Turnera!N2288,Turnera!N2336,Turnera!N2384)</f>
        <v>21.5</v>
      </c>
      <c r="M32" s="0" t="n">
        <f aca="false">AVERAGE(Turnera!Q2288,Turnera!Q2336,Turnera!Q2384)</f>
        <v>0.7600129140625</v>
      </c>
      <c r="N32" s="0" t="n">
        <f aca="false">AVERAGE(Turnera!R2288,Turnera!R2336,Turnera!R2384)</f>
        <v>3</v>
      </c>
      <c r="O32" s="0" t="n">
        <f aca="false">AVERAGE(Turnera!T2288,Turnera!T2336,Turnera!T2384)</f>
        <v>0.890625</v>
      </c>
      <c r="P32" s="0" t="n">
        <f aca="false">AVERAGE(Turnera!Y2288,Turnera!Y2336,Turnera!Y2384)</f>
        <v>55.73114866692</v>
      </c>
      <c r="Q32" s="0" t="n">
        <f aca="false">AVERAGE(Turnera!Z2288,Turnera!Z2336,Turnera!Z2384)</f>
        <v>0.64980453125</v>
      </c>
      <c r="R32" s="0" t="n">
        <f aca="false">AVERAGE(Turnera!U2288,Turnera!U2336:U2336,Turnera!U2384)</f>
        <v>0.296875</v>
      </c>
      <c r="S32" s="0" t="n">
        <f aca="false">AVERAGE(Turnera!AA2288,Turnera!AA2336,Turnera!AA2384)</f>
        <v>0.216601510416667</v>
      </c>
    </row>
    <row r="33" customFormat="false" ht="13.8" hidden="false" customHeight="false" outlineLevel="0" collapsed="false">
      <c r="A33" s="0" t="s">
        <v>94</v>
      </c>
      <c r="B33" s="0" t="s">
        <v>81</v>
      </c>
      <c r="C33" s="0" t="s">
        <v>195</v>
      </c>
      <c r="D33" s="0" t="s">
        <v>195</v>
      </c>
      <c r="E33" s="3" t="n">
        <v>76</v>
      </c>
      <c r="F33" s="3" t="n">
        <v>14</v>
      </c>
      <c r="G33" s="0" t="n">
        <f aca="false">AVERAGE(Turnera!F2289,Turnera!F2337,Turnera!F2385)</f>
        <v>1</v>
      </c>
      <c r="H33" s="0" t="n">
        <f aca="false">AVERAGE(Turnera!J2289,Turnera!J2337,Turnera!J2385)</f>
        <v>10.59375</v>
      </c>
      <c r="I33" s="0" t="n">
        <f aca="false">AVERAGE(Turnera!L2289,Turnera!L2337,Turnera!L2385)</f>
        <v>13.3333333333333</v>
      </c>
      <c r="J33" s="0" t="n">
        <f aca="false">AVERAGE(Turnera!P2289,Turnera!P2337,Turnera!P2385)</f>
        <v>2.67599840625</v>
      </c>
      <c r="K33" s="0" t="n">
        <f aca="false">AVERAGE(Turnera!K2289,Turnera!K2337,Turnera!K2385)</f>
        <v>6.84375</v>
      </c>
      <c r="L33" s="0" t="n">
        <f aca="false">AVERAGE(Turnera!N2289,Turnera!N2337,Turnera!N2385)</f>
        <v>20</v>
      </c>
      <c r="M33" s="0" t="n">
        <f aca="false">AVERAGE(Turnera!Q2289,Turnera!Q2337,Turnera!Q2385)</f>
        <v>1.54928840625</v>
      </c>
      <c r="N33" s="0" t="n">
        <f aca="false">AVERAGE(Turnera!R2289,Turnera!R2337,Turnera!R2385)</f>
        <v>4.66666666666667</v>
      </c>
      <c r="O33" s="0" t="n">
        <f aca="false">AVERAGE(Turnera!T2289,Turnera!T2337,Turnera!T2385)</f>
        <v>1.67708333333333</v>
      </c>
      <c r="P33" s="0" t="n">
        <f aca="false">AVERAGE(Turnera!Y2289,Turnera!Y2337,Turnera!Y2385)</f>
        <v>58.2422253070458</v>
      </c>
      <c r="Q33" s="0" t="n">
        <f aca="false">AVERAGE(Turnera!Z2289,Turnera!Z2337,Turnera!Z2385)</f>
        <v>1.2696964375</v>
      </c>
      <c r="R33" s="0" t="n">
        <f aca="false">AVERAGE(Turnera!U2289,Turnera!U2337:U2337,Turnera!U2385)</f>
        <v>0.355729166666667</v>
      </c>
      <c r="S33" s="0" t="n">
        <f aca="false">AVERAGE(Turnera!AA2289,Turnera!AA2337,Turnera!AA2385)</f>
        <v>0.2677585375</v>
      </c>
    </row>
    <row r="34" customFormat="false" ht="13.8" hidden="false" customHeight="false" outlineLevel="0" collapsed="false">
      <c r="A34" s="0" t="s">
        <v>96</v>
      </c>
      <c r="B34" s="0" t="s">
        <v>81</v>
      </c>
      <c r="C34" s="0" t="s">
        <v>195</v>
      </c>
      <c r="D34" s="0" t="s">
        <v>195</v>
      </c>
      <c r="E34" s="3" t="n">
        <v>52</v>
      </c>
      <c r="F34" s="3" t="n">
        <v>1</v>
      </c>
      <c r="G34" s="0" t="n">
        <f aca="false">AVERAGE(Turnera!F2290,Turnera!F2338,Turnera!F2386)</f>
        <v>0.666666666666667</v>
      </c>
      <c r="H34" s="0" t="n">
        <f aca="false">AVERAGE(Turnera!J2290,Turnera!J2338,Turnera!J2386)</f>
        <v>15.40625</v>
      </c>
      <c r="I34" s="0" t="n">
        <f aca="false">AVERAGE(Turnera!L2290,Turnera!L2338,Turnera!L2386)</f>
        <v>5.66666666666667</v>
      </c>
      <c r="J34" s="0" t="n">
        <f aca="false">AVERAGE(Turnera!P2290,Turnera!P2338,Turnera!P2386)</f>
        <v>2.7966349375</v>
      </c>
      <c r="K34" s="0" t="n">
        <f aca="false">AVERAGE(Turnera!K2290,Turnera!K2338,Turnera!K2386)</f>
        <v>7.703125</v>
      </c>
      <c r="L34" s="0" t="n">
        <f aca="false">AVERAGE(Turnera!N2290,Turnera!N2338,Turnera!N2386)</f>
        <v>17</v>
      </c>
      <c r="M34" s="0" t="n">
        <f aca="false">AVERAGE(Turnera!Q2290,Turnera!Q2338,Turnera!Q2386)</f>
        <v>1.39831746875</v>
      </c>
      <c r="N34" s="0" t="n">
        <f aca="false">AVERAGE(Turnera!R2290,Turnera!R2338,Turnera!R2386)</f>
        <v>1.66666666666667</v>
      </c>
      <c r="O34" s="0" t="n">
        <f aca="false">AVERAGE(Turnera!T2290,Turnera!T2338,Turnera!T2386)</f>
        <v>0.15625</v>
      </c>
      <c r="P34" s="0" t="n">
        <f aca="false">AVERAGE(Turnera!Y2290,Turnera!Y2338,Turnera!Y2386)</f>
        <v>48.4834072814778</v>
      </c>
      <c r="Q34" s="0" t="n">
        <f aca="false">AVERAGE(Turnera!Z2290,Turnera!Z2338,Turnera!Z2386)</f>
        <v>0.09162759375</v>
      </c>
      <c r="R34" s="0" t="n">
        <f aca="false">AVERAGE(Turnera!U2290,Turnera!U2338:U2338,Turnera!U2386)</f>
        <v>0.128472222222222</v>
      </c>
      <c r="S34" s="0" t="n">
        <f aca="false">AVERAGE(Turnera!AA2290,Turnera!AA2338,Turnera!AA2386)</f>
        <v>0.07890384375</v>
      </c>
    </row>
    <row r="35" customFormat="false" ht="13.8" hidden="false" customHeight="false" outlineLevel="0" collapsed="false">
      <c r="A35" s="0" t="s">
        <v>98</v>
      </c>
      <c r="B35" s="0" t="s">
        <v>81</v>
      </c>
      <c r="C35" s="0" t="s">
        <v>195</v>
      </c>
      <c r="D35" s="0" t="s">
        <v>195</v>
      </c>
      <c r="E35" s="3" t="n">
        <v>69</v>
      </c>
      <c r="F35" s="3" t="n">
        <v>17</v>
      </c>
      <c r="G35" s="0" t="n">
        <f aca="false">AVERAGE(Turnera!F2291,Turnera!F2339,Turnera!F2387)</f>
        <v>0</v>
      </c>
      <c r="H35" s="0" t="e">
        <f aca="false">AVERAGE(Turnera!J2291,Turnera!J2339,Turnera!J2387)</f>
        <v>#DIV/0!</v>
      </c>
      <c r="I35" s="0" t="n">
        <f aca="false">AVERAGE(Turnera!L2291,Turnera!L2339,Turnera!L2387)</f>
        <v>0</v>
      </c>
      <c r="J35" s="0" t="n">
        <v>0</v>
      </c>
      <c r="M35" s="0" t="n">
        <v>0</v>
      </c>
      <c r="N35" s="0" t="n">
        <f aca="false">AVERAGE(Turnera!R2291,Turnera!R2339,Turnera!R2387)</f>
        <v>4.33333333333333</v>
      </c>
      <c r="O35" s="0" t="n">
        <f aca="false">AVERAGE(Turnera!T2291,Turnera!T2339,Turnera!T2387)</f>
        <v>2.56770833333333</v>
      </c>
      <c r="P35" s="0" t="n">
        <f aca="false">AVERAGE(Turnera!Y2291,Turnera!Y2339,Turnera!Y2387)</f>
        <v>54.8670762344586</v>
      </c>
      <c r="Q35" s="0" t="n">
        <f aca="false">AVERAGE(Turnera!Z2291,Turnera!Z2339,Turnera!Z2387)</f>
        <v>1.62662551953125</v>
      </c>
      <c r="R35" s="0" t="n">
        <f aca="false">AVERAGE(Turnera!U2291,Turnera!U2339:U2339,Turnera!U2387)</f>
        <v>0.684027777777778</v>
      </c>
      <c r="S35" s="0" t="n">
        <f aca="false">AVERAGE(Turnera!AA2291,Turnera!AA2339,Turnera!AA2387)</f>
        <v>0.392558569010417</v>
      </c>
    </row>
    <row r="36" customFormat="false" ht="13.8" hidden="false" customHeight="false" outlineLevel="0" collapsed="false">
      <c r="A36" s="0" t="s">
        <v>100</v>
      </c>
      <c r="B36" s="0" t="s">
        <v>81</v>
      </c>
      <c r="C36" s="0" t="s">
        <v>195</v>
      </c>
      <c r="D36" s="0" t="s">
        <v>195</v>
      </c>
      <c r="E36" s="3" t="n">
        <v>32</v>
      </c>
      <c r="F36" s="3" t="n">
        <v>4</v>
      </c>
      <c r="G36" s="0" t="n">
        <f aca="false">AVERAGE(Turnera!F2292,Turnera!F2340,Turnera!F2388)</f>
        <v>0.333333333333333</v>
      </c>
      <c r="H36" s="0" t="n">
        <f aca="false">AVERAGE(Turnera!J2292,Turnera!J2340,Turnera!J2388)</f>
        <v>10.859375</v>
      </c>
      <c r="I36" s="0" t="n">
        <f aca="false">AVERAGE(Turnera!L2292,Turnera!L2340,Turnera!L2388)</f>
        <v>7.5</v>
      </c>
      <c r="J36" s="0" t="n">
        <f aca="false">AVERAGE(Turnera!P2292,Turnera!P2340,Turnera!P2388)</f>
        <v>2.66857602539062</v>
      </c>
      <c r="K36" s="0" t="n">
        <f aca="false">AVERAGE(Turnera!K2292,Turnera!K2340,Turnera!K2388)</f>
        <v>10.859375</v>
      </c>
      <c r="L36" s="0" t="n">
        <f aca="false">AVERAGE(Turnera!N2292,Turnera!N2340,Turnera!N2388)</f>
        <v>22.5</v>
      </c>
      <c r="M36" s="0" t="n">
        <f aca="false">AVERAGE(Turnera!Q2292,Turnera!Q2340,Turnera!Q2388)</f>
        <v>2.66857602539062</v>
      </c>
      <c r="N36" s="0" t="n">
        <f aca="false">AVERAGE(Turnera!R2292,Turnera!R2340,Turnera!R2388)</f>
        <v>2</v>
      </c>
      <c r="O36" s="0" t="n">
        <f aca="false">AVERAGE(Turnera!T2292,Turnera!T2340,Turnera!T2388)</f>
        <v>1.046875</v>
      </c>
      <c r="P36" s="0" t="n">
        <f aca="false">AVERAGE(Turnera!Y2292,Turnera!Y2340,Turnera!Y2388)</f>
        <v>51.4288781899211</v>
      </c>
      <c r="Q36" s="0" t="n">
        <f aca="false">AVERAGE(Turnera!Z2292,Turnera!Z2340,Turnera!Z2388)</f>
        <v>0.572418127604167</v>
      </c>
      <c r="R36" s="0" t="n">
        <f aca="false">AVERAGE(Turnera!U2292,Turnera!U2340:U2340,Turnera!U2388)</f>
        <v>0.5234375</v>
      </c>
      <c r="S36" s="0" t="n">
        <f aca="false">AVERAGE(Turnera!AA2292,Turnera!AA2340,Turnera!AA2388)</f>
        <v>0.286209063802083</v>
      </c>
    </row>
    <row r="37" customFormat="false" ht="13.8" hidden="false" customHeight="false" outlineLevel="0" collapsed="false">
      <c r="A37" s="0" t="s">
        <v>102</v>
      </c>
      <c r="B37" s="0" t="s">
        <v>81</v>
      </c>
      <c r="C37" s="0" t="s">
        <v>195</v>
      </c>
      <c r="D37" s="0" t="s">
        <v>195</v>
      </c>
      <c r="E37" s="3" t="n">
        <v>76</v>
      </c>
      <c r="F37" s="3" t="n">
        <v>8</v>
      </c>
      <c r="G37" s="0" t="n">
        <f aca="false">AVERAGE(Turnera!F2293,Turnera!F2341,Turnera!F2389)</f>
        <v>0.666666666666667</v>
      </c>
      <c r="H37" s="0" t="n">
        <f aca="false">AVERAGE(Turnera!J2293,Turnera!J2341,Turnera!J2389)</f>
        <v>11.71875</v>
      </c>
      <c r="I37" s="0" t="n">
        <f aca="false">AVERAGE(Turnera!L2293,Turnera!L2341,Turnera!L2389)</f>
        <v>7.16666666666667</v>
      </c>
      <c r="J37" s="0" t="n">
        <f aca="false">AVERAGE(Turnera!P2293,Turnera!P2341,Turnera!P2389)</f>
        <v>2.74043115234375</v>
      </c>
      <c r="K37" s="0" t="n">
        <f aca="false">AVERAGE(Turnera!K2293,Turnera!K2341,Turnera!K2389)</f>
        <v>5.859375</v>
      </c>
      <c r="L37" s="0" t="n">
        <f aca="false">AVERAGE(Turnera!N2293,Turnera!N2341,Turnera!N2389)</f>
        <v>21.5</v>
      </c>
      <c r="M37" s="0" t="n">
        <f aca="false">AVERAGE(Turnera!Q2293,Turnera!Q2341,Turnera!Q2389)</f>
        <v>1.37021557617187</v>
      </c>
      <c r="N37" s="0" t="n">
        <f aca="false">AVERAGE(Turnera!R2293,Turnera!R2341,Turnera!R2389)</f>
        <v>4</v>
      </c>
      <c r="O37" s="0" t="n">
        <f aca="false">AVERAGE(Turnera!T2293,Turnera!T2341,Turnera!T2389)</f>
        <v>0.932291666666667</v>
      </c>
      <c r="P37" s="0" t="n">
        <f aca="false">AVERAGE(Turnera!Y2293,Turnera!Y2341,Turnera!Y2389)</f>
        <v>48.6669527180922</v>
      </c>
      <c r="Q37" s="0" t="n">
        <f aca="false">AVERAGE(Turnera!Z2293,Turnera!Z2341,Turnera!Z2389)</f>
        <v>0.58222328125</v>
      </c>
      <c r="R37" s="0" t="n">
        <f aca="false">AVERAGE(Turnera!U2293,Turnera!U2341:U2341,Turnera!U2389)</f>
        <v>0.235677083333333</v>
      </c>
      <c r="S37" s="0" t="n">
        <f aca="false">AVERAGE(Turnera!AA2293,Turnera!AA2341,Turnera!AA2389)</f>
        <v>0.134022745225694</v>
      </c>
    </row>
    <row r="38" customFormat="false" ht="13.8" hidden="false" customHeight="false" outlineLevel="0" collapsed="false">
      <c r="A38" s="0" t="s">
        <v>104</v>
      </c>
      <c r="B38" s="0" t="s">
        <v>106</v>
      </c>
      <c r="C38" s="0" t="s">
        <v>194</v>
      </c>
      <c r="D38" s="0" t="s">
        <v>194</v>
      </c>
      <c r="E38" s="3" t="n">
        <v>52</v>
      </c>
      <c r="F38" s="3" t="n">
        <v>11</v>
      </c>
      <c r="G38" s="0" t="n">
        <f aca="false">AVERAGE(Turnera!F2294,Turnera!F2342,Turnera!F2390)</f>
        <v>1.66666666666667</v>
      </c>
      <c r="H38" s="0" t="n">
        <f aca="false">AVERAGE(Turnera!J2294,Turnera!J2342,Turnera!J2390)</f>
        <v>14.765625</v>
      </c>
      <c r="I38" s="0" t="n">
        <f aca="false">AVERAGE(Turnera!L2294,Turnera!L2342,Turnera!L2390)</f>
        <v>22.6666666666667</v>
      </c>
      <c r="J38" s="0" t="n">
        <f aca="false">AVERAGE(Turnera!P2294,Turnera!P2342,Turnera!P2390)</f>
        <v>3.43861574739583</v>
      </c>
      <c r="K38" s="0" t="n">
        <f aca="false">AVERAGE(Turnera!K2294,Turnera!K2342,Turnera!K2390)</f>
        <v>9.35590277777778</v>
      </c>
      <c r="L38" s="0" t="n">
        <f aca="false">AVERAGE(Turnera!N2294,Turnera!N2342,Turnera!N2390)</f>
        <v>22.6666666666667</v>
      </c>
      <c r="M38" s="0" t="n">
        <f aca="false">AVERAGE(Turnera!Q2294,Turnera!Q2342,Turnera!Q2390)</f>
        <v>2.33213821267361</v>
      </c>
      <c r="N38" s="0" t="n">
        <f aca="false">AVERAGE(Turnera!R2294,Turnera!R2342,Turnera!R2390)</f>
        <v>6</v>
      </c>
      <c r="O38" s="0" t="n">
        <f aca="false">AVERAGE(Turnera!T2294,Turnera!T2342,Turnera!T2390)</f>
        <v>3.57291666666667</v>
      </c>
      <c r="P38" s="0" t="n">
        <f aca="false">AVERAGE(Turnera!Y2294,Turnera!Y2342,Turnera!Y2390)</f>
        <v>63.8192649307327</v>
      </c>
      <c r="Q38" s="0" t="n">
        <f aca="false">AVERAGE(Turnera!Z2294,Turnera!Z2342,Turnera!Z2390)</f>
        <v>3.0296220234375</v>
      </c>
      <c r="R38" s="0" t="n">
        <f aca="false">AVERAGE(Turnera!U2294,Turnera!U2342:U2342,Turnera!U2390)</f>
        <v>0.574652777777778</v>
      </c>
      <c r="S38" s="0" t="n">
        <f aca="false">AVERAGE(Turnera!AA2294,Turnera!AA2342,Turnera!AA2390)</f>
        <v>0.48397787890625</v>
      </c>
    </row>
    <row r="39" customFormat="false" ht="13.8" hidden="false" customHeight="false" outlineLevel="0" collapsed="false">
      <c r="A39" s="0" t="s">
        <v>107</v>
      </c>
      <c r="B39" s="0" t="s">
        <v>106</v>
      </c>
      <c r="C39" s="0" t="s">
        <v>194</v>
      </c>
      <c r="D39" s="0" t="s">
        <v>194</v>
      </c>
      <c r="E39" s="3" t="n">
        <v>41</v>
      </c>
      <c r="F39" s="3" t="n">
        <v>5</v>
      </c>
      <c r="G39" s="0" t="n">
        <f aca="false">AVERAGE(Turnera!F2295,Turnera!F2343,Turnera!F2391)</f>
        <v>1</v>
      </c>
      <c r="H39" s="0" t="n">
        <f aca="false">AVERAGE(Turnera!J2295,Turnera!J2343,Turnera!J2391)</f>
        <v>12.21875</v>
      </c>
      <c r="I39" s="0" t="n">
        <f aca="false">AVERAGE(Turnera!L2295,Turnera!L2343,Turnera!L2391)</f>
        <v>17.5</v>
      </c>
      <c r="J39" s="0" t="n">
        <f aca="false">AVERAGE(Turnera!P2295,Turnera!P2343,Turnera!P2391)</f>
        <v>3.31167585449219</v>
      </c>
      <c r="K39" s="0" t="n">
        <f aca="false">AVERAGE(Turnera!K2295,Turnera!K2343,Turnera!K2391)</f>
        <v>8.05078125</v>
      </c>
      <c r="L39" s="0" t="n">
        <f aca="false">AVERAGE(Turnera!N2295,Turnera!N2343,Turnera!N2391)</f>
        <v>26.25</v>
      </c>
      <c r="M39" s="0" t="n">
        <f aca="false">AVERAGE(Turnera!Q2295,Turnera!Q2343,Turnera!Q2391)</f>
        <v>2.33699584130859</v>
      </c>
      <c r="N39" s="0" t="n">
        <f aca="false">AVERAGE(Turnera!R2295,Turnera!R2343,Turnera!R2391)</f>
        <v>6</v>
      </c>
      <c r="O39" s="0" t="n">
        <f aca="false">AVERAGE(Turnera!T2295,Turnera!T2343,Turnera!T2391)</f>
        <v>3.484375</v>
      </c>
      <c r="P39" s="0" t="n">
        <f aca="false">AVERAGE(Turnera!Y2295,Turnera!Y2343,Turnera!Y2391)</f>
        <v>63.8210139750244</v>
      </c>
      <c r="Q39" s="0" t="n">
        <f aca="false">AVERAGE(Turnera!Z2295,Turnera!Z2343,Turnera!Z2391)</f>
        <v>2.96521954166667</v>
      </c>
      <c r="R39" s="0" t="n">
        <f aca="false">AVERAGE(Turnera!U2295,Turnera!U2343:U2343,Turnera!U2391)</f>
        <v>0.592633928571429</v>
      </c>
      <c r="S39" s="0" t="n">
        <f aca="false">AVERAGE(Turnera!AA2295,Turnera!AA2343,Turnera!AA2391)</f>
        <v>0.497986385416667</v>
      </c>
    </row>
    <row r="40" customFormat="false" ht="13.8" hidden="false" customHeight="false" outlineLevel="0" collapsed="false">
      <c r="A40" s="0" t="s">
        <v>108</v>
      </c>
      <c r="B40" s="0" t="s">
        <v>106</v>
      </c>
      <c r="C40" s="0" t="s">
        <v>194</v>
      </c>
      <c r="D40" s="0" t="s">
        <v>194</v>
      </c>
      <c r="E40" s="3" t="n">
        <v>82</v>
      </c>
      <c r="F40" s="3" t="n">
        <v>14</v>
      </c>
      <c r="G40" s="0" t="n">
        <f aca="false">AVERAGE(Turnera!F2296,Turnera!F2344,Turnera!F2392)</f>
        <v>2</v>
      </c>
      <c r="H40" s="0" t="n">
        <f aca="false">AVERAGE(Turnera!J2296,Turnera!J2344,Turnera!J2392)</f>
        <v>18.953125</v>
      </c>
      <c r="I40" s="0" t="n">
        <f aca="false">AVERAGE(Turnera!L2296,Turnera!L2344,Turnera!L2392)</f>
        <v>19</v>
      </c>
      <c r="J40" s="0" t="n">
        <f aca="false">AVERAGE(Turnera!P2296,Turnera!P2344,Turnera!P2392)</f>
        <v>4.2041944375</v>
      </c>
      <c r="K40" s="0" t="n">
        <f aca="false">AVERAGE(Turnera!K2296,Turnera!K2344,Turnera!K2392)</f>
        <v>9.75260416666667</v>
      </c>
      <c r="L40" s="0" t="n">
        <f aca="false">AVERAGE(Turnera!N2296,Turnera!N2344,Turnera!N2392)</f>
        <v>19</v>
      </c>
      <c r="M40" s="0" t="n">
        <f aca="false">AVERAGE(Turnera!Q2296,Turnera!Q2344,Turnera!Q2392)</f>
        <v>1.97962159375</v>
      </c>
      <c r="N40" s="0" t="n">
        <f aca="false">AVERAGE(Turnera!R2296,Turnera!R2344,Turnera!R2392)</f>
        <v>9</v>
      </c>
      <c r="O40" s="0" t="n">
        <f aca="false">AVERAGE(Turnera!T2296,Turnera!T2344,Turnera!T2392)</f>
        <v>6.45833333333333</v>
      </c>
      <c r="P40" s="0" t="n">
        <f aca="false">AVERAGE(Turnera!Y2296,Turnera!Y2344,Turnera!Y2392)</f>
        <v>67.3319321155589</v>
      </c>
      <c r="Q40" s="0" t="n">
        <f aca="false">AVERAGE(Turnera!Z2296,Turnera!Z2344,Turnera!Z2392)</f>
        <v>5.9547621953125</v>
      </c>
      <c r="R40" s="0" t="n">
        <f aca="false">AVERAGE(Turnera!U2296,Turnera!U2344:U2344,Turnera!U2392)</f>
        <v>0.797844516594517</v>
      </c>
      <c r="S40" s="0" t="n">
        <f aca="false">AVERAGE(Turnera!AA2296,Turnera!AA2344,Turnera!AA2392)</f>
        <v>0.742258593483195</v>
      </c>
    </row>
    <row r="41" customFormat="false" ht="13.8" hidden="false" customHeight="false" outlineLevel="0" collapsed="false">
      <c r="A41" s="0" t="s">
        <v>110</v>
      </c>
      <c r="B41" s="0" t="s">
        <v>106</v>
      </c>
      <c r="C41" s="0" t="s">
        <v>194</v>
      </c>
      <c r="D41" s="0" t="s">
        <v>194</v>
      </c>
      <c r="E41" s="3" t="n">
        <v>58</v>
      </c>
      <c r="F41" s="3" t="n">
        <v>9</v>
      </c>
      <c r="G41" s="0" t="n">
        <f aca="false">AVERAGE(Turnera!F2297,Turnera!F2345,Turnera!F2393)</f>
        <v>1.33333333333333</v>
      </c>
      <c r="H41" s="0" t="n">
        <f aca="false">AVERAGE(Turnera!J2297,Turnera!J2345,Turnera!J2393)</f>
        <v>18.15625</v>
      </c>
      <c r="I41" s="0" t="n">
        <f aca="false">AVERAGE(Turnera!L2297,Turnera!L2345,Turnera!L2393)</f>
        <v>12.1666666666667</v>
      </c>
      <c r="J41" s="0" t="n">
        <f aca="false">AVERAGE(Turnera!P2297,Turnera!P2345,Turnera!P2393)</f>
        <v>3.47597465820312</v>
      </c>
      <c r="K41" s="0" t="n">
        <f aca="false">AVERAGE(Turnera!K2297,Turnera!K2345,Turnera!K2393)</f>
        <v>9.078125</v>
      </c>
      <c r="L41" s="0" t="n">
        <f aca="false">AVERAGE(Turnera!N2297,Turnera!N2345,Turnera!N2393)</f>
        <v>18.25</v>
      </c>
      <c r="M41" s="0" t="n">
        <f aca="false">AVERAGE(Turnera!Q2297,Turnera!Q2345,Turnera!Q2393)</f>
        <v>1.73798732910156</v>
      </c>
      <c r="N41" s="0" t="n">
        <f aca="false">AVERAGE(Turnera!R2297,Turnera!R2345,Turnera!R2393)</f>
        <v>7</v>
      </c>
      <c r="O41" s="0" t="n">
        <f aca="false">AVERAGE(Turnera!T2297,Turnera!T2345,Turnera!T2393)</f>
        <v>4.546875</v>
      </c>
      <c r="P41" s="0" t="n">
        <f aca="false">AVERAGE(Turnera!Y2297,Turnera!Y2345,Turnera!Y2393)</f>
        <v>54.1282632731694</v>
      </c>
      <c r="Q41" s="0" t="n">
        <f aca="false">AVERAGE(Turnera!Z2297,Turnera!Z2345,Turnera!Z2393)</f>
        <v>2.33754533333333</v>
      </c>
      <c r="R41" s="0" t="n">
        <f aca="false">AVERAGE(Turnera!U2297,Turnera!U2345:U2345,Turnera!U2393)</f>
        <v>0.683506944444444</v>
      </c>
      <c r="S41" s="0" t="n">
        <f aca="false">AVERAGE(Turnera!AA2297,Turnera!AA2345,Turnera!AA2393)</f>
        <v>0.334540645833333</v>
      </c>
    </row>
    <row r="42" customFormat="false" ht="13.8" hidden="false" customHeight="false" outlineLevel="0" collapsed="false">
      <c r="A42" s="0" t="s">
        <v>112</v>
      </c>
      <c r="B42" s="0" t="s">
        <v>106</v>
      </c>
      <c r="C42" s="0" t="s">
        <v>194</v>
      </c>
      <c r="D42" s="0" t="s">
        <v>194</v>
      </c>
      <c r="E42" s="3" t="n">
        <v>59</v>
      </c>
      <c r="F42" s="3" t="n">
        <v>8</v>
      </c>
      <c r="G42" s="0" t="n">
        <f aca="false">AVERAGE(Turnera!F2298,Turnera!F2346,Turnera!F2394)</f>
        <v>1.33333333333333</v>
      </c>
      <c r="H42" s="0" t="n">
        <f aca="false">AVERAGE(Turnera!J2298,Turnera!J2346,Turnera!J2394)</f>
        <v>13.171875</v>
      </c>
      <c r="I42" s="0" t="n">
        <f aca="false">AVERAGE(Turnera!L2298,Turnera!L2346,Turnera!L2394)</f>
        <v>23.5</v>
      </c>
      <c r="J42" s="0" t="n">
        <f aca="false">AVERAGE(Turnera!P2298,Turnera!P2346,Turnera!P2394)</f>
        <v>3.174313390625</v>
      </c>
      <c r="K42" s="0" t="n">
        <f aca="false">AVERAGE(Turnera!K2298,Turnera!K2346,Turnera!K2394)</f>
        <v>9.484375</v>
      </c>
      <c r="L42" s="0" t="n">
        <f aca="false">AVERAGE(Turnera!N2298,Turnera!N2346,Turnera!N2394)</f>
        <v>23.5</v>
      </c>
      <c r="M42" s="0" t="n">
        <f aca="false">AVERAGE(Turnera!Q2298,Turnera!Q2346,Turnera!Q2394)</f>
        <v>2.333768046875</v>
      </c>
      <c r="N42" s="0" t="n">
        <f aca="false">AVERAGE(Turnera!R2298,Turnera!R2346,Turnera!R2394)</f>
        <v>7</v>
      </c>
      <c r="O42" s="0" t="n">
        <f aca="false">AVERAGE(Turnera!T2298,Turnera!T2346,Turnera!T2394)</f>
        <v>5.609375</v>
      </c>
      <c r="P42" s="0" t="n">
        <f aca="false">AVERAGE(Turnera!Y2298,Turnera!Y2346,Turnera!Y2394)</f>
        <v>62.9471796082822</v>
      </c>
      <c r="Q42" s="0" t="n">
        <f aca="false">AVERAGE(Turnera!Z2298,Turnera!Z2346,Turnera!Z2394)</f>
        <v>4.94307263932292</v>
      </c>
      <c r="R42" s="0" t="n">
        <f aca="false">AVERAGE(Turnera!U2298,Turnera!U2346:U2346,Turnera!U2394)</f>
        <v>0.823435245310245</v>
      </c>
      <c r="S42" s="0" t="n">
        <f aca="false">AVERAGE(Turnera!AA2298,Turnera!AA2346,Turnera!AA2394)</f>
        <v>0.681181700797033</v>
      </c>
    </row>
    <row r="43" customFormat="false" ht="13.8" hidden="false" customHeight="false" outlineLevel="0" collapsed="false">
      <c r="A43" s="0" t="s">
        <v>114</v>
      </c>
      <c r="B43" s="0" t="s">
        <v>106</v>
      </c>
      <c r="C43" s="0" t="s">
        <v>194</v>
      </c>
      <c r="D43" s="0" t="s">
        <v>194</v>
      </c>
      <c r="E43" s="3" t="n">
        <v>52</v>
      </c>
      <c r="F43" s="3" t="n">
        <v>7</v>
      </c>
      <c r="G43" s="0" t="n">
        <f aca="false">AVERAGE(Turnera!F2299,Turnera!F2347,Turnera!F2395)</f>
        <v>1</v>
      </c>
      <c r="H43" s="0" t="n">
        <f aca="false">AVERAGE(Turnera!J2299,Turnera!J2347,Turnera!J2395)</f>
        <v>11.9375</v>
      </c>
      <c r="I43" s="0" t="n">
        <f aca="false">AVERAGE(Turnera!L2299,Turnera!L2347,Turnera!L2395)</f>
        <v>15.3333333333333</v>
      </c>
      <c r="J43" s="0" t="n">
        <f aca="false">AVERAGE(Turnera!P2299,Turnera!P2347,Turnera!P2395)</f>
        <v>2.786259984375</v>
      </c>
      <c r="K43" s="0" t="n">
        <f aca="false">AVERAGE(Turnera!K2299,Turnera!K2347,Turnera!K2395)</f>
        <v>6.6484375</v>
      </c>
      <c r="L43" s="0" t="n">
        <f aca="false">AVERAGE(Turnera!N2299,Turnera!N2347,Turnera!N2395)</f>
        <v>23</v>
      </c>
      <c r="M43" s="0" t="n">
        <f aca="false">AVERAGE(Turnera!Q2299,Turnera!Q2347,Turnera!Q2395)</f>
        <v>1.58064727734375</v>
      </c>
      <c r="N43" s="0" t="n">
        <f aca="false">AVERAGE(Turnera!R2299,Turnera!R2347,Turnera!R2395)</f>
        <v>6</v>
      </c>
      <c r="O43" s="0" t="n">
        <f aca="false">AVERAGE(Turnera!T2299,Turnera!T2347,Turnera!T2395)</f>
        <v>4.15104166666667</v>
      </c>
      <c r="P43" s="0" t="n">
        <f aca="false">AVERAGE(Turnera!Y2299,Turnera!Y2347,Turnera!Y2395)</f>
        <v>61.4629551752857</v>
      </c>
      <c r="Q43" s="0" t="n">
        <f aca="false">AVERAGE(Turnera!Z2299,Turnera!Z2347,Turnera!Z2395)</f>
        <v>3.53865449479167</v>
      </c>
      <c r="R43" s="0" t="n">
        <f aca="false">AVERAGE(Turnera!U2299,Turnera!U2347:U2347,Turnera!U2395)</f>
        <v>0.681770833333333</v>
      </c>
      <c r="S43" s="0" t="n">
        <f aca="false">AVERAGE(Turnera!AA2299,Turnera!AA2347,Turnera!AA2395)</f>
        <v>0.576476234895833</v>
      </c>
    </row>
    <row r="44" customFormat="false" ht="13.8" hidden="false" customHeight="false" outlineLevel="0" collapsed="false">
      <c r="A44" s="0" t="s">
        <v>116</v>
      </c>
      <c r="B44" s="0" t="s">
        <v>106</v>
      </c>
      <c r="C44" s="0" t="s">
        <v>194</v>
      </c>
      <c r="D44" s="0" t="s">
        <v>194</v>
      </c>
      <c r="E44" s="3" t="n">
        <v>29</v>
      </c>
      <c r="F44" s="3" t="n">
        <v>5</v>
      </c>
      <c r="G44" s="0" t="n">
        <f aca="false">AVERAGE(Turnera!F2300,Turnera!F2348,Turnera!F2396)</f>
        <v>0.333333333333333</v>
      </c>
      <c r="H44" s="0" t="n">
        <f aca="false">AVERAGE(Turnera!J2300,Turnera!J2348,Turnera!J2396)</f>
        <v>14.0625</v>
      </c>
      <c r="I44" s="0" t="n">
        <f aca="false">AVERAGE(Turnera!L2300,Turnera!L2348,Turnera!L2396)</f>
        <v>9.66666666666667</v>
      </c>
      <c r="J44" s="0" t="n">
        <f aca="false">AVERAGE(Turnera!P2300,Turnera!P2348,Turnera!P2396)</f>
        <v>4.57667578125</v>
      </c>
      <c r="K44" s="0" t="n">
        <f aca="false">AVERAGE(Turnera!K2300,Turnera!K2348,Turnera!K2396)</f>
        <v>14.0625</v>
      </c>
      <c r="L44" s="0" t="n">
        <f aca="false">AVERAGE(Turnera!N2300,Turnera!N2348,Turnera!N2396)</f>
        <v>29</v>
      </c>
      <c r="M44" s="0" t="n">
        <f aca="false">AVERAGE(Turnera!Q2300,Turnera!Q2348,Turnera!Q2396)</f>
        <v>4.57667578125</v>
      </c>
      <c r="N44" s="0" t="n">
        <f aca="false">AVERAGE(Turnera!R2300,Turnera!R2348,Turnera!R2396)</f>
        <v>3</v>
      </c>
      <c r="O44" s="0" t="n">
        <f aca="false">AVERAGE(Turnera!T2300,Turnera!T2348,Turnera!T2396)</f>
        <v>2.33333333333333</v>
      </c>
      <c r="P44" s="0" t="n">
        <f aca="false">AVERAGE(Turnera!Y2300,Turnera!Y2348,Turnera!Y2396)</f>
        <v>65.5457374916785</v>
      </c>
      <c r="Q44" s="0" t="n">
        <f aca="false">AVERAGE(Turnera!Z2300,Turnera!Z2348,Turnera!Z2396)</f>
        <v>1.98343121744792</v>
      </c>
      <c r="R44" s="0" t="n">
        <f aca="false">AVERAGE(Turnera!U2300,Turnera!U2348:U2348,Turnera!U2396)</f>
        <v>0.821354166666667</v>
      </c>
      <c r="S44" s="0" t="n">
        <f aca="false">AVERAGE(Turnera!AA2300,Turnera!AA2348,Turnera!AA2396)</f>
        <v>0.715807442708333</v>
      </c>
    </row>
    <row r="45" customFormat="false" ht="13.8" hidden="false" customHeight="false" outlineLevel="0" collapsed="false">
      <c r="A45" s="0" t="s">
        <v>118</v>
      </c>
      <c r="B45" s="0" t="s">
        <v>106</v>
      </c>
      <c r="C45" s="0" t="s">
        <v>194</v>
      </c>
      <c r="D45" s="0" t="s">
        <v>194</v>
      </c>
      <c r="E45" s="3" t="n">
        <v>57</v>
      </c>
      <c r="F45" s="3" t="n">
        <v>15</v>
      </c>
      <c r="G45" s="0" t="n">
        <f aca="false">AVERAGE(Turnera!F2301,Turnera!F2349,Turnera!F2397)</f>
        <v>1.33333333333333</v>
      </c>
      <c r="H45" s="0" t="n">
        <f aca="false">AVERAGE(Turnera!J2301,Turnera!J2349,Turnera!J2397)</f>
        <v>11.8645833333333</v>
      </c>
      <c r="I45" s="0" t="n">
        <f aca="false">AVERAGE(Turnera!L2301,Turnera!L2349,Turnera!L2397)</f>
        <v>22.1666666666667</v>
      </c>
      <c r="J45" s="0" t="n">
        <f aca="false">AVERAGE(Turnera!P2301,Turnera!P2349,Turnera!P2397)</f>
        <v>2.96452885807292</v>
      </c>
      <c r="K45" s="0" t="n">
        <f aca="false">AVERAGE(Turnera!K2301,Turnera!K2349,Turnera!K2397)</f>
        <v>9.15104166666667</v>
      </c>
      <c r="L45" s="0" t="n">
        <f aca="false">AVERAGE(Turnera!N2301,Turnera!N2349,Turnera!N2397)</f>
        <v>22.1666666666667</v>
      </c>
      <c r="M45" s="0" t="n">
        <f aca="false">AVERAGE(Turnera!Q2301,Turnera!Q2349,Turnera!Q2397)</f>
        <v>2.19934979361979</v>
      </c>
      <c r="N45" s="0" t="n">
        <f aca="false">AVERAGE(Turnera!R2301,Turnera!R2349,Turnera!R2397)</f>
        <v>6.33333333333333</v>
      </c>
      <c r="O45" s="0" t="n">
        <f aca="false">AVERAGE(Turnera!T2301,Turnera!T2349,Turnera!T2397)</f>
        <v>4.42708333333333</v>
      </c>
      <c r="P45" s="0" t="n">
        <f aca="false">AVERAGE(Turnera!Y2301,Turnera!Y2349,Turnera!Y2397)</f>
        <v>58.7154804369376</v>
      </c>
      <c r="Q45" s="0" t="n">
        <f aca="false">AVERAGE(Turnera!Z2301,Turnera!Z2349,Turnera!Z2397)</f>
        <v>3.4942616796875</v>
      </c>
      <c r="R45" s="0" t="n">
        <f aca="false">AVERAGE(Turnera!U2301,Turnera!U2349:U2349,Turnera!U2397)</f>
        <v>0.705915178571429</v>
      </c>
      <c r="S45" s="0" t="n">
        <f aca="false">AVERAGE(Turnera!AA2301,Turnera!AA2349,Turnera!AA2397)</f>
        <v>0.527303149088542</v>
      </c>
    </row>
    <row r="46" customFormat="false" ht="13.8" hidden="false" customHeight="false" outlineLevel="0" collapsed="false">
      <c r="A46" s="0" t="s">
        <v>120</v>
      </c>
      <c r="B46" s="0" t="s">
        <v>106</v>
      </c>
      <c r="C46" s="0" t="s">
        <v>194</v>
      </c>
      <c r="D46" s="0" t="s">
        <v>194</v>
      </c>
      <c r="E46" s="3" t="n">
        <v>86</v>
      </c>
      <c r="F46" s="3" t="n">
        <v>13</v>
      </c>
      <c r="G46" s="0" t="n">
        <f aca="false">AVERAGE(Turnera!F2302,Turnera!F2350,Turnera!F2398)</f>
        <v>1.66666666666667</v>
      </c>
      <c r="H46" s="0" t="n">
        <f aca="false">AVERAGE(Turnera!J2302,Turnera!J2350,Turnera!J2398)</f>
        <v>20.5078125</v>
      </c>
      <c r="I46" s="0" t="n">
        <f aca="false">AVERAGE(Turnera!L2302,Turnera!L2350,Turnera!L2398)</f>
        <v>17</v>
      </c>
      <c r="J46" s="0" t="n">
        <f aca="false">AVERAGE(Turnera!P2302,Turnera!P2350,Turnera!P2398)</f>
        <v>6.0948618046875</v>
      </c>
      <c r="K46" s="0" t="n">
        <f aca="false">AVERAGE(Turnera!K2302,Turnera!K2350,Turnera!K2398)</f>
        <v>8.31510416666667</v>
      </c>
      <c r="L46" s="0" t="n">
        <f aca="false">AVERAGE(Turnera!N2302,Turnera!N2350,Turnera!N2398)</f>
        <v>25.5</v>
      </c>
      <c r="M46" s="0" t="n">
        <f aca="false">AVERAGE(Turnera!Q2302,Turnera!Q2350,Turnera!Q2398)</f>
        <v>2.3170938515625</v>
      </c>
      <c r="N46" s="0" t="n">
        <f aca="false">AVERAGE(Turnera!R2302,Turnera!R2350,Turnera!R2398)</f>
        <v>5.66666666666667</v>
      </c>
      <c r="O46" s="0" t="n">
        <f aca="false">AVERAGE(Turnera!T2302,Turnera!T2350,Turnera!T2398)</f>
        <v>1.75520833333333</v>
      </c>
      <c r="P46" s="0" t="n">
        <f aca="false">AVERAGE(Turnera!Y2302,Turnera!Y2350,Turnera!Y2398)</f>
        <v>65.0073554693937</v>
      </c>
      <c r="Q46" s="0" t="n">
        <f aca="false">AVERAGE(Turnera!Z2302,Turnera!Z2350,Turnera!Z2398)</f>
        <v>1.33911441145833</v>
      </c>
      <c r="R46" s="0" t="n">
        <f aca="false">AVERAGE(Turnera!U2302,Turnera!U2350:U2350,Turnera!U2398)</f>
        <v>0.306206597222222</v>
      </c>
      <c r="S46" s="0" t="n">
        <f aca="false">AVERAGE(Turnera!AA2302,Turnera!AA2350,Turnera!AA2398)</f>
        <v>0.272463344943576</v>
      </c>
    </row>
    <row r="47" customFormat="false" ht="13.8" hidden="false" customHeight="false" outlineLevel="0" collapsed="false">
      <c r="A47" s="0" t="s">
        <v>122</v>
      </c>
      <c r="B47" s="0" t="s">
        <v>106</v>
      </c>
      <c r="C47" s="0" t="s">
        <v>194</v>
      </c>
      <c r="D47" s="0" t="s">
        <v>194</v>
      </c>
      <c r="E47" s="3" t="n">
        <v>33</v>
      </c>
      <c r="F47" s="3" t="n">
        <v>7</v>
      </c>
      <c r="G47" s="0" t="n">
        <f aca="false">AVERAGE(Turnera!F2303,Turnera!F2351,Turnera!F2399)</f>
        <v>0.666666666666667</v>
      </c>
      <c r="H47" s="0" t="n">
        <f aca="false">AVERAGE(Turnera!J2303,Turnera!J2351,Turnera!J2399)</f>
        <v>16.765625</v>
      </c>
      <c r="I47" s="0" t="n">
        <f aca="false">AVERAGE(Turnera!L2303,Turnera!L2351,Turnera!L2399)</f>
        <v>10</v>
      </c>
      <c r="J47" s="0" t="n">
        <f aca="false">AVERAGE(Turnera!P2303,Turnera!P2351,Turnera!P2399)</f>
        <v>5.6684578125</v>
      </c>
      <c r="K47" s="0" t="n">
        <f aca="false">AVERAGE(Turnera!K2303,Turnera!K2351,Turnera!K2399)</f>
        <v>8.3828125</v>
      </c>
      <c r="L47" s="0" t="n">
        <f aca="false">AVERAGE(Turnera!N2303,Turnera!N2351,Turnera!N2399)</f>
        <v>30</v>
      </c>
      <c r="M47" s="0" t="n">
        <f aca="false">AVERAGE(Turnera!Q2303,Turnera!Q2351,Turnera!Q2399)</f>
        <v>2.83422890625</v>
      </c>
      <c r="N47" s="0" t="n">
        <f aca="false">AVERAGE(Turnera!R2303,Turnera!R2351,Turnera!R2399)</f>
        <v>6</v>
      </c>
      <c r="O47" s="0" t="n">
        <f aca="false">AVERAGE(Turnera!T2303,Turnera!T2351,Turnera!T2399)</f>
        <v>2.78125</v>
      </c>
      <c r="P47" s="0" t="n">
        <f aca="false">AVERAGE(Turnera!Y2303,Turnera!Y2351,Turnera!Y2399)</f>
        <v>47.9988869148906</v>
      </c>
      <c r="Q47" s="0" t="n">
        <f aca="false">AVERAGE(Turnera!Z2303,Turnera!Z2351,Turnera!Z2399)</f>
        <v>1.581812375</v>
      </c>
      <c r="R47" s="0" t="n">
        <f aca="false">AVERAGE(Turnera!U2303,Turnera!U2351:U2351,Turnera!U2399)</f>
        <v>0.483816964285714</v>
      </c>
      <c r="S47" s="0" t="n">
        <f aca="false">AVERAGE(Turnera!AA2303,Turnera!AA2351,Turnera!AA2399)</f>
        <v>0.280966922991071</v>
      </c>
    </row>
    <row r="48" customFormat="false" ht="13.8" hidden="false" customHeight="false" outlineLevel="0" collapsed="false">
      <c r="A48" s="0" t="s">
        <v>124</v>
      </c>
      <c r="B48" s="0" t="s">
        <v>106</v>
      </c>
      <c r="C48" s="0" t="s">
        <v>194</v>
      </c>
      <c r="D48" s="0" t="s">
        <v>194</v>
      </c>
      <c r="E48" s="3" t="n">
        <v>40</v>
      </c>
      <c r="F48" s="3" t="n">
        <v>3</v>
      </c>
      <c r="G48" s="0" t="n">
        <f aca="false">AVERAGE(Turnera!F2304,Turnera!F2352,Turnera!F2400)</f>
        <v>1.33333333333333</v>
      </c>
      <c r="H48" s="0" t="n">
        <f aca="false">AVERAGE(Turnera!J2304,Turnera!J2352,Turnera!J2400)</f>
        <v>15.6145833333333</v>
      </c>
      <c r="I48" s="0" t="n">
        <f aca="false">AVERAGE(Turnera!L2304,Turnera!L2352,Turnera!L2400)</f>
        <v>24.3333333333333</v>
      </c>
      <c r="J48" s="0" t="n">
        <f aca="false">AVERAGE(Turnera!P2304,Turnera!P2352,Turnera!P2400)</f>
        <v>4.09942473893229</v>
      </c>
      <c r="K48" s="0" t="n">
        <f aca="false">AVERAGE(Turnera!K2304,Turnera!K2352,Turnera!K2400)</f>
        <v>11.6354166666667</v>
      </c>
      <c r="L48" s="0" t="n">
        <f aca="false">AVERAGE(Turnera!N2304,Turnera!N2352,Turnera!N2400)</f>
        <v>24.3333333333333</v>
      </c>
      <c r="M48" s="0" t="n">
        <f aca="false">AVERAGE(Turnera!Q2304,Turnera!Q2352,Turnera!Q2400)</f>
        <v>3.07387262174479</v>
      </c>
      <c r="N48" s="0" t="n">
        <f aca="false">AVERAGE(Turnera!R2304,Turnera!R2352,Turnera!R2400)</f>
        <v>4.66666666666667</v>
      </c>
      <c r="O48" s="0" t="n">
        <f aca="false">AVERAGE(Turnera!T2304,Turnera!T2352,Turnera!T2400)</f>
        <v>2.125</v>
      </c>
      <c r="P48" s="0" t="n">
        <f aca="false">AVERAGE(Turnera!Y2304,Turnera!Y2352,Turnera!Y2400)</f>
        <v>56.0920061137105</v>
      </c>
      <c r="Q48" s="0" t="n">
        <f aca="false">AVERAGE(Turnera!Z2304,Turnera!Z2352,Turnera!Z2400)</f>
        <v>1.55469852083333</v>
      </c>
      <c r="R48" s="0" t="n">
        <f aca="false">AVERAGE(Turnera!U2304,Turnera!U2352:U2352,Turnera!U2400)</f>
        <v>0.401736111111111</v>
      </c>
      <c r="S48" s="0" t="n">
        <f aca="false">AVERAGE(Turnera!AA2304,Turnera!AA2352,Turnera!AA2400)</f>
        <v>0.292696899305556</v>
      </c>
    </row>
    <row r="49" customFormat="false" ht="13.8" hidden="false" customHeight="false" outlineLevel="0" collapsed="false">
      <c r="A49" s="0" t="s">
        <v>126</v>
      </c>
      <c r="B49" s="0" t="s">
        <v>106</v>
      </c>
      <c r="C49" s="0" t="s">
        <v>194</v>
      </c>
      <c r="D49" s="0" t="s">
        <v>194</v>
      </c>
      <c r="E49" s="3" t="n">
        <v>52</v>
      </c>
      <c r="F49" s="3" t="n">
        <v>7</v>
      </c>
      <c r="G49" s="0" t="n">
        <f aca="false">AVERAGE(Turnera!F2305,Turnera!F2353,Turnera!F2401)</f>
        <v>0.333333333333333</v>
      </c>
      <c r="H49" s="0" t="n">
        <f aca="false">AVERAGE(Turnera!J2305,Turnera!J2353,Turnera!J2401)</f>
        <v>7.078125</v>
      </c>
      <c r="I49" s="0" t="n">
        <f aca="false">AVERAGE(Turnera!L2305,Turnera!L2353,Turnera!L2401)</f>
        <v>5.5</v>
      </c>
      <c r="J49" s="0" t="n">
        <f aca="false">AVERAGE(Turnera!P2305,Turnera!P2353,Turnera!P2401)</f>
        <v>1.24456264453125</v>
      </c>
      <c r="K49" s="0" t="n">
        <f aca="false">AVERAGE(Turnera!K2305,Turnera!K2353,Turnera!K2401)</f>
        <v>7.078125</v>
      </c>
      <c r="L49" s="0" t="n">
        <f aca="false">AVERAGE(Turnera!N2305,Turnera!N2353,Turnera!N2401)</f>
        <v>16.5</v>
      </c>
      <c r="M49" s="0" t="n">
        <f aca="false">AVERAGE(Turnera!Q2305,Turnera!Q2353,Turnera!Q2401)</f>
        <v>1.24456264453125</v>
      </c>
      <c r="N49" s="0" t="n">
        <f aca="false">AVERAGE(Turnera!R2305,Turnera!R2353,Turnera!R2401)</f>
        <v>6</v>
      </c>
      <c r="O49" s="0" t="n">
        <f aca="false">AVERAGE(Turnera!T2305,Turnera!T2353,Turnera!T2401)</f>
        <v>3.26041666666667</v>
      </c>
      <c r="P49" s="0" t="n">
        <f aca="false">AVERAGE(Turnera!Y2305,Turnera!Y2353,Turnera!Y2401)</f>
        <v>65.4870379740936</v>
      </c>
      <c r="Q49" s="0" t="n">
        <f aca="false">AVERAGE(Turnera!Z2305,Turnera!Z2353,Turnera!Z2401)</f>
        <v>2.67335361328125</v>
      </c>
      <c r="R49" s="0" t="n">
        <f aca="false">AVERAGE(Turnera!U2305,Turnera!U2353:U2353,Turnera!U2401)</f>
        <v>0.58621369949495</v>
      </c>
      <c r="S49" s="0" t="n">
        <f aca="false">AVERAGE(Turnera!AA2305,Turnera!AA2353,Turnera!AA2401)</f>
        <v>0.48613597989169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1" activeCellId="1" sqref="D38:D49 J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2014-01-08T19:46:36Z</dcterms:created>
  <dc:creator>Emily</dc:creator>
  <dc:language>en-CA</dc:language>
  <cp:lastModifiedBy>Emily</cp:lastModifiedBy>
  <dcterms:modified xsi:type="dcterms:W3CDTF">2014-04-30T19:29:10Z</dcterms:modified>
  <cp:revision>0</cp:revision>
</cp:coreProperties>
</file>