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ivenapierac-my.sharepoint.com/personal/s_thomas_napier_ac_uk/Documents/Altium Projects/2023002 A Soutra Velouria LED Controller/OUTPUTS/"/>
    </mc:Choice>
  </mc:AlternateContent>
  <xr:revisionPtr revIDLastSave="269" documentId="11_82D1F6C9BA69C9A62A19A0BDD31E6B6DFCFBBC87" xr6:coauthVersionLast="47" xr6:coauthVersionMax="47" xr10:uidLastSave="{F0CA32D1-0EC8-417F-8F3C-4C13CFE03196}"/>
  <bookViews>
    <workbookView xWindow="-120" yWindow="-120" windowWidth="29040" windowHeight="15840" xr2:uid="{00000000-000D-0000-FFFF-FFFF00000000}"/>
  </bookViews>
  <sheets>
    <sheet name="Manufacturing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5" l="1"/>
  <c r="P49" i="5"/>
  <c r="P48" i="5"/>
  <c r="P47" i="5"/>
  <c r="P46" i="5"/>
  <c r="P45" i="5"/>
  <c r="P44" i="5"/>
  <c r="P42" i="5"/>
  <c r="P41" i="5"/>
  <c r="P40" i="5"/>
  <c r="P39" i="5"/>
  <c r="P38" i="5"/>
  <c r="P37" i="5"/>
  <c r="P36" i="5"/>
  <c r="P34" i="5"/>
  <c r="P33" i="5"/>
  <c r="P29" i="5"/>
  <c r="P25" i="5"/>
  <c r="P21" i="5"/>
  <c r="P20" i="5"/>
  <c r="P19" i="5"/>
  <c r="P18" i="5"/>
  <c r="P17" i="5"/>
  <c r="P16" i="5"/>
  <c r="P15" i="5"/>
  <c r="L49" i="5"/>
  <c r="L48" i="5"/>
  <c r="L47" i="5"/>
  <c r="L42" i="5"/>
  <c r="L41" i="5"/>
  <c r="L40" i="5"/>
  <c r="L39" i="5"/>
  <c r="L38" i="5"/>
  <c r="L37" i="5"/>
  <c r="L35" i="5"/>
  <c r="L34" i="5"/>
  <c r="L15" i="5"/>
  <c r="L33" i="5"/>
  <c r="L32" i="5"/>
  <c r="L31" i="5"/>
  <c r="L29" i="5"/>
  <c r="L23" i="5"/>
  <c r="L22" i="5"/>
  <c r="L21" i="5"/>
  <c r="L20" i="5"/>
  <c r="L19" i="5"/>
  <c r="L18" i="5"/>
  <c r="L16" i="5"/>
  <c r="L46" i="5"/>
  <c r="L45" i="5"/>
  <c r="L44" i="5"/>
  <c r="L36" i="5"/>
  <c r="L30" i="5"/>
  <c r="L25" i="5"/>
  <c r="L24" i="5"/>
  <c r="L17" i="5"/>
  <c r="L51" i="5" l="1"/>
</calcChain>
</file>

<file path=xl/sharedStrings.xml><?xml version="1.0" encoding="utf-8"?>
<sst xmlns="http://schemas.openxmlformats.org/spreadsheetml/2006/main" count="475" uniqueCount="333">
  <si>
    <t>Source Data From:</t>
  </si>
  <si>
    <t>Variant:</t>
  </si>
  <si>
    <t>Report Date:</t>
  </si>
  <si>
    <t>soutraelectronics@gmail.com</t>
  </si>
  <si>
    <t>14 Ryehill Gardens</t>
  </si>
  <si>
    <t>Edinburgh</t>
  </si>
  <si>
    <t>EH68ER</t>
  </si>
  <si>
    <t>+44(0)7874693650</t>
  </si>
  <si>
    <t>Manufacturer Part Number</t>
  </si>
  <si>
    <t>Manufacturer</t>
  </si>
  <si>
    <t>Footprint</t>
  </si>
  <si>
    <t>Quantity</t>
  </si>
  <si>
    <t>Primary Supplier</t>
  </si>
  <si>
    <t>Secondary Supplier</t>
  </si>
  <si>
    <t>Alternative Part Details</t>
  </si>
  <si>
    <t>Supplier Part Number</t>
  </si>
  <si>
    <t>Pricing</t>
  </si>
  <si>
    <t>Supplier 1</t>
  </si>
  <si>
    <t>Supplier Part Number 1</t>
  </si>
  <si>
    <t>Pricing 1</t>
  </si>
  <si>
    <t>Alternative Part</t>
  </si>
  <si>
    <t>Alternative Part Manufacturer</t>
  </si>
  <si>
    <t>Alternative Part Supplier</t>
  </si>
  <si>
    <t>Alternative Part Supplier Part Number</t>
  </si>
  <si>
    <t>U2</t>
  </si>
  <si>
    <t>MSOP-MS8_L</t>
  </si>
  <si>
    <t>Total Number of Items:</t>
  </si>
  <si>
    <t>Value</t>
  </si>
  <si>
    <t>Notes</t>
  </si>
  <si>
    <t>2023002 A Soutra Velouria LED Controller PROJ.PrjPcb</t>
  </si>
  <si>
    <t>None</t>
  </si>
  <si>
    <t>29/11/2023</t>
  </si>
  <si>
    <t>11:01</t>
  </si>
  <si>
    <t>Designator</t>
  </si>
  <si>
    <t>B1</t>
  </si>
  <si>
    <t>C1, C5, C6, C7, C8, C9</t>
  </si>
  <si>
    <t>C2</t>
  </si>
  <si>
    <t>C3</t>
  </si>
  <si>
    <t>C4</t>
  </si>
  <si>
    <t>C10</t>
  </si>
  <si>
    <t>D1, D3</t>
  </si>
  <si>
    <t>D2</t>
  </si>
  <si>
    <t>D4</t>
  </si>
  <si>
    <t>D5</t>
  </si>
  <si>
    <t>F1</t>
  </si>
  <si>
    <t>J1</t>
  </si>
  <si>
    <t>J2</t>
  </si>
  <si>
    <t>J3</t>
  </si>
  <si>
    <t>J4</t>
  </si>
  <si>
    <t>L1</t>
  </si>
  <si>
    <t>Q1</t>
  </si>
  <si>
    <t>Q2, Q3</t>
  </si>
  <si>
    <t>R1, R9, R10, R22, R26</t>
  </si>
  <si>
    <t>R2, R16, R23, R24, R25, R27, R28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</si>
  <si>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</si>
  <si>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</si>
  <si>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</si>
  <si>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</si>
  <si>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</si>
  <si>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</si>
  <si>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</si>
  <si>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</si>
  <si>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</si>
  <si>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SW1</t>
  </si>
  <si>
    <t>U1</t>
  </si>
  <si>
    <t>U3</t>
  </si>
  <si>
    <t>U4</t>
  </si>
  <si>
    <t>U5</t>
  </si>
  <si>
    <t>U6</t>
  </si>
  <si>
    <t>CC0402KRX5R6BB105</t>
  </si>
  <si>
    <t>GRM21BR61A476ME15K</t>
  </si>
  <si>
    <t>CL31A476MQHNNNE</t>
  </si>
  <si>
    <t>0402X104M160CT</t>
  </si>
  <si>
    <t>CC0603KPX7R9BB472</t>
  </si>
  <si>
    <t>NSR0530HT1G</t>
  </si>
  <si>
    <t>ESDA8V2-1J</t>
  </si>
  <si>
    <t>SS12L</t>
  </si>
  <si>
    <t>MP008282</t>
  </si>
  <si>
    <t>MCCFB0603TFF/1</t>
  </si>
  <si>
    <t>105017-0001</t>
  </si>
  <si>
    <t>SRP4020TA-3R3M</t>
  </si>
  <si>
    <t>XP161A1355PR-G</t>
  </si>
  <si>
    <t>RTQ020N05FRATR</t>
  </si>
  <si>
    <t>MC0063W06030R</t>
  </si>
  <si>
    <t>RK73B1JTTD103J</t>
  </si>
  <si>
    <t>CRCW0805100RFKTA</t>
  </si>
  <si>
    <t>MCWR06X3091FTL</t>
  </si>
  <si>
    <t>CR0603-FX-4992ELF</t>
  </si>
  <si>
    <t>RK73H1JRTTD1001F</t>
  </si>
  <si>
    <t>CRM0805AJX-R100ELF</t>
  </si>
  <si>
    <t>CRGH0805J330R</t>
  </si>
  <si>
    <t>RC0603FR-07150RL</t>
  </si>
  <si>
    <t>CRGH0805F2K7</t>
  </si>
  <si>
    <t>RC0402FR-072K7L</t>
  </si>
  <si>
    <t>ATTINY412-SSNR</t>
  </si>
  <si>
    <t>MCP1650S-E/MS</t>
  </si>
  <si>
    <t>LTC4065EDC#TRMPBF</t>
  </si>
  <si>
    <t>AP9101CK-AHTRG1</t>
  </si>
  <si>
    <t>AP22802AW5-7</t>
  </si>
  <si>
    <t>AP331AWRG-7</t>
  </si>
  <si>
    <t>1uF</t>
  </si>
  <si>
    <t>47uF</t>
  </si>
  <si>
    <t>100nF</t>
  </si>
  <si>
    <t>4.7nF</t>
  </si>
  <si>
    <t>0R</t>
  </si>
  <si>
    <t>10kR</t>
  </si>
  <si>
    <t>100R</t>
  </si>
  <si>
    <t>3.09k</t>
  </si>
  <si>
    <t>49.9kR</t>
  </si>
  <si>
    <t>1kR</t>
  </si>
  <si>
    <t>R100</t>
  </si>
  <si>
    <t>330R</t>
  </si>
  <si>
    <t>150R</t>
  </si>
  <si>
    <t>2.7k</t>
  </si>
  <si>
    <t>2.7kR</t>
  </si>
  <si>
    <t>Yageo</t>
  </si>
  <si>
    <t>Murata</t>
  </si>
  <si>
    <t>Samsung</t>
  </si>
  <si>
    <t>Walsin Technologies</t>
  </si>
  <si>
    <t>ON Semiconductor</t>
  </si>
  <si>
    <t>STMicroelectronics</t>
  </si>
  <si>
    <t>Multicomp Pro</t>
  </si>
  <si>
    <t>Multicomp</t>
  </si>
  <si>
    <t>Molex</t>
  </si>
  <si>
    <t>Bourns</t>
  </si>
  <si>
    <t>Torex</t>
  </si>
  <si>
    <t>Rohm</t>
  </si>
  <si>
    <t>KOA Speer</t>
  </si>
  <si>
    <t>Vishay Dale</t>
  </si>
  <si>
    <t>TE Connectivity</t>
  </si>
  <si>
    <t>Microchip</t>
  </si>
  <si>
    <t>Analog Devices / Linear Technology</t>
  </si>
  <si>
    <t>Diodes</t>
  </si>
  <si>
    <t>SMT-PAD_2-Pad-Polarised_2X5Y2-5P</t>
  </si>
  <si>
    <t>CAPC1005X06L</t>
  </si>
  <si>
    <t>CAPC2012X14L</t>
  </si>
  <si>
    <t>CC1206-IPC_C</t>
  </si>
  <si>
    <t>CC0603-DA-IPC_C</t>
  </si>
  <si>
    <t>SODFL_250X100-2L</t>
  </si>
  <si>
    <t>SODFL_250X117-2L</t>
  </si>
  <si>
    <t>SODFL370X120-2L</t>
  </si>
  <si>
    <t>DIOC_0603_1706X06L</t>
  </si>
  <si>
    <t>FUSC_1608X06L</t>
  </si>
  <si>
    <t>1050170001_USB-MICRO-B_V</t>
  </si>
  <si>
    <t>SMT-PAD_2x3_1-27_R0-5</t>
  </si>
  <si>
    <t>SMT-PAD_2-Pad_2X5Y2-5P</t>
  </si>
  <si>
    <t>SMT-PAD_3-Pad_5X8Y6P</t>
  </si>
  <si>
    <t>SRP4020TA-MFG</t>
  </si>
  <si>
    <t>SOT89-150P350X160-3L</t>
  </si>
  <si>
    <t>SOT457T_95P280X100-6L</t>
  </si>
  <si>
    <t>RESC_0603_1608X06L</t>
  </si>
  <si>
    <t>RESC_0805_2013X50X30LL20T20</t>
  </si>
  <si>
    <t>RESC_0402_1005X40X25LL05T10</t>
  </si>
  <si>
    <t>SOIC127P600X200-8L</t>
  </si>
  <si>
    <t>DFN_0P200X200X85_HS-7L</t>
  </si>
  <si>
    <t>SOT25_95P285X140-5L</t>
  </si>
  <si>
    <t>Supplier</t>
  </si>
  <si>
    <t>Farnell</t>
  </si>
  <si>
    <t>1458896</t>
  </si>
  <si>
    <t>3790438</t>
  </si>
  <si>
    <t>3013519</t>
  </si>
  <si>
    <t>2524808</t>
  </si>
  <si>
    <t>3764512</t>
  </si>
  <si>
    <t>2508350</t>
  </si>
  <si>
    <t>2353667</t>
  </si>
  <si>
    <t>3883703</t>
  </si>
  <si>
    <t>3796313</t>
  </si>
  <si>
    <t>2849996</t>
  </si>
  <si>
    <t>3500663</t>
  </si>
  <si>
    <t>2434803</t>
  </si>
  <si>
    <t>3534778</t>
  </si>
  <si>
    <t>2769553</t>
  </si>
  <si>
    <t>9331662</t>
  </si>
  <si>
    <t>4009056</t>
  </si>
  <si>
    <t>1652906</t>
  </si>
  <si>
    <t>2694817</t>
  </si>
  <si>
    <t>4014374</t>
  </si>
  <si>
    <t>3539564</t>
  </si>
  <si>
    <t>2824733</t>
  </si>
  <si>
    <t>2331789</t>
  </si>
  <si>
    <t>9238387</t>
  </si>
  <si>
    <t>2332077</t>
  </si>
  <si>
    <t>9239286</t>
  </si>
  <si>
    <t>3131843</t>
  </si>
  <si>
    <t>1863920</t>
  </si>
  <si>
    <t>4027894</t>
  </si>
  <si>
    <t>3483011</t>
  </si>
  <si>
    <t>3482850</t>
  </si>
  <si>
    <t>3373792</t>
  </si>
  <si>
    <t>10=0.039, 100=0.023</t>
  </si>
  <si>
    <t>10=0.276, 100=0.207</t>
  </si>
  <si>
    <t>New Product - Undefined Lead Time</t>
  </si>
  <si>
    <t>10=0.0047, 100=0.0043</t>
  </si>
  <si>
    <t>10=0.024, 100=0.014</t>
  </si>
  <si>
    <t>5=0.159, 10=0.117, 100=0.0654</t>
  </si>
  <si>
    <t>5=0.0848, 10=0.0807, 100=0.0765</t>
  </si>
  <si>
    <t>5=0.089, 10=0.071, 100=0.051</t>
  </si>
  <si>
    <t>5=0.0713, 10=0.0611, 100=0.0476</t>
  </si>
  <si>
    <t>1=0.027 (GBP)</t>
  </si>
  <si>
    <t>1=0.97</t>
  </si>
  <si>
    <t>5=0.543, 50=0.52</t>
  </si>
  <si>
    <t>1=0.472, 10=0.413, 100=0.294</t>
  </si>
  <si>
    <t>5=0.359, 10=0.286, 100=0.2</t>
  </si>
  <si>
    <t>10=0.007, 100=0.006</t>
  </si>
  <si>
    <t>10=0.009, 100=0.003</t>
  </si>
  <si>
    <t>10=0.06, 100=0.026</t>
  </si>
  <si>
    <t>10=0.011, 100=0.004</t>
  </si>
  <si>
    <t>1=0.0871, 25=0.0148, 50=0.0105, 100=0.0061</t>
  </si>
  <si>
    <t>10=0.053, 100=0.02</t>
  </si>
  <si>
    <t>10=0.218, 100=0.168</t>
  </si>
  <si>
    <t>10=0.012</t>
  </si>
  <si>
    <t>10=0.011, 100=0.006</t>
  </si>
  <si>
    <t>10=0.0381</t>
  </si>
  <si>
    <t>10=0.008, 100=0.005</t>
  </si>
  <si>
    <t>1=0.469, 25=0.429, 100=0.39</t>
  </si>
  <si>
    <t>1=1.548</t>
  </si>
  <si>
    <t>1=3.14, 10=2.81, 25=2.67, 100=2.31</t>
  </si>
  <si>
    <t>5=0.318, 10=0.231, 100=0.165</t>
  </si>
  <si>
    <t>5=0.152, 10=0.133, 100=0.11</t>
  </si>
  <si>
    <t>5=0.259, 10=0.16, 100=0.098</t>
  </si>
  <si>
    <t>Digikey</t>
  </si>
  <si>
    <t>Rs</t>
  </si>
  <si>
    <t>Mouser</t>
  </si>
  <si>
    <t>Digi-Key</t>
  </si>
  <si>
    <t>DigiKey</t>
  </si>
  <si>
    <t>311-1439-1-ND</t>
  </si>
  <si>
    <t>490-GRM21BR61A476ME15KCT-ND</t>
  </si>
  <si>
    <t>1276-1167-1-ND</t>
  </si>
  <si>
    <t>1292-0402X104M160CT-ND</t>
  </si>
  <si>
    <t>13-CC0603KPX7R9BB472CT-ND</t>
  </si>
  <si>
    <t>NSR0530HT1GOSCT-ND</t>
  </si>
  <si>
    <t>9172719</t>
  </si>
  <si>
    <t>8486764</t>
  </si>
  <si>
    <t>SRP4020TA-3R3MCT-ND</t>
  </si>
  <si>
    <t>865-XP161A1355PR-G</t>
  </si>
  <si>
    <t>2019-RK73B1JTTD103JCT-ND</t>
  </si>
  <si>
    <t>71-CRCW0805-100</t>
  </si>
  <si>
    <t>118-CR0603-FX-4992ELFCT-ND</t>
  </si>
  <si>
    <t>2019-RK73H1JRTTD1001FCT-ND</t>
  </si>
  <si>
    <t>CRM0805AJX-R100ELFCT-ND</t>
  </si>
  <si>
    <t>8075778P</t>
  </si>
  <si>
    <t>311-150HRCT-ND</t>
  </si>
  <si>
    <t>279-CRGH0805F2K7</t>
  </si>
  <si>
    <t>311-2.70KLRCT-ND</t>
  </si>
  <si>
    <t>ATTINY412-SSNRCT-ND</t>
  </si>
  <si>
    <t>MCP1650S-E/MS-ND</t>
  </si>
  <si>
    <t>505-LTC4065EDC#TRMPBFCT-ND</t>
  </si>
  <si>
    <t>AP9101CK-AHTRG1DICT-ND</t>
  </si>
  <si>
    <t>AP22802AW5-7DICT-ND</t>
  </si>
  <si>
    <t>AP331AWRGDICT-ND</t>
  </si>
  <si>
    <t>1=0.08, 10=0.058, 50=0.034, 100=0.027</t>
  </si>
  <si>
    <t>1=0.53, 10=0.353, 50=0.28, 100=0.232</t>
  </si>
  <si>
    <t>1=0.24, 10=0.16, 50=0.118, 100=0.096</t>
  </si>
  <si>
    <t>1=0.08, 10=0.023, 50=0.013, 100=0.01</t>
  </si>
  <si>
    <t>1=0.08, 10=0.036, 50=0.02, 100=0.016</t>
  </si>
  <si>
    <t>1=0.16, 10=0.11, 100=0.059</t>
  </si>
  <si>
    <t>100=0.148</t>
  </si>
  <si>
    <t>5=0.754, 75=0.67</t>
  </si>
  <si>
    <t>1=1.04, 10=0.879, 25=0.799, 50=0.75, 100=0.623</t>
  </si>
  <si>
    <t>1=0.568, 10=0.453, 100=0.353</t>
  </si>
  <si>
    <t>1=0.08, 10=0.012, 50=0.0078, 100=0.0064</t>
  </si>
  <si>
    <t>1=0.12, 10=0.042, 100=0.027</t>
  </si>
  <si>
    <t>1=0.08, 10=0.012, 50=0.007, 100=0.006</t>
  </si>
  <si>
    <t>1=0.11, 10=0.052, 50=0.034, 100=0.0288</t>
  </si>
  <si>
    <t>1=0.49, 10=0.277, 50=0.1988, 100=0.174</t>
  </si>
  <si>
    <t>1000=0.012</t>
  </si>
  <si>
    <t>1=0.08, 10=0.016, 50=0.009, 100=0.008</t>
  </si>
  <si>
    <t>1=0.096, 10=0.065, 100=0.033</t>
  </si>
  <si>
    <t>1=0.48, 25=0.437, 0.388</t>
  </si>
  <si>
    <t>1=1.54, 25=1.288, 100=1.228</t>
  </si>
  <si>
    <t>1=2.94, 10=2.64, 25=2.495, 100=2.162</t>
  </si>
  <si>
    <t>1=0.36, 10=0.28, 100=0.169</t>
  </si>
  <si>
    <t>1=0.37, 10=0.277, 25=0.25, 100=0.173</t>
  </si>
  <si>
    <t>1=0.38, 10=0.28, 25=0.256, 100=0.176</t>
  </si>
  <si>
    <t>0402ZD105KAT2A</t>
  </si>
  <si>
    <t>C2012X5R1A476M125AC</t>
  </si>
  <si>
    <t>C1206C476M9PACTU</t>
  </si>
  <si>
    <t>885012105016</t>
  </si>
  <si>
    <t>MC0603B472K500CT</t>
  </si>
  <si>
    <t>PMEG3010BEA,115</t>
  </si>
  <si>
    <t>RSX101MM-30TR</t>
  </si>
  <si>
    <t>LG Q396-PS-35</t>
  </si>
  <si>
    <t>MP001585</t>
  </si>
  <si>
    <t>RTQ020N05HZGTR</t>
  </si>
  <si>
    <t>MCWR06X000 PTL</t>
  </si>
  <si>
    <t>RMCF0603FT10K0</t>
  </si>
  <si>
    <t>CRCW0805100RFKEA</t>
  </si>
  <si>
    <t>RK73H1JTTD3091F</t>
  </si>
  <si>
    <t>ERJUP3J102V</t>
  </si>
  <si>
    <t>ERJ6BSFR10V</t>
  </si>
  <si>
    <t>MCWR06X1500FTL</t>
  </si>
  <si>
    <t>MC01W08051100R</t>
  </si>
  <si>
    <t>MCSR04X2701FTL</t>
  </si>
  <si>
    <t>KYOCERA AVX</t>
  </si>
  <si>
    <t>TDK</t>
  </si>
  <si>
    <t>KEMET</t>
  </si>
  <si>
    <t>WURTH</t>
  </si>
  <si>
    <t>NEXPERIA</t>
  </si>
  <si>
    <t>AMS OSRAM GROUP</t>
  </si>
  <si>
    <t>Stackpole Electronics Inc</t>
  </si>
  <si>
    <t>VISHAY</t>
  </si>
  <si>
    <t>KOA</t>
  </si>
  <si>
    <t>PANASONIC</t>
  </si>
  <si>
    <t>1740588</t>
  </si>
  <si>
    <t>2211186</t>
  </si>
  <si>
    <t>1650902</t>
  </si>
  <si>
    <t>2533933</t>
  </si>
  <si>
    <t>1759098</t>
  </si>
  <si>
    <t>8737991</t>
  </si>
  <si>
    <t>3214737</t>
  </si>
  <si>
    <t>2575345</t>
  </si>
  <si>
    <t>3285087</t>
  </si>
  <si>
    <t>3261754</t>
  </si>
  <si>
    <t>2447743</t>
  </si>
  <si>
    <t>RMCF0603FT10K0CT-ND</t>
  </si>
  <si>
    <t>1469862</t>
  </si>
  <si>
    <t>3539881</t>
  </si>
  <si>
    <t>3579508</t>
  </si>
  <si>
    <t>1717812</t>
  </si>
  <si>
    <t>2447255</t>
  </si>
  <si>
    <t>9332375</t>
  </si>
  <si>
    <t>2074044</t>
  </si>
  <si>
    <t>Total Cost</t>
  </si>
  <si>
    <t>Note:</t>
  </si>
  <si>
    <t>- All prices in GBP</t>
  </si>
  <si>
    <t>- Supplier minimum order amount assumed if number of components is less</t>
  </si>
  <si>
    <t>N/A</t>
  </si>
  <si>
    <t>TOTAL MAX COST PER BOARD (Primary Supplier Only):</t>
  </si>
  <si>
    <t>- PLEASE CHOOSE CHEAPEST AVAILABLE COMPONENT CHOICE WHEN SOURCING</t>
  </si>
  <si>
    <t>JLC Stock Accepted?</t>
  </si>
  <si>
    <t>No part - solder pad only</t>
  </si>
  <si>
    <t>Bill of Materials for Project [2023002 A Soutra Velouria LED Controller PROJ.PrjPcb]</t>
  </si>
  <si>
    <t>USE JLC STOCKED PART 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</si>
</sst>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\ AM/PM;@"/>
    <numFmt numFmtId="166" formatCode="0.0000"/>
  </numFmts>
  <fonts count="20" x14ac:knownFonts="1">
    <font>
      <sz val="10"/>
      <color theme="1"/>
      <name val="Arial"/>
    </font>
    <font>
      <sz val="10"/>
      <color indexed="13"/>
      <name val="Arial"/>
    </font>
    <font>
      <sz val="10"/>
      <color indexed="47"/>
      <name val="Arial"/>
    </font>
    <font>
      <b/>
      <sz val="24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8"/>
      <color indexed="8"/>
      <name val="Arial"/>
    </font>
    <font>
      <u/>
      <sz val="10"/>
      <color theme="10"/>
      <name val="Arial"/>
    </font>
    <font>
      <i/>
      <sz val="18"/>
      <color theme="8" tint="0.59999389629810485"/>
      <name val="Arial"/>
    </font>
    <font>
      <i/>
      <sz val="18"/>
      <color theme="7" tint="0.39997558519241921"/>
      <name val="Arial"/>
    </font>
    <font>
      <i/>
      <sz val="18"/>
      <color rgb="FFFF0000"/>
      <name val="Arial"/>
    </font>
    <font>
      <i/>
      <sz val="18"/>
      <color theme="5" tint="0.39997558519241921"/>
      <name val="Arial"/>
    </font>
    <font>
      <i/>
      <sz val="10"/>
      <color indexed="8"/>
      <name val="Arial"/>
    </font>
    <font>
      <sz val="10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ck">
        <color theme="5" tint="0.39994506668294322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ck">
        <color theme="7" tint="0.39994506668294322"/>
      </top>
      <bottom style="thin">
        <color indexed="64"/>
      </bottom>
      <diagonal/>
    </border>
    <border>
      <left/>
      <right style="medium">
        <color indexed="64"/>
      </right>
      <top style="thick">
        <color rgb="FFFF000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theme="5" tint="0.39994506668294322"/>
      </top>
      <bottom style="thin">
        <color indexed="64"/>
      </bottom>
      <diagonal/>
    </border>
    <border>
      <left/>
      <right/>
      <top style="thick">
        <color theme="5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5" tint="0.39994506668294322"/>
      </top>
      <bottom style="thin">
        <color indexed="64"/>
      </bottom>
      <diagonal/>
    </border>
    <border>
      <left style="thin">
        <color indexed="64"/>
      </left>
      <right/>
      <top style="thick">
        <color theme="7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7" tint="0.39994506668294322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ck">
        <color theme="8" tint="0.39994506668294322"/>
      </top>
      <bottom style="thin">
        <color indexed="64"/>
      </bottom>
      <diagonal/>
    </border>
    <border>
      <left/>
      <right/>
      <top style="thick">
        <color theme="8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8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ck">
        <color theme="8" tint="0.39994506668294322"/>
      </bottom>
      <diagonal/>
    </border>
  </borders>
  <cellStyleXfs count="2">
    <xf numFmtId="0" fontId="0" fillId="0" borderId="0"/>
    <xf numFmtId="0" fontId="7" fillId="0" borderId="0" applyNumberFormat="0" applyAlignment="0" applyProtection="0"/>
  </cellStyleXfs>
  <cellXfs count="10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5" fillId="3" borderId="0" xfId="0" applyFont="1" applyFill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3" fillId="3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7" borderId="5" xfId="0" applyFill="1" applyBorder="1"/>
    <xf numFmtId="0" fontId="0" fillId="0" borderId="1" xfId="0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0" fontId="6" fillId="5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left"/>
    </xf>
    <xf numFmtId="0" fontId="0" fillId="0" borderId="14" xfId="0" applyBorder="1"/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/>
    </xf>
    <xf numFmtId="0" fontId="0" fillId="8" borderId="18" xfId="0" applyFill="1" applyBorder="1"/>
    <xf numFmtId="0" fontId="3" fillId="3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165" fontId="5" fillId="3" borderId="0" xfId="0" applyNumberFormat="1" applyFont="1" applyFill="1" applyAlignment="1">
      <alignment horizontal="left" vertical="center"/>
    </xf>
    <xf numFmtId="0" fontId="7" fillId="3" borderId="0" xfId="1" applyNumberFormat="1" applyFill="1" applyAlignment="1" applyProtection="1">
      <alignment vertical="center"/>
    </xf>
    <xf numFmtId="0" fontId="4" fillId="3" borderId="17" xfId="0" applyFont="1" applyFill="1" applyBorder="1" applyAlignment="1">
      <alignment horizontal="left" vertical="center"/>
    </xf>
    <xf numFmtId="0" fontId="6" fillId="5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8" borderId="6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6" fillId="8" borderId="30" xfId="0" applyFont="1" applyFill="1" applyBorder="1" applyAlignment="1">
      <alignment vertical="center"/>
    </xf>
    <xf numFmtId="0" fontId="6" fillId="8" borderId="15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8" borderId="31" xfId="0" applyFont="1" applyFill="1" applyBorder="1" applyAlignment="1">
      <alignment vertical="center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12" fillId="0" borderId="3" xfId="0" applyFont="1" applyBorder="1"/>
    <xf numFmtId="0" fontId="6" fillId="2" borderId="0" xfId="0" applyFont="1" applyFill="1" applyAlignment="1">
      <alignment vertical="center"/>
    </xf>
    <xf numFmtId="0" fontId="3" fillId="3" borderId="3" xfId="0" quotePrefix="1" applyFont="1" applyFill="1" applyBorder="1" applyAlignment="1">
      <alignment vertical="center"/>
    </xf>
    <xf numFmtId="0" fontId="4" fillId="3" borderId="0" xfId="0" quotePrefix="1" applyFont="1" applyFill="1" applyAlignment="1">
      <alignment horizontal="left" vertical="center"/>
    </xf>
    <xf numFmtId="165" fontId="5" fillId="3" borderId="0" xfId="0" quotePrefix="1" applyNumberFormat="1" applyFont="1" applyFill="1" applyAlignment="1">
      <alignment horizontal="left" vertical="center"/>
    </xf>
    <xf numFmtId="0" fontId="9" fillId="0" borderId="32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4" fillId="5" borderId="9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6" borderId="6" xfId="0" applyFont="1" applyFill="1" applyBorder="1" applyAlignment="1">
      <alignment horizontal="left" vertical="center"/>
    </xf>
    <xf numFmtId="0" fontId="15" fillId="6" borderId="21" xfId="0" applyFont="1" applyFill="1" applyBorder="1" applyAlignment="1">
      <alignment horizontal="left" vertical="center"/>
    </xf>
    <xf numFmtId="49" fontId="15" fillId="5" borderId="5" xfId="0" applyNumberFormat="1" applyFont="1" applyFill="1" applyBorder="1" applyAlignment="1">
      <alignment horizontal="left" vertical="center" wrapText="1"/>
    </xf>
    <xf numFmtId="49" fontId="15" fillId="4" borderId="5" xfId="0" applyNumberFormat="1" applyFont="1" applyFill="1" applyBorder="1" applyAlignment="1">
      <alignment horizontal="left" vertical="center" wrapText="1"/>
    </xf>
    <xf numFmtId="166" fontId="15" fillId="4" borderId="25" xfId="0" applyNumberFormat="1" applyFont="1" applyFill="1" applyBorder="1" applyAlignment="1">
      <alignment horizontal="left" vertical="center" wrapText="1"/>
    </xf>
    <xf numFmtId="166" fontId="15" fillId="6" borderId="5" xfId="0" applyNumberFormat="1" applyFont="1" applyFill="1" applyBorder="1" applyAlignment="1">
      <alignment horizontal="left" vertical="center" wrapText="1"/>
    </xf>
    <xf numFmtId="166" fontId="15" fillId="6" borderId="25" xfId="0" applyNumberFormat="1" applyFont="1" applyFill="1" applyBorder="1" applyAlignment="1">
      <alignment horizontal="left" vertical="center" wrapText="1"/>
    </xf>
    <xf numFmtId="0" fontId="15" fillId="5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left" vertical="center"/>
    </xf>
    <xf numFmtId="0" fontId="15" fillId="6" borderId="0" xfId="0" applyFont="1" applyFill="1" applyBorder="1" applyAlignment="1">
      <alignment horizontal="left" vertical="center"/>
    </xf>
    <xf numFmtId="0" fontId="15" fillId="6" borderId="23" xfId="0" applyFont="1" applyFill="1" applyBorder="1" applyAlignment="1">
      <alignment horizontal="left" vertical="center"/>
    </xf>
    <xf numFmtId="166" fontId="15" fillId="4" borderId="5" xfId="0" applyNumberFormat="1" applyFont="1" applyFill="1" applyBorder="1" applyAlignment="1">
      <alignment horizontal="left" vertical="center" wrapText="1"/>
    </xf>
    <xf numFmtId="49" fontId="15" fillId="6" borderId="5" xfId="0" applyNumberFormat="1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15" fillId="0" borderId="11" xfId="0" applyNumberFormat="1" applyFont="1" applyFill="1" applyBorder="1" applyAlignment="1">
      <alignment horizontal="left" vertical="center" wrapText="1"/>
    </xf>
    <xf numFmtId="49" fontId="15" fillId="0" borderId="5" xfId="0" applyNumberFormat="1" applyFont="1" applyFill="1" applyBorder="1" applyAlignment="1">
      <alignment horizontal="left" vertical="center" wrapText="1"/>
    </xf>
    <xf numFmtId="1" fontId="15" fillId="0" borderId="5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/>
    </xf>
    <xf numFmtId="49" fontId="16" fillId="0" borderId="0" xfId="0" applyNumberFormat="1" applyFont="1"/>
    <xf numFmtId="49" fontId="17" fillId="0" borderId="3" xfId="0" applyNumberFormat="1" applyFont="1" applyBorder="1"/>
    <xf numFmtId="0" fontId="9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164" fontId="8" fillId="3" borderId="42" xfId="0" applyNumberFormat="1" applyFont="1" applyFill="1" applyBorder="1" applyAlignment="1">
      <alignment horizontal="center"/>
    </xf>
    <xf numFmtId="164" fontId="8" fillId="3" borderId="43" xfId="0" applyNumberFormat="1" applyFont="1" applyFill="1" applyBorder="1" applyAlignment="1">
      <alignment horizontal="center"/>
    </xf>
    <xf numFmtId="164" fontId="8" fillId="3" borderId="44" xfId="0" applyNumberFormat="1" applyFont="1" applyFill="1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horizontal="left" vertical="center"/>
    </xf>
    <xf numFmtId="0" fontId="15" fillId="5" borderId="25" xfId="0" applyFont="1" applyFill="1" applyBorder="1" applyAlignment="1">
      <alignment horizontal="left" vertical="center"/>
    </xf>
    <xf numFmtId="1" fontId="15" fillId="0" borderId="6" xfId="0" applyNumberFormat="1" applyFont="1" applyFill="1" applyBorder="1" applyAlignment="1">
      <alignment horizontal="left" vertical="center"/>
    </xf>
    <xf numFmtId="0" fontId="18" fillId="0" borderId="3" xfId="0" applyFont="1" applyBorder="1" applyAlignment="1">
      <alignment wrapText="1"/>
    </xf>
    <xf numFmtId="0" fontId="13" fillId="8" borderId="1" xfId="0" applyFont="1" applyFill="1" applyBorder="1"/>
    <xf numFmtId="0" fontId="19" fillId="0" borderId="33" xfId="0" applyFont="1" applyBorder="1" applyAlignment="1">
      <alignment horizontal="center" vertical="center"/>
    </xf>
    <xf numFmtId="0" fontId="15" fillId="5" borderId="20" xfId="0" applyFont="1" applyFill="1" applyBorder="1" applyAlignment="1">
      <alignment horizontal="left" vertical="center"/>
    </xf>
    <xf numFmtId="0" fontId="15" fillId="5" borderId="22" xfId="0" applyFont="1" applyFill="1" applyBorder="1" applyAlignment="1">
      <alignment horizontal="left" vertical="center"/>
    </xf>
    <xf numFmtId="49" fontId="15" fillId="5" borderId="24" xfId="0" applyNumberFormat="1" applyFont="1" applyFill="1" applyBorder="1" applyAlignment="1">
      <alignment horizontal="left" vertical="center" wrapText="1"/>
    </xf>
    <xf numFmtId="0" fontId="15" fillId="4" borderId="23" xfId="0" applyFont="1" applyFill="1" applyBorder="1" applyAlignment="1">
      <alignment horizontal="left" vertical="center"/>
    </xf>
    <xf numFmtId="1" fontId="4" fillId="0" borderId="3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6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268951</xdr:colOff>
      <xdr:row>1</xdr:row>
      <xdr:rowOff>168176</xdr:rowOff>
    </xdr:from>
    <xdr:to>
      <xdr:col>2</xdr:col>
      <xdr:colOff>2569852</xdr:colOff>
      <xdr:row>4</xdr:row>
      <xdr:rowOff>78432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FFA48D0-0B24-499B-DE4A-DC1E57539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06" y="341358"/>
          <a:ext cx="3807582" cy="602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traelectroni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3"/>
  <sheetViews>
    <sheetView tabSelected="1" zoomScale="55" zoomScaleNormal="55" workbookViewId="0">
      <selection activeCell="T56" sqref="T56"/>
    </sheetView>
  </sheetViews>
  <sheetFormatPr defaultColWidth="9.140625" defaultRowHeight="12.75" x14ac:dyDescent="0.2"/>
  <cols>
    <col min="1" max="1" width="3.5703125" customWidth="1"/>
    <col min="2" max="2" width="22.5703125" customWidth="1"/>
    <col min="3" max="3" width="41.5703125" customWidth="1"/>
    <col min="4" max="4" width="7.42578125" customWidth="1"/>
    <col min="5" max="5" width="25.85546875" customWidth="1"/>
    <col min="6" max="6" width="25.5703125" customWidth="1"/>
    <col min="7" max="7" width="8.5703125" bestFit="1" customWidth="1"/>
    <col min="8" max="8" width="18.140625" customWidth="1"/>
    <col min="9" max="9" width="7.5703125" bestFit="1" customWidth="1"/>
    <col min="10" max="10" width="20" bestFit="1" customWidth="1"/>
    <col min="11" max="11" width="33.42578125" bestFit="1" customWidth="1"/>
    <col min="12" max="12" width="10.7109375" bestFit="1" customWidth="1"/>
    <col min="13" max="13" width="9.5703125" bestFit="1" customWidth="1"/>
    <col min="14" max="14" width="27.7109375" bestFit="1" customWidth="1"/>
    <col min="15" max="15" width="35.7109375" customWidth="1"/>
    <col min="16" max="16" width="10.7109375" bestFit="1" customWidth="1"/>
    <col min="17" max="17" width="19" bestFit="1" customWidth="1"/>
    <col min="18" max="18" width="27.7109375" bestFit="1" customWidth="1"/>
    <col min="19" max="19" width="23" bestFit="1" customWidth="1"/>
    <col min="20" max="20" width="34.7109375" bestFit="1" customWidth="1"/>
    <col min="21" max="21" width="37.140625" bestFit="1" customWidth="1"/>
  </cols>
  <sheetData>
    <row r="1" spans="1:21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2"/>
    </row>
    <row r="2" spans="1:21" ht="30" x14ac:dyDescent="0.2">
      <c r="A2" s="1"/>
      <c r="B2" s="18"/>
      <c r="C2" s="25"/>
      <c r="D2" s="26" t="s">
        <v>331</v>
      </c>
      <c r="E2" s="26"/>
      <c r="F2" s="4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4"/>
    </row>
    <row r="3" spans="1:21" x14ac:dyDescent="0.2">
      <c r="A3" s="1"/>
      <c r="B3" s="27"/>
      <c r="C3" s="28"/>
      <c r="D3" s="28" t="s">
        <v>0</v>
      </c>
      <c r="E3" s="28"/>
      <c r="F3" s="50" t="s">
        <v>29</v>
      </c>
      <c r="G3" s="29"/>
      <c r="H3" s="29"/>
      <c r="I3" s="30"/>
      <c r="J3" s="30"/>
      <c r="K3" s="4"/>
      <c r="L3" s="4"/>
      <c r="M3" s="4"/>
      <c r="N3" s="4"/>
      <c r="O3" s="4"/>
      <c r="P3" s="4"/>
      <c r="Q3" s="4"/>
      <c r="R3" s="4"/>
      <c r="S3" s="4"/>
      <c r="T3" s="4"/>
      <c r="U3" s="15"/>
    </row>
    <row r="4" spans="1:21" x14ac:dyDescent="0.2">
      <c r="A4" s="1"/>
      <c r="B4" s="27"/>
      <c r="C4" s="28"/>
      <c r="D4" s="28" t="s">
        <v>1</v>
      </c>
      <c r="E4" s="28"/>
      <c r="F4" s="50" t="s">
        <v>30</v>
      </c>
      <c r="G4" s="29"/>
      <c r="H4" s="29"/>
      <c r="I4" s="30"/>
      <c r="J4" s="30"/>
      <c r="K4" s="4"/>
      <c r="L4" s="4"/>
      <c r="M4" s="4"/>
      <c r="N4" s="4"/>
      <c r="O4" s="4"/>
      <c r="P4" s="4"/>
      <c r="Q4" s="4"/>
      <c r="R4" s="4"/>
      <c r="S4" s="4"/>
      <c r="T4" s="4"/>
      <c r="U4" s="15"/>
    </row>
    <row r="5" spans="1:21" x14ac:dyDescent="0.2">
      <c r="A5" s="1"/>
      <c r="B5" s="27"/>
      <c r="C5" s="28"/>
      <c r="D5" s="31" t="s">
        <v>2</v>
      </c>
      <c r="E5" s="31"/>
      <c r="F5" s="51" t="s">
        <v>31</v>
      </c>
      <c r="G5" s="51" t="s">
        <v>32</v>
      </c>
      <c r="H5" s="32"/>
      <c r="I5" s="30"/>
      <c r="J5" s="30"/>
      <c r="K5" s="4"/>
      <c r="L5" s="4"/>
      <c r="M5" s="4"/>
      <c r="N5" s="4"/>
      <c r="O5" s="4"/>
      <c r="P5" s="4"/>
      <c r="Q5" s="4"/>
      <c r="R5" s="4"/>
      <c r="S5" s="4"/>
      <c r="T5" s="4"/>
      <c r="U5" s="15"/>
    </row>
    <row r="6" spans="1:21" x14ac:dyDescent="0.2">
      <c r="A6" s="1"/>
      <c r="B6" s="27"/>
      <c r="C6" s="33" t="s">
        <v>3</v>
      </c>
      <c r="D6" s="31"/>
      <c r="E6" s="31"/>
      <c r="F6" s="31"/>
      <c r="G6" s="32"/>
      <c r="H6" s="32"/>
      <c r="I6" s="30"/>
      <c r="J6" s="30"/>
      <c r="K6" s="4"/>
      <c r="L6" s="4"/>
      <c r="M6" s="4"/>
      <c r="N6" s="4"/>
      <c r="O6" s="4"/>
      <c r="P6" s="4"/>
      <c r="Q6" s="4"/>
      <c r="R6" s="4"/>
      <c r="S6" s="4"/>
      <c r="T6" s="4"/>
      <c r="U6" s="15"/>
    </row>
    <row r="7" spans="1:21" x14ac:dyDescent="0.2">
      <c r="A7" s="1"/>
      <c r="B7" s="27"/>
      <c r="C7" s="28" t="s">
        <v>4</v>
      </c>
      <c r="D7" s="31"/>
      <c r="E7" s="31"/>
      <c r="F7" s="31"/>
      <c r="G7" s="32"/>
      <c r="H7" s="32"/>
      <c r="I7" s="30"/>
      <c r="J7" s="30"/>
      <c r="K7" s="4"/>
      <c r="L7" s="4"/>
      <c r="M7" s="4"/>
      <c r="N7" s="4"/>
      <c r="O7" s="4"/>
      <c r="P7" s="4"/>
      <c r="Q7" s="4"/>
      <c r="R7" s="4"/>
      <c r="S7" s="4"/>
      <c r="T7" s="4"/>
      <c r="U7" s="15"/>
    </row>
    <row r="8" spans="1:21" x14ac:dyDescent="0.2">
      <c r="A8" s="1"/>
      <c r="B8" s="27"/>
      <c r="C8" s="28" t="s">
        <v>5</v>
      </c>
      <c r="D8" s="31"/>
      <c r="E8" s="31"/>
      <c r="F8" s="31"/>
      <c r="G8" s="32"/>
      <c r="H8" s="32"/>
      <c r="I8" s="30"/>
      <c r="J8" s="30"/>
      <c r="K8" s="4"/>
      <c r="L8" s="4"/>
      <c r="M8" s="4"/>
      <c r="N8" s="4"/>
      <c r="O8" s="4"/>
      <c r="P8" s="4"/>
      <c r="Q8" s="4"/>
      <c r="R8" s="4"/>
      <c r="S8" s="4"/>
      <c r="T8" s="4"/>
      <c r="U8" s="15"/>
    </row>
    <row r="9" spans="1:21" x14ac:dyDescent="0.2">
      <c r="A9" s="1"/>
      <c r="B9" s="27"/>
      <c r="C9" s="28" t="s">
        <v>6</v>
      </c>
      <c r="D9" s="31"/>
      <c r="E9" s="31"/>
      <c r="F9" s="31"/>
      <c r="G9" s="32"/>
      <c r="H9" s="32"/>
      <c r="I9" s="30"/>
      <c r="J9" s="30"/>
      <c r="K9" s="4"/>
      <c r="L9" s="4"/>
      <c r="M9" s="4"/>
      <c r="N9" s="4"/>
      <c r="O9" s="4"/>
      <c r="P9" s="4"/>
      <c r="Q9" s="4"/>
      <c r="R9" s="4"/>
      <c r="S9" s="4"/>
      <c r="T9" s="4"/>
      <c r="U9" s="15"/>
    </row>
    <row r="10" spans="1:21" x14ac:dyDescent="0.2">
      <c r="A10" s="1"/>
      <c r="B10" s="27"/>
      <c r="C10" s="37" t="s">
        <v>7</v>
      </c>
      <c r="D10" s="31"/>
      <c r="E10" s="31"/>
      <c r="F10" s="31"/>
      <c r="G10" s="29"/>
      <c r="H10" s="29"/>
      <c r="I10" s="34"/>
      <c r="J10" s="34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13.5" thickBot="1" x14ac:dyDescent="0.25">
      <c r="A11" s="1"/>
      <c r="B11" s="43"/>
      <c r="C11" s="39"/>
      <c r="D11" s="39"/>
      <c r="E11" s="39"/>
      <c r="F11" s="39"/>
      <c r="G11" s="39"/>
      <c r="H11" s="40"/>
      <c r="I11" s="82"/>
      <c r="J11" s="82"/>
      <c r="K11" s="82"/>
      <c r="L11" s="82"/>
      <c r="M11" s="87"/>
      <c r="N11" s="88"/>
      <c r="O11" s="88"/>
      <c r="P11" s="92"/>
      <c r="Q11" s="19"/>
      <c r="R11" s="19"/>
      <c r="S11" s="19"/>
      <c r="T11" s="19"/>
      <c r="U11" s="20"/>
    </row>
    <row r="12" spans="1:21" ht="24" thickTop="1" x14ac:dyDescent="0.35">
      <c r="A12" s="1"/>
      <c r="B12" s="44"/>
      <c r="C12" s="41"/>
      <c r="D12" s="41"/>
      <c r="E12" s="41"/>
      <c r="F12" s="41"/>
      <c r="G12" s="41"/>
      <c r="H12" s="42"/>
      <c r="I12" s="85" t="s">
        <v>12</v>
      </c>
      <c r="J12" s="52"/>
      <c r="K12" s="52"/>
      <c r="L12" s="86"/>
      <c r="M12" s="89" t="s">
        <v>13</v>
      </c>
      <c r="N12" s="90"/>
      <c r="O12" s="90"/>
      <c r="P12" s="91"/>
      <c r="Q12" s="54" t="s">
        <v>14</v>
      </c>
      <c r="R12" s="55"/>
      <c r="S12" s="55"/>
      <c r="T12" s="56"/>
      <c r="U12" s="99" t="s">
        <v>329</v>
      </c>
    </row>
    <row r="13" spans="1:21" x14ac:dyDescent="0.2">
      <c r="A13" s="1"/>
      <c r="B13" s="38" t="s">
        <v>33</v>
      </c>
      <c r="C13" s="36" t="s">
        <v>8</v>
      </c>
      <c r="D13" s="36" t="s">
        <v>27</v>
      </c>
      <c r="E13" s="36" t="s">
        <v>9</v>
      </c>
      <c r="F13" s="36" t="s">
        <v>10</v>
      </c>
      <c r="G13" s="36" t="s">
        <v>11</v>
      </c>
      <c r="H13" s="48" t="s">
        <v>28</v>
      </c>
      <c r="I13" s="35" t="s">
        <v>156</v>
      </c>
      <c r="J13" s="10" t="s">
        <v>15</v>
      </c>
      <c r="K13" s="17" t="s">
        <v>16</v>
      </c>
      <c r="L13" s="57" t="s">
        <v>322</v>
      </c>
      <c r="M13" s="9" t="s">
        <v>17</v>
      </c>
      <c r="N13" s="9" t="s">
        <v>18</v>
      </c>
      <c r="O13" s="9" t="s">
        <v>19</v>
      </c>
      <c r="P13" s="58" t="s">
        <v>322</v>
      </c>
      <c r="Q13" s="11" t="s">
        <v>20</v>
      </c>
      <c r="R13" s="11" t="s">
        <v>21</v>
      </c>
      <c r="S13" s="11" t="s">
        <v>22</v>
      </c>
      <c r="T13" s="11" t="s">
        <v>23</v>
      </c>
      <c r="U13" s="53"/>
    </row>
    <row r="14" spans="1:21" ht="12.75" hidden="1" customHeight="1" x14ac:dyDescent="0.2">
      <c r="A14" s="3"/>
      <c r="B14" s="21" t="s">
        <v>34</v>
      </c>
      <c r="C14" s="21"/>
      <c r="D14" s="22"/>
      <c r="E14" s="22"/>
      <c r="F14" s="22" t="s">
        <v>133</v>
      </c>
      <c r="G14" s="22">
        <v>1</v>
      </c>
      <c r="H14" s="22"/>
      <c r="I14" s="10"/>
      <c r="J14" s="10"/>
      <c r="K14" s="17"/>
      <c r="L14" s="93"/>
      <c r="M14" s="9"/>
      <c r="N14" s="9"/>
      <c r="O14" s="9"/>
      <c r="P14" s="9"/>
      <c r="Q14" s="11"/>
      <c r="R14" s="11"/>
      <c r="S14" s="11"/>
      <c r="T14" s="11"/>
      <c r="U14" s="13"/>
    </row>
    <row r="15" spans="1:21" x14ac:dyDescent="0.2">
      <c r="A15" s="3"/>
      <c r="B15" s="75" t="s">
        <v>35</v>
      </c>
      <c r="C15" s="76" t="s">
        <v>69</v>
      </c>
      <c r="D15" s="76" t="s">
        <v>100</v>
      </c>
      <c r="E15" s="76" t="s">
        <v>115</v>
      </c>
      <c r="F15" s="76" t="s">
        <v>134</v>
      </c>
      <c r="G15" s="96">
        <v>6</v>
      </c>
      <c r="H15" s="76"/>
      <c r="I15" s="100" t="s">
        <v>157</v>
      </c>
      <c r="J15" s="59" t="s">
        <v>158</v>
      </c>
      <c r="K15" s="59" t="s">
        <v>189</v>
      </c>
      <c r="L15" s="94">
        <f>10*0.039</f>
        <v>0.39</v>
      </c>
      <c r="M15" s="60" t="s">
        <v>220</v>
      </c>
      <c r="N15" s="60" t="s">
        <v>225</v>
      </c>
      <c r="O15" s="60" t="s">
        <v>250</v>
      </c>
      <c r="P15" s="61">
        <f>G15*0.08</f>
        <v>0.48</v>
      </c>
      <c r="Q15" s="62" t="s">
        <v>274</v>
      </c>
      <c r="R15" s="62" t="s">
        <v>293</v>
      </c>
      <c r="S15" s="62" t="s">
        <v>157</v>
      </c>
      <c r="T15" s="63" t="s">
        <v>303</v>
      </c>
      <c r="U15" s="98" t="s">
        <v>332</v>
      </c>
    </row>
    <row r="16" spans="1:21" x14ac:dyDescent="0.2">
      <c r="A16" s="3"/>
      <c r="B16" s="77" t="s">
        <v>36</v>
      </c>
      <c r="C16" s="78" t="s">
        <v>70</v>
      </c>
      <c r="D16" s="78" t="s">
        <v>101</v>
      </c>
      <c r="E16" s="78" t="s">
        <v>116</v>
      </c>
      <c r="F16" s="78" t="s">
        <v>135</v>
      </c>
      <c r="G16" s="78">
        <v>1</v>
      </c>
      <c r="H16" s="78"/>
      <c r="I16" s="101" t="s">
        <v>157</v>
      </c>
      <c r="J16" s="69" t="s">
        <v>159</v>
      </c>
      <c r="K16" s="69" t="s">
        <v>190</v>
      </c>
      <c r="L16" s="94">
        <f>0.276*10</f>
        <v>2.7600000000000002</v>
      </c>
      <c r="M16" s="70" t="s">
        <v>220</v>
      </c>
      <c r="N16" s="70" t="s">
        <v>226</v>
      </c>
      <c r="O16" s="70" t="s">
        <v>251</v>
      </c>
      <c r="P16" s="103">
        <f>G16*0.53</f>
        <v>0.53</v>
      </c>
      <c r="Q16" s="71" t="s">
        <v>275</v>
      </c>
      <c r="R16" s="71" t="s">
        <v>294</v>
      </c>
      <c r="S16" s="71" t="s">
        <v>157</v>
      </c>
      <c r="T16" s="72" t="s">
        <v>304</v>
      </c>
      <c r="U16" s="98" t="s">
        <v>332</v>
      </c>
    </row>
    <row r="17" spans="1:21" x14ac:dyDescent="0.2">
      <c r="A17" s="3"/>
      <c r="B17" s="77" t="s">
        <v>37</v>
      </c>
      <c r="C17" s="78" t="s">
        <v>71</v>
      </c>
      <c r="D17" s="78" t="s">
        <v>101</v>
      </c>
      <c r="E17" s="78" t="s">
        <v>117</v>
      </c>
      <c r="F17" s="78" t="s">
        <v>136</v>
      </c>
      <c r="G17" s="78">
        <v>1</v>
      </c>
      <c r="H17" s="78"/>
      <c r="I17" s="101" t="s">
        <v>157</v>
      </c>
      <c r="J17" s="69" t="s">
        <v>160</v>
      </c>
      <c r="K17" s="69" t="s">
        <v>191</v>
      </c>
      <c r="L17" s="94">
        <f>0</f>
        <v>0</v>
      </c>
      <c r="M17" s="70" t="s">
        <v>220</v>
      </c>
      <c r="N17" s="70" t="s">
        <v>227</v>
      </c>
      <c r="O17" s="70" t="s">
        <v>252</v>
      </c>
      <c r="P17" s="103">
        <f>G17*0.24</f>
        <v>0.24</v>
      </c>
      <c r="Q17" s="71" t="s">
        <v>276</v>
      </c>
      <c r="R17" s="71" t="s">
        <v>295</v>
      </c>
      <c r="S17" s="71" t="s">
        <v>157</v>
      </c>
      <c r="T17" s="72" t="s">
        <v>305</v>
      </c>
      <c r="U17" s="98" t="s">
        <v>332</v>
      </c>
    </row>
    <row r="18" spans="1:21" x14ac:dyDescent="0.2">
      <c r="A18" s="3"/>
      <c r="B18" s="77" t="s">
        <v>38</v>
      </c>
      <c r="C18" s="78" t="s">
        <v>72</v>
      </c>
      <c r="D18" s="78" t="s">
        <v>102</v>
      </c>
      <c r="E18" s="78" t="s">
        <v>118</v>
      </c>
      <c r="F18" s="78" t="s">
        <v>134</v>
      </c>
      <c r="G18" s="78">
        <v>1</v>
      </c>
      <c r="H18" s="78"/>
      <c r="I18" s="101" t="s">
        <v>157</v>
      </c>
      <c r="J18" s="69" t="s">
        <v>161</v>
      </c>
      <c r="K18" s="69" t="s">
        <v>192</v>
      </c>
      <c r="L18" s="94">
        <f>0.0047*10</f>
        <v>4.7E-2</v>
      </c>
      <c r="M18" s="70" t="s">
        <v>220</v>
      </c>
      <c r="N18" s="70" t="s">
        <v>228</v>
      </c>
      <c r="O18" s="70" t="s">
        <v>253</v>
      </c>
      <c r="P18" s="103">
        <f>G18*0.08</f>
        <v>0.08</v>
      </c>
      <c r="Q18" s="71" t="s">
        <v>277</v>
      </c>
      <c r="R18" s="71" t="s">
        <v>296</v>
      </c>
      <c r="S18" s="71" t="s">
        <v>157</v>
      </c>
      <c r="T18" s="72" t="s">
        <v>306</v>
      </c>
      <c r="U18" s="98" t="s">
        <v>332</v>
      </c>
    </row>
    <row r="19" spans="1:21" x14ac:dyDescent="0.2">
      <c r="A19" s="3"/>
      <c r="B19" s="77" t="s">
        <v>39</v>
      </c>
      <c r="C19" s="78" t="s">
        <v>73</v>
      </c>
      <c r="D19" s="78" t="s">
        <v>103</v>
      </c>
      <c r="E19" s="78" t="s">
        <v>115</v>
      </c>
      <c r="F19" s="78" t="s">
        <v>137</v>
      </c>
      <c r="G19" s="78">
        <v>1</v>
      </c>
      <c r="H19" s="78"/>
      <c r="I19" s="101" t="s">
        <v>157</v>
      </c>
      <c r="J19" s="69" t="s">
        <v>162</v>
      </c>
      <c r="K19" s="69" t="s">
        <v>193</v>
      </c>
      <c r="L19" s="94">
        <f>0.024*10</f>
        <v>0.24</v>
      </c>
      <c r="M19" s="70" t="s">
        <v>220</v>
      </c>
      <c r="N19" s="70" t="s">
        <v>229</v>
      </c>
      <c r="O19" s="70" t="s">
        <v>254</v>
      </c>
      <c r="P19" s="103">
        <f>G19*0.08</f>
        <v>0.08</v>
      </c>
      <c r="Q19" s="71" t="s">
        <v>278</v>
      </c>
      <c r="R19" s="71" t="s">
        <v>121</v>
      </c>
      <c r="S19" s="71" t="s">
        <v>157</v>
      </c>
      <c r="T19" s="72" t="s">
        <v>307</v>
      </c>
      <c r="U19" s="98" t="s">
        <v>332</v>
      </c>
    </row>
    <row r="20" spans="1:21" x14ac:dyDescent="0.2">
      <c r="A20" s="3"/>
      <c r="B20" s="77" t="s">
        <v>40</v>
      </c>
      <c r="C20" s="78" t="s">
        <v>74</v>
      </c>
      <c r="D20" s="78"/>
      <c r="E20" s="78" t="s">
        <v>119</v>
      </c>
      <c r="F20" s="78" t="s">
        <v>138</v>
      </c>
      <c r="G20" s="78">
        <v>2</v>
      </c>
      <c r="H20" s="78"/>
      <c r="I20" s="101" t="s">
        <v>157</v>
      </c>
      <c r="J20" s="69" t="s">
        <v>163</v>
      </c>
      <c r="K20" s="69" t="s">
        <v>194</v>
      </c>
      <c r="L20" s="94">
        <f>0.159*5</f>
        <v>0.79500000000000004</v>
      </c>
      <c r="M20" s="70" t="s">
        <v>220</v>
      </c>
      <c r="N20" s="70" t="s">
        <v>230</v>
      </c>
      <c r="O20" s="70" t="s">
        <v>255</v>
      </c>
      <c r="P20" s="103">
        <f>G20*0.16</f>
        <v>0.32</v>
      </c>
      <c r="Q20" s="71" t="s">
        <v>279</v>
      </c>
      <c r="R20" s="71" t="s">
        <v>297</v>
      </c>
      <c r="S20" s="71" t="s">
        <v>157</v>
      </c>
      <c r="T20" s="72" t="s">
        <v>308</v>
      </c>
      <c r="U20" s="98" t="s">
        <v>332</v>
      </c>
    </row>
    <row r="21" spans="1:21" x14ac:dyDescent="0.2">
      <c r="A21" s="3"/>
      <c r="B21" s="77" t="s">
        <v>41</v>
      </c>
      <c r="C21" s="78" t="s">
        <v>75</v>
      </c>
      <c r="D21" s="78"/>
      <c r="E21" s="78" t="s">
        <v>120</v>
      </c>
      <c r="F21" s="78" t="s">
        <v>139</v>
      </c>
      <c r="G21" s="78">
        <v>1</v>
      </c>
      <c r="H21" s="78"/>
      <c r="I21" s="101" t="s">
        <v>157</v>
      </c>
      <c r="J21" s="69" t="s">
        <v>164</v>
      </c>
      <c r="K21" s="69" t="s">
        <v>195</v>
      </c>
      <c r="L21" s="94">
        <f>0.0848*5</f>
        <v>0.42399999999999999</v>
      </c>
      <c r="M21" s="70" t="s">
        <v>221</v>
      </c>
      <c r="N21" s="70" t="s">
        <v>231</v>
      </c>
      <c r="O21" s="70" t="s">
        <v>256</v>
      </c>
      <c r="P21" s="103">
        <f>100*0.148</f>
        <v>14.799999999999999</v>
      </c>
      <c r="Q21" s="71"/>
      <c r="R21" s="71"/>
      <c r="S21" s="71"/>
      <c r="T21" s="72"/>
      <c r="U21" s="98" t="s">
        <v>332</v>
      </c>
    </row>
    <row r="22" spans="1:21" x14ac:dyDescent="0.2">
      <c r="A22" s="3"/>
      <c r="B22" s="77" t="s">
        <v>42</v>
      </c>
      <c r="C22" s="78" t="s">
        <v>76</v>
      </c>
      <c r="D22" s="78"/>
      <c r="E22" s="78" t="s">
        <v>121</v>
      </c>
      <c r="F22" s="78" t="s">
        <v>140</v>
      </c>
      <c r="G22" s="78">
        <v>1</v>
      </c>
      <c r="H22" s="78"/>
      <c r="I22" s="101" t="s">
        <v>157</v>
      </c>
      <c r="J22" s="69" t="s">
        <v>165</v>
      </c>
      <c r="K22" s="69" t="s">
        <v>196</v>
      </c>
      <c r="L22" s="94">
        <f>0.089*5</f>
        <v>0.44499999999999995</v>
      </c>
      <c r="M22" s="70"/>
      <c r="N22" s="70"/>
      <c r="O22" s="70"/>
      <c r="P22" s="103"/>
      <c r="Q22" s="71" t="s">
        <v>280</v>
      </c>
      <c r="R22" s="71" t="s">
        <v>126</v>
      </c>
      <c r="S22" s="71" t="s">
        <v>157</v>
      </c>
      <c r="T22" s="72" t="s">
        <v>309</v>
      </c>
      <c r="U22" s="98" t="s">
        <v>332</v>
      </c>
    </row>
    <row r="23" spans="1:21" x14ac:dyDescent="0.2">
      <c r="A23" s="3"/>
      <c r="B23" s="77" t="s">
        <v>43</v>
      </c>
      <c r="C23" s="78" t="s">
        <v>77</v>
      </c>
      <c r="D23" s="78"/>
      <c r="E23" s="78" t="s">
        <v>122</v>
      </c>
      <c r="F23" s="78" t="s">
        <v>141</v>
      </c>
      <c r="G23" s="78">
        <v>1</v>
      </c>
      <c r="H23" s="78"/>
      <c r="I23" s="101" t="s">
        <v>157</v>
      </c>
      <c r="J23" s="69" t="s">
        <v>166</v>
      </c>
      <c r="K23" s="69" t="s">
        <v>197</v>
      </c>
      <c r="L23" s="94">
        <f>0.0713*5</f>
        <v>0.35650000000000004</v>
      </c>
      <c r="M23" s="70"/>
      <c r="N23" s="70"/>
      <c r="O23" s="70"/>
      <c r="P23" s="103"/>
      <c r="Q23" s="71" t="s">
        <v>281</v>
      </c>
      <c r="R23" s="71" t="s">
        <v>298</v>
      </c>
      <c r="S23" s="71" t="s">
        <v>157</v>
      </c>
      <c r="T23" s="72" t="s">
        <v>310</v>
      </c>
      <c r="U23" s="98" t="s">
        <v>332</v>
      </c>
    </row>
    <row r="24" spans="1:21" x14ac:dyDescent="0.2">
      <c r="A24" s="3"/>
      <c r="B24" s="77" t="s">
        <v>44</v>
      </c>
      <c r="C24" s="78" t="s">
        <v>78</v>
      </c>
      <c r="D24" s="78"/>
      <c r="E24" s="78" t="s">
        <v>122</v>
      </c>
      <c r="F24" s="78" t="s">
        <v>142</v>
      </c>
      <c r="G24" s="78">
        <v>1</v>
      </c>
      <c r="H24" s="78"/>
      <c r="I24" s="101" t="s">
        <v>157</v>
      </c>
      <c r="J24" s="69" t="s">
        <v>167</v>
      </c>
      <c r="K24" s="69" t="s">
        <v>198</v>
      </c>
      <c r="L24" s="94">
        <f>G24*0.027</f>
        <v>2.7E-2</v>
      </c>
      <c r="M24" s="70"/>
      <c r="N24" s="70"/>
      <c r="O24" s="70"/>
      <c r="P24" s="103"/>
      <c r="Q24" s="71" t="s">
        <v>282</v>
      </c>
      <c r="R24" s="71" t="s">
        <v>121</v>
      </c>
      <c r="S24" s="71" t="s">
        <v>157</v>
      </c>
      <c r="T24" s="72" t="s">
        <v>311</v>
      </c>
      <c r="U24" s="98" t="s">
        <v>332</v>
      </c>
    </row>
    <row r="25" spans="1:21" x14ac:dyDescent="0.2">
      <c r="A25" s="3"/>
      <c r="B25" s="77" t="s">
        <v>45</v>
      </c>
      <c r="C25" s="78" t="s">
        <v>79</v>
      </c>
      <c r="D25" s="78"/>
      <c r="E25" s="78" t="s">
        <v>123</v>
      </c>
      <c r="F25" s="78" t="s">
        <v>143</v>
      </c>
      <c r="G25" s="78">
        <v>1</v>
      </c>
      <c r="H25" s="78"/>
      <c r="I25" s="101" t="s">
        <v>157</v>
      </c>
      <c r="J25" s="69" t="s">
        <v>168</v>
      </c>
      <c r="K25" s="69" t="s">
        <v>199</v>
      </c>
      <c r="L25" s="94">
        <f>G25*0.97</f>
        <v>0.97</v>
      </c>
      <c r="M25" s="70" t="s">
        <v>221</v>
      </c>
      <c r="N25" s="70" t="s">
        <v>232</v>
      </c>
      <c r="O25" s="70" t="s">
        <v>257</v>
      </c>
      <c r="P25" s="103">
        <f>5*0.754</f>
        <v>3.77</v>
      </c>
      <c r="Q25" s="71"/>
      <c r="R25" s="71"/>
      <c r="S25" s="71"/>
      <c r="T25" s="72"/>
      <c r="U25" s="98" t="s">
        <v>332</v>
      </c>
    </row>
    <row r="26" spans="1:21" x14ac:dyDescent="0.2">
      <c r="A26" s="3"/>
      <c r="B26" s="77" t="s">
        <v>46</v>
      </c>
      <c r="C26" s="78" t="s">
        <v>326</v>
      </c>
      <c r="D26" s="78"/>
      <c r="E26" s="78"/>
      <c r="F26" s="78" t="s">
        <v>144</v>
      </c>
      <c r="G26" s="78">
        <v>1</v>
      </c>
      <c r="H26" s="78" t="s">
        <v>330</v>
      </c>
      <c r="I26" s="101"/>
      <c r="J26" s="69"/>
      <c r="K26" s="69"/>
      <c r="L26" s="94">
        <v>0</v>
      </c>
      <c r="M26" s="70"/>
      <c r="N26" s="70"/>
      <c r="O26" s="70"/>
      <c r="P26" s="103"/>
      <c r="Q26" s="71"/>
      <c r="R26" s="71"/>
      <c r="S26" s="71"/>
      <c r="T26" s="72"/>
      <c r="U26" s="98"/>
    </row>
    <row r="27" spans="1:21" x14ac:dyDescent="0.2">
      <c r="A27" s="3"/>
      <c r="B27" s="77" t="s">
        <v>47</v>
      </c>
      <c r="C27" s="78" t="s">
        <v>326</v>
      </c>
      <c r="D27" s="78"/>
      <c r="E27" s="78"/>
      <c r="F27" s="78" t="s">
        <v>145</v>
      </c>
      <c r="G27" s="78">
        <v>1</v>
      </c>
      <c r="H27" s="78" t="s">
        <v>330</v>
      </c>
      <c r="I27" s="101"/>
      <c r="J27" s="69"/>
      <c r="K27" s="69"/>
      <c r="L27" s="94">
        <v>0</v>
      </c>
      <c r="M27" s="70"/>
      <c r="N27" s="70"/>
      <c r="O27" s="70"/>
      <c r="P27" s="103"/>
      <c r="Q27" s="71"/>
      <c r="R27" s="71"/>
      <c r="S27" s="71"/>
      <c r="T27" s="72"/>
      <c r="U27" s="98"/>
    </row>
    <row r="28" spans="1:21" x14ac:dyDescent="0.2">
      <c r="A28" s="3"/>
      <c r="B28" s="77" t="s">
        <v>48</v>
      </c>
      <c r="C28" s="78" t="s">
        <v>326</v>
      </c>
      <c r="D28" s="78"/>
      <c r="E28" s="78"/>
      <c r="F28" s="78" t="s">
        <v>146</v>
      </c>
      <c r="G28" s="78">
        <v>1</v>
      </c>
      <c r="H28" s="78" t="s">
        <v>330</v>
      </c>
      <c r="I28" s="101"/>
      <c r="J28" s="69"/>
      <c r="K28" s="69"/>
      <c r="L28" s="94">
        <v>0</v>
      </c>
      <c r="M28" s="70"/>
      <c r="N28" s="70"/>
      <c r="O28" s="70"/>
      <c r="P28" s="103"/>
      <c r="Q28" s="71"/>
      <c r="R28" s="71"/>
      <c r="S28" s="71"/>
      <c r="T28" s="72"/>
      <c r="U28" s="98"/>
    </row>
    <row r="29" spans="1:21" x14ac:dyDescent="0.2">
      <c r="A29" s="3"/>
      <c r="B29" s="77" t="s">
        <v>49</v>
      </c>
      <c r="C29" s="78" t="s">
        <v>80</v>
      </c>
      <c r="D29" s="78"/>
      <c r="E29" s="78" t="s">
        <v>124</v>
      </c>
      <c r="F29" s="78" t="s">
        <v>147</v>
      </c>
      <c r="G29" s="78">
        <v>1</v>
      </c>
      <c r="H29" s="78"/>
      <c r="I29" s="101" t="s">
        <v>157</v>
      </c>
      <c r="J29" s="69" t="s">
        <v>169</v>
      </c>
      <c r="K29" s="69" t="s">
        <v>200</v>
      </c>
      <c r="L29" s="94">
        <f>0.543*5</f>
        <v>2.7150000000000003</v>
      </c>
      <c r="M29" s="70" t="s">
        <v>220</v>
      </c>
      <c r="N29" s="70" t="s">
        <v>233</v>
      </c>
      <c r="O29" s="70" t="s">
        <v>258</v>
      </c>
      <c r="P29" s="103">
        <f>G29*1.04</f>
        <v>1.04</v>
      </c>
      <c r="Q29" s="71"/>
      <c r="R29" s="71"/>
      <c r="S29" s="71"/>
      <c r="T29" s="72"/>
      <c r="U29" s="98" t="s">
        <v>332</v>
      </c>
    </row>
    <row r="30" spans="1:21" x14ac:dyDescent="0.2">
      <c r="A30" s="3"/>
      <c r="B30" s="77" t="s">
        <v>50</v>
      </c>
      <c r="C30" s="78" t="s">
        <v>81</v>
      </c>
      <c r="D30" s="78"/>
      <c r="E30" s="78" t="s">
        <v>125</v>
      </c>
      <c r="F30" s="78" t="s">
        <v>148</v>
      </c>
      <c r="G30" s="78">
        <v>1</v>
      </c>
      <c r="H30" s="78"/>
      <c r="I30" s="101" t="s">
        <v>157</v>
      </c>
      <c r="J30" s="69" t="s">
        <v>170</v>
      </c>
      <c r="K30" s="69" t="s">
        <v>201</v>
      </c>
      <c r="L30" s="94">
        <f>G30*0.472</f>
        <v>0.47199999999999998</v>
      </c>
      <c r="M30" s="70" t="s">
        <v>222</v>
      </c>
      <c r="N30" s="70" t="s">
        <v>234</v>
      </c>
      <c r="O30" s="70" t="s">
        <v>259</v>
      </c>
      <c r="P30" s="103"/>
      <c r="Q30" s="71"/>
      <c r="R30" s="71"/>
      <c r="S30" s="71"/>
      <c r="T30" s="72"/>
      <c r="U30" s="98" t="s">
        <v>332</v>
      </c>
    </row>
    <row r="31" spans="1:21" x14ac:dyDescent="0.2">
      <c r="A31" s="3"/>
      <c r="B31" s="77" t="s">
        <v>51</v>
      </c>
      <c r="C31" s="78" t="s">
        <v>82</v>
      </c>
      <c r="D31" s="78"/>
      <c r="E31" s="78" t="s">
        <v>126</v>
      </c>
      <c r="F31" s="78" t="s">
        <v>149</v>
      </c>
      <c r="G31" s="78">
        <v>2</v>
      </c>
      <c r="H31" s="78"/>
      <c r="I31" s="101" t="s">
        <v>157</v>
      </c>
      <c r="J31" s="69" t="s">
        <v>171</v>
      </c>
      <c r="K31" s="69" t="s">
        <v>202</v>
      </c>
      <c r="L31" s="94">
        <f>0.359*5</f>
        <v>1.7949999999999999</v>
      </c>
      <c r="M31" s="70"/>
      <c r="N31" s="70"/>
      <c r="O31" s="70"/>
      <c r="P31" s="103"/>
      <c r="Q31" s="71" t="s">
        <v>283</v>
      </c>
      <c r="R31" s="71" t="s">
        <v>126</v>
      </c>
      <c r="S31" s="71" t="s">
        <v>157</v>
      </c>
      <c r="T31" s="72" t="s">
        <v>312</v>
      </c>
      <c r="U31" s="98" t="s">
        <v>332</v>
      </c>
    </row>
    <row r="32" spans="1:21" x14ac:dyDescent="0.2">
      <c r="A32" s="3"/>
      <c r="B32" s="77" t="s">
        <v>52</v>
      </c>
      <c r="C32" s="78" t="s">
        <v>83</v>
      </c>
      <c r="D32" s="78" t="s">
        <v>104</v>
      </c>
      <c r="E32" s="78" t="s">
        <v>122</v>
      </c>
      <c r="F32" s="78" t="s">
        <v>150</v>
      </c>
      <c r="G32" s="78">
        <v>5</v>
      </c>
      <c r="H32" s="78"/>
      <c r="I32" s="101" t="s">
        <v>157</v>
      </c>
      <c r="J32" s="69" t="s">
        <v>172</v>
      </c>
      <c r="K32" s="69" t="s">
        <v>203</v>
      </c>
      <c r="L32" s="94">
        <f>0.007*10</f>
        <v>7.0000000000000007E-2</v>
      </c>
      <c r="M32" s="70"/>
      <c r="N32" s="70"/>
      <c r="O32" s="70"/>
      <c r="P32" s="103"/>
      <c r="Q32" s="71" t="s">
        <v>284</v>
      </c>
      <c r="R32" s="71" t="s">
        <v>121</v>
      </c>
      <c r="S32" s="71" t="s">
        <v>157</v>
      </c>
      <c r="T32" s="72" t="s">
        <v>313</v>
      </c>
      <c r="U32" s="98" t="s">
        <v>332</v>
      </c>
    </row>
    <row r="33" spans="1:21" x14ac:dyDescent="0.2">
      <c r="A33" s="3"/>
      <c r="B33" s="77" t="s">
        <v>53</v>
      </c>
      <c r="C33" s="78" t="s">
        <v>84</v>
      </c>
      <c r="D33" s="78" t="s">
        <v>105</v>
      </c>
      <c r="E33" s="78" t="s">
        <v>127</v>
      </c>
      <c r="F33" s="78" t="s">
        <v>150</v>
      </c>
      <c r="G33" s="78">
        <v>7</v>
      </c>
      <c r="H33" s="78"/>
      <c r="I33" s="101" t="s">
        <v>157</v>
      </c>
      <c r="J33" s="69" t="s">
        <v>173</v>
      </c>
      <c r="K33" s="69" t="s">
        <v>204</v>
      </c>
      <c r="L33" s="94">
        <f>0.009*10</f>
        <v>0.09</v>
      </c>
      <c r="M33" s="70" t="s">
        <v>220</v>
      </c>
      <c r="N33" s="70" t="s">
        <v>235</v>
      </c>
      <c r="O33" s="70" t="s">
        <v>260</v>
      </c>
      <c r="P33" s="103">
        <f>G33*0.08</f>
        <v>0.56000000000000005</v>
      </c>
      <c r="Q33" s="71" t="s">
        <v>285</v>
      </c>
      <c r="R33" s="71" t="s">
        <v>299</v>
      </c>
      <c r="S33" s="71" t="s">
        <v>220</v>
      </c>
      <c r="T33" s="72" t="s">
        <v>314</v>
      </c>
      <c r="U33" s="98" t="s">
        <v>332</v>
      </c>
    </row>
    <row r="34" spans="1:21" x14ac:dyDescent="0.2">
      <c r="A34" s="3"/>
      <c r="B34" s="77" t="s">
        <v>54</v>
      </c>
      <c r="C34" s="78" t="s">
        <v>85</v>
      </c>
      <c r="D34" s="78" t="s">
        <v>106</v>
      </c>
      <c r="E34" s="78" t="s">
        <v>128</v>
      </c>
      <c r="F34" s="78" t="s">
        <v>151</v>
      </c>
      <c r="G34" s="78">
        <v>1</v>
      </c>
      <c r="H34" s="78"/>
      <c r="I34" s="101" t="s">
        <v>157</v>
      </c>
      <c r="J34" s="69" t="s">
        <v>174</v>
      </c>
      <c r="K34" s="69" t="s">
        <v>205</v>
      </c>
      <c r="L34" s="94">
        <f>0.06*10</f>
        <v>0.6</v>
      </c>
      <c r="M34" s="70" t="s">
        <v>222</v>
      </c>
      <c r="N34" s="70" t="s">
        <v>236</v>
      </c>
      <c r="O34" s="70" t="s">
        <v>261</v>
      </c>
      <c r="P34" s="103">
        <f>G34*0.12</f>
        <v>0.12</v>
      </c>
      <c r="Q34" s="71" t="s">
        <v>286</v>
      </c>
      <c r="R34" s="71" t="s">
        <v>300</v>
      </c>
      <c r="S34" s="71" t="s">
        <v>157</v>
      </c>
      <c r="T34" s="72" t="s">
        <v>315</v>
      </c>
      <c r="U34" s="98" t="s">
        <v>332</v>
      </c>
    </row>
    <row r="35" spans="1:21" x14ac:dyDescent="0.2">
      <c r="A35" s="3"/>
      <c r="B35" s="77" t="s">
        <v>55</v>
      </c>
      <c r="C35" s="78" t="s">
        <v>86</v>
      </c>
      <c r="D35" s="78" t="s">
        <v>107</v>
      </c>
      <c r="E35" s="78" t="s">
        <v>122</v>
      </c>
      <c r="F35" s="78" t="s">
        <v>150</v>
      </c>
      <c r="G35" s="78">
        <v>1</v>
      </c>
      <c r="H35" s="78"/>
      <c r="I35" s="101" t="s">
        <v>157</v>
      </c>
      <c r="J35" s="69" t="s">
        <v>175</v>
      </c>
      <c r="K35" s="69" t="s">
        <v>206</v>
      </c>
      <c r="L35" s="94">
        <f>0.011*10</f>
        <v>0.10999999999999999</v>
      </c>
      <c r="M35" s="70"/>
      <c r="N35" s="70"/>
      <c r="O35" s="70"/>
      <c r="P35" s="103"/>
      <c r="Q35" s="71" t="s">
        <v>287</v>
      </c>
      <c r="R35" s="71" t="s">
        <v>301</v>
      </c>
      <c r="S35" s="71" t="s">
        <v>157</v>
      </c>
      <c r="T35" s="72" t="s">
        <v>316</v>
      </c>
      <c r="U35" s="98" t="s">
        <v>332</v>
      </c>
    </row>
    <row r="36" spans="1:21" x14ac:dyDescent="0.2">
      <c r="A36" s="3"/>
      <c r="B36" s="77" t="s">
        <v>56</v>
      </c>
      <c r="C36" s="78" t="s">
        <v>87</v>
      </c>
      <c r="D36" s="78" t="s">
        <v>108</v>
      </c>
      <c r="E36" s="78" t="s">
        <v>124</v>
      </c>
      <c r="F36" s="78" t="s">
        <v>150</v>
      </c>
      <c r="G36" s="78">
        <v>1</v>
      </c>
      <c r="H36" s="78"/>
      <c r="I36" s="101" t="s">
        <v>157</v>
      </c>
      <c r="J36" s="69" t="s">
        <v>176</v>
      </c>
      <c r="K36" s="69" t="s">
        <v>207</v>
      </c>
      <c r="L36" s="94">
        <f>G36*0.0871</f>
        <v>8.7099999999999997E-2</v>
      </c>
      <c r="M36" s="70" t="s">
        <v>220</v>
      </c>
      <c r="N36" s="70" t="s">
        <v>237</v>
      </c>
      <c r="O36" s="70" t="s">
        <v>262</v>
      </c>
      <c r="P36" s="103">
        <f>G36*0.08</f>
        <v>0.08</v>
      </c>
      <c r="Q36" s="71"/>
      <c r="R36" s="71"/>
      <c r="S36" s="71"/>
      <c r="T36" s="72"/>
      <c r="U36" s="98" t="s">
        <v>332</v>
      </c>
    </row>
    <row r="37" spans="1:21" x14ac:dyDescent="0.2">
      <c r="A37" s="3"/>
      <c r="B37" s="77" t="s">
        <v>57</v>
      </c>
      <c r="C37" s="78" t="s">
        <v>88</v>
      </c>
      <c r="D37" s="78" t="s">
        <v>109</v>
      </c>
      <c r="E37" s="78" t="s">
        <v>127</v>
      </c>
      <c r="F37" s="78" t="s">
        <v>150</v>
      </c>
      <c r="G37" s="78">
        <v>1</v>
      </c>
      <c r="H37" s="78"/>
      <c r="I37" s="101" t="s">
        <v>157</v>
      </c>
      <c r="J37" s="69" t="s">
        <v>177</v>
      </c>
      <c r="K37" s="69" t="s">
        <v>208</v>
      </c>
      <c r="L37" s="94">
        <f>0.053*10</f>
        <v>0.53</v>
      </c>
      <c r="M37" s="70" t="s">
        <v>220</v>
      </c>
      <c r="N37" s="70" t="s">
        <v>238</v>
      </c>
      <c r="O37" s="70" t="s">
        <v>263</v>
      </c>
      <c r="P37" s="103">
        <f>G37*0.11</f>
        <v>0.11</v>
      </c>
      <c r="Q37" s="71" t="s">
        <v>288</v>
      </c>
      <c r="R37" s="71" t="s">
        <v>302</v>
      </c>
      <c r="S37" s="71" t="s">
        <v>157</v>
      </c>
      <c r="T37" s="72" t="s">
        <v>317</v>
      </c>
      <c r="U37" s="98" t="s">
        <v>332</v>
      </c>
    </row>
    <row r="38" spans="1:21" x14ac:dyDescent="0.2">
      <c r="A38" s="3"/>
      <c r="B38" s="77" t="s">
        <v>58</v>
      </c>
      <c r="C38" s="78" t="s">
        <v>89</v>
      </c>
      <c r="D38" s="78" t="s">
        <v>110</v>
      </c>
      <c r="E38" s="78" t="s">
        <v>124</v>
      </c>
      <c r="F38" s="78" t="s">
        <v>151</v>
      </c>
      <c r="G38" s="78">
        <v>1</v>
      </c>
      <c r="H38" s="78"/>
      <c r="I38" s="101" t="s">
        <v>157</v>
      </c>
      <c r="J38" s="69" t="s">
        <v>178</v>
      </c>
      <c r="K38" s="69" t="s">
        <v>209</v>
      </c>
      <c r="L38" s="94">
        <f>0.218*10</f>
        <v>2.1800000000000002</v>
      </c>
      <c r="M38" s="70" t="s">
        <v>223</v>
      </c>
      <c r="N38" s="70" t="s">
        <v>239</v>
      </c>
      <c r="O38" s="70" t="s">
        <v>264</v>
      </c>
      <c r="P38" s="103">
        <f>G38*0.49</f>
        <v>0.49</v>
      </c>
      <c r="Q38" s="71" t="s">
        <v>289</v>
      </c>
      <c r="R38" s="71" t="s">
        <v>302</v>
      </c>
      <c r="S38" s="71" t="s">
        <v>157</v>
      </c>
      <c r="T38" s="72" t="s">
        <v>318</v>
      </c>
      <c r="U38" s="98" t="s">
        <v>332</v>
      </c>
    </row>
    <row r="39" spans="1:21" x14ac:dyDescent="0.2">
      <c r="A39" s="3"/>
      <c r="B39" s="77" t="s">
        <v>59</v>
      </c>
      <c r="C39" s="78" t="s">
        <v>90</v>
      </c>
      <c r="D39" s="78" t="s">
        <v>111</v>
      </c>
      <c r="E39" s="78" t="s">
        <v>129</v>
      </c>
      <c r="F39" s="78" t="s">
        <v>151</v>
      </c>
      <c r="G39" s="78">
        <v>1</v>
      </c>
      <c r="H39" s="78"/>
      <c r="I39" s="101" t="s">
        <v>157</v>
      </c>
      <c r="J39" s="69" t="s">
        <v>179</v>
      </c>
      <c r="K39" s="69" t="s">
        <v>210</v>
      </c>
      <c r="L39" s="94">
        <f>0.012*10</f>
        <v>0.12</v>
      </c>
      <c r="M39" s="70" t="s">
        <v>221</v>
      </c>
      <c r="N39" s="70" t="s">
        <v>240</v>
      </c>
      <c r="O39" s="70" t="s">
        <v>265</v>
      </c>
      <c r="P39" s="103">
        <f>1000*0.012</f>
        <v>12</v>
      </c>
      <c r="Q39" s="71"/>
      <c r="R39" s="71"/>
      <c r="S39" s="71"/>
      <c r="T39" s="72"/>
      <c r="U39" s="98" t="s">
        <v>332</v>
      </c>
    </row>
    <row r="40" spans="1:21" x14ac:dyDescent="0.2">
      <c r="A40" s="3"/>
      <c r="B40" s="77" t="s">
        <v>60</v>
      </c>
      <c r="C40" s="78" t="s">
        <v>91</v>
      </c>
      <c r="D40" s="78" t="s">
        <v>112</v>
      </c>
      <c r="E40" s="78" t="s">
        <v>115</v>
      </c>
      <c r="F40" s="78" t="s">
        <v>150</v>
      </c>
      <c r="G40" s="78">
        <v>1</v>
      </c>
      <c r="H40" s="78"/>
      <c r="I40" s="101" t="s">
        <v>157</v>
      </c>
      <c r="J40" s="69" t="s">
        <v>180</v>
      </c>
      <c r="K40" s="69" t="s">
        <v>211</v>
      </c>
      <c r="L40" s="94">
        <f>0.011*10</f>
        <v>0.10999999999999999</v>
      </c>
      <c r="M40" s="70" t="s">
        <v>220</v>
      </c>
      <c r="N40" s="70" t="s">
        <v>241</v>
      </c>
      <c r="O40" s="70" t="s">
        <v>266</v>
      </c>
      <c r="P40" s="103">
        <f>G40*0.08</f>
        <v>0.08</v>
      </c>
      <c r="Q40" s="71" t="s">
        <v>290</v>
      </c>
      <c r="R40" s="71" t="s">
        <v>121</v>
      </c>
      <c r="S40" s="71" t="s">
        <v>157</v>
      </c>
      <c r="T40" s="72" t="s">
        <v>319</v>
      </c>
      <c r="U40" s="98" t="s">
        <v>332</v>
      </c>
    </row>
    <row r="41" spans="1:21" x14ac:dyDescent="0.2">
      <c r="A41" s="3"/>
      <c r="B41" s="77" t="s">
        <v>61</v>
      </c>
      <c r="C41" s="78" t="s">
        <v>92</v>
      </c>
      <c r="D41" s="78" t="s">
        <v>113</v>
      </c>
      <c r="E41" s="78" t="s">
        <v>129</v>
      </c>
      <c r="F41" s="78" t="s">
        <v>151</v>
      </c>
      <c r="G41" s="78">
        <v>1</v>
      </c>
      <c r="H41" s="78"/>
      <c r="I41" s="101" t="s">
        <v>157</v>
      </c>
      <c r="J41" s="69" t="s">
        <v>181</v>
      </c>
      <c r="K41" s="69" t="s">
        <v>212</v>
      </c>
      <c r="L41" s="94">
        <f>0.0381*10</f>
        <v>0.38100000000000001</v>
      </c>
      <c r="M41" s="70" t="s">
        <v>222</v>
      </c>
      <c r="N41" s="70" t="s">
        <v>242</v>
      </c>
      <c r="O41" s="70" t="s">
        <v>267</v>
      </c>
      <c r="P41" s="103">
        <f>G41*0.096</f>
        <v>9.6000000000000002E-2</v>
      </c>
      <c r="Q41" s="71" t="s">
        <v>291</v>
      </c>
      <c r="R41" s="71" t="s">
        <v>121</v>
      </c>
      <c r="S41" s="71" t="s">
        <v>157</v>
      </c>
      <c r="T41" s="72" t="s">
        <v>320</v>
      </c>
      <c r="U41" s="98" t="s">
        <v>332</v>
      </c>
    </row>
    <row r="42" spans="1:21" x14ac:dyDescent="0.2">
      <c r="A42" s="3"/>
      <c r="B42" s="77" t="s">
        <v>62</v>
      </c>
      <c r="C42" s="78" t="s">
        <v>93</v>
      </c>
      <c r="D42" s="78" t="s">
        <v>114</v>
      </c>
      <c r="E42" s="78" t="s">
        <v>115</v>
      </c>
      <c r="F42" s="78" t="s">
        <v>152</v>
      </c>
      <c r="G42" s="78">
        <v>1</v>
      </c>
      <c r="H42" s="78"/>
      <c r="I42" s="101" t="s">
        <v>157</v>
      </c>
      <c r="J42" s="69" t="s">
        <v>182</v>
      </c>
      <c r="K42" s="69" t="s">
        <v>213</v>
      </c>
      <c r="L42" s="94">
        <f>0.008*10</f>
        <v>0.08</v>
      </c>
      <c r="M42" s="70" t="s">
        <v>220</v>
      </c>
      <c r="N42" s="70" t="s">
        <v>243</v>
      </c>
      <c r="O42" s="70" t="s">
        <v>262</v>
      </c>
      <c r="P42" s="103">
        <f>G42*0.08</f>
        <v>0.08</v>
      </c>
      <c r="Q42" s="71" t="s">
        <v>292</v>
      </c>
      <c r="R42" s="71" t="s">
        <v>121</v>
      </c>
      <c r="S42" s="71" t="s">
        <v>157</v>
      </c>
      <c r="T42" s="72" t="s">
        <v>321</v>
      </c>
      <c r="U42" s="98" t="s">
        <v>332</v>
      </c>
    </row>
    <row r="43" spans="1:21" x14ac:dyDescent="0.2">
      <c r="A43" s="3"/>
      <c r="B43" s="77" t="s">
        <v>63</v>
      </c>
      <c r="C43" s="78" t="s">
        <v>326</v>
      </c>
      <c r="D43" s="78"/>
      <c r="E43" s="78"/>
      <c r="F43" s="78" t="s">
        <v>145</v>
      </c>
      <c r="G43" s="78">
        <v>1</v>
      </c>
      <c r="H43" s="78" t="s">
        <v>330</v>
      </c>
      <c r="I43" s="101"/>
      <c r="J43" s="69"/>
      <c r="K43" s="69"/>
      <c r="L43" s="94">
        <v>0</v>
      </c>
      <c r="M43" s="70"/>
      <c r="N43" s="70"/>
      <c r="O43" s="70"/>
      <c r="P43" s="103"/>
      <c r="Q43" s="71"/>
      <c r="R43" s="71"/>
      <c r="S43" s="71"/>
      <c r="T43" s="72"/>
      <c r="U43" s="98"/>
    </row>
    <row r="44" spans="1:21" x14ac:dyDescent="0.2">
      <c r="A44" s="3"/>
      <c r="B44" s="77" t="s">
        <v>64</v>
      </c>
      <c r="C44" s="78" t="s">
        <v>94</v>
      </c>
      <c r="D44" s="78"/>
      <c r="E44" s="78" t="s">
        <v>130</v>
      </c>
      <c r="F44" s="78" t="s">
        <v>153</v>
      </c>
      <c r="G44" s="78">
        <v>1</v>
      </c>
      <c r="H44" s="78"/>
      <c r="I44" s="101" t="s">
        <v>157</v>
      </c>
      <c r="J44" s="69" t="s">
        <v>183</v>
      </c>
      <c r="K44" s="69" t="s">
        <v>214</v>
      </c>
      <c r="L44" s="94">
        <f>G44*0.469</f>
        <v>0.46899999999999997</v>
      </c>
      <c r="M44" s="70" t="s">
        <v>220</v>
      </c>
      <c r="N44" s="70" t="s">
        <v>244</v>
      </c>
      <c r="O44" s="70" t="s">
        <v>268</v>
      </c>
      <c r="P44" s="103">
        <f>G44*0.48</f>
        <v>0.48</v>
      </c>
      <c r="Q44" s="71"/>
      <c r="R44" s="71"/>
      <c r="S44" s="71"/>
      <c r="T44" s="72"/>
      <c r="U44" s="98" t="s">
        <v>332</v>
      </c>
    </row>
    <row r="45" spans="1:21" x14ac:dyDescent="0.2">
      <c r="A45" s="3"/>
      <c r="B45" s="77" t="s">
        <v>24</v>
      </c>
      <c r="C45" s="78" t="s">
        <v>95</v>
      </c>
      <c r="D45" s="78"/>
      <c r="E45" s="78" t="s">
        <v>130</v>
      </c>
      <c r="F45" s="78" t="s">
        <v>25</v>
      </c>
      <c r="G45" s="78">
        <v>1</v>
      </c>
      <c r="H45" s="78"/>
      <c r="I45" s="101" t="s">
        <v>157</v>
      </c>
      <c r="J45" s="69" t="s">
        <v>184</v>
      </c>
      <c r="K45" s="69" t="s">
        <v>215</v>
      </c>
      <c r="L45" s="94">
        <f>G45*1.548</f>
        <v>1.548</v>
      </c>
      <c r="M45" s="70" t="s">
        <v>220</v>
      </c>
      <c r="N45" s="70" t="s">
        <v>245</v>
      </c>
      <c r="O45" s="70" t="s">
        <v>269</v>
      </c>
      <c r="P45" s="103">
        <f>G45*1.54</f>
        <v>1.54</v>
      </c>
      <c r="Q45" s="71"/>
      <c r="R45" s="71"/>
      <c r="S45" s="71"/>
      <c r="T45" s="72"/>
      <c r="U45" s="98" t="s">
        <v>332</v>
      </c>
    </row>
    <row r="46" spans="1:21" x14ac:dyDescent="0.2">
      <c r="A46" s="3"/>
      <c r="B46" s="77" t="s">
        <v>65</v>
      </c>
      <c r="C46" s="78" t="s">
        <v>96</v>
      </c>
      <c r="D46" s="78"/>
      <c r="E46" s="78" t="s">
        <v>131</v>
      </c>
      <c r="F46" s="78" t="s">
        <v>154</v>
      </c>
      <c r="G46" s="78">
        <v>1</v>
      </c>
      <c r="H46" s="78"/>
      <c r="I46" s="101" t="s">
        <v>157</v>
      </c>
      <c r="J46" s="69" t="s">
        <v>185</v>
      </c>
      <c r="K46" s="69" t="s">
        <v>216</v>
      </c>
      <c r="L46" s="94">
        <f>G46*3.14</f>
        <v>3.14</v>
      </c>
      <c r="M46" s="70" t="s">
        <v>220</v>
      </c>
      <c r="N46" s="70" t="s">
        <v>246</v>
      </c>
      <c r="O46" s="70" t="s">
        <v>270</v>
      </c>
      <c r="P46" s="103">
        <f>G46*2.94</f>
        <v>2.94</v>
      </c>
      <c r="Q46" s="71"/>
      <c r="R46" s="71"/>
      <c r="S46" s="71"/>
      <c r="T46" s="72"/>
      <c r="U46" s="98" t="s">
        <v>332</v>
      </c>
    </row>
    <row r="47" spans="1:21" x14ac:dyDescent="0.2">
      <c r="A47" s="3"/>
      <c r="B47" s="77" t="s">
        <v>66</v>
      </c>
      <c r="C47" s="78" t="s">
        <v>97</v>
      </c>
      <c r="D47" s="78"/>
      <c r="E47" s="78" t="s">
        <v>132</v>
      </c>
      <c r="F47" s="78" t="s">
        <v>155</v>
      </c>
      <c r="G47" s="78">
        <v>1</v>
      </c>
      <c r="H47" s="78"/>
      <c r="I47" s="101" t="s">
        <v>157</v>
      </c>
      <c r="J47" s="69" t="s">
        <v>186</v>
      </c>
      <c r="K47" s="69" t="s">
        <v>217</v>
      </c>
      <c r="L47" s="94">
        <f>0.318*5</f>
        <v>1.59</v>
      </c>
      <c r="M47" s="70" t="s">
        <v>224</v>
      </c>
      <c r="N47" s="70" t="s">
        <v>247</v>
      </c>
      <c r="O47" s="70" t="s">
        <v>271</v>
      </c>
      <c r="P47" s="103">
        <f>G47*0.36</f>
        <v>0.36</v>
      </c>
      <c r="Q47" s="71"/>
      <c r="R47" s="71"/>
      <c r="S47" s="71"/>
      <c r="T47" s="72"/>
      <c r="U47" s="98" t="s">
        <v>332</v>
      </c>
    </row>
    <row r="48" spans="1:21" x14ac:dyDescent="0.2">
      <c r="A48" s="3"/>
      <c r="B48" s="77" t="s">
        <v>67</v>
      </c>
      <c r="C48" s="78" t="s">
        <v>98</v>
      </c>
      <c r="D48" s="78"/>
      <c r="E48" s="78" t="s">
        <v>132</v>
      </c>
      <c r="F48" s="78" t="s">
        <v>155</v>
      </c>
      <c r="G48" s="78">
        <v>1</v>
      </c>
      <c r="H48" s="78"/>
      <c r="I48" s="101" t="s">
        <v>157</v>
      </c>
      <c r="J48" s="69" t="s">
        <v>187</v>
      </c>
      <c r="K48" s="69" t="s">
        <v>218</v>
      </c>
      <c r="L48" s="94">
        <f>0.152*5</f>
        <v>0.76</v>
      </c>
      <c r="M48" s="70" t="s">
        <v>220</v>
      </c>
      <c r="N48" s="70" t="s">
        <v>248</v>
      </c>
      <c r="O48" s="70" t="s">
        <v>272</v>
      </c>
      <c r="P48" s="103">
        <f>G48*0.37</f>
        <v>0.37</v>
      </c>
      <c r="Q48" s="71"/>
      <c r="R48" s="71"/>
      <c r="S48" s="71"/>
      <c r="T48" s="72"/>
      <c r="U48" s="98" t="s">
        <v>332</v>
      </c>
    </row>
    <row r="49" spans="1:21" x14ac:dyDescent="0.2">
      <c r="A49" s="3"/>
      <c r="B49" s="77" t="s">
        <v>68</v>
      </c>
      <c r="C49" s="78" t="s">
        <v>99</v>
      </c>
      <c r="D49" s="78"/>
      <c r="E49" s="78" t="s">
        <v>132</v>
      </c>
      <c r="F49" s="78" t="s">
        <v>155</v>
      </c>
      <c r="G49" s="78">
        <v>1</v>
      </c>
      <c r="H49" s="78"/>
      <c r="I49" s="101" t="s">
        <v>157</v>
      </c>
      <c r="J49" s="69" t="s">
        <v>188</v>
      </c>
      <c r="K49" s="69" t="s">
        <v>219</v>
      </c>
      <c r="L49" s="94">
        <f>0.259*5</f>
        <v>1.2949999999999999</v>
      </c>
      <c r="M49" s="70" t="s">
        <v>220</v>
      </c>
      <c r="N49" s="70" t="s">
        <v>249</v>
      </c>
      <c r="O49" s="70" t="s">
        <v>273</v>
      </c>
      <c r="P49" s="103">
        <f>G49*0.38</f>
        <v>0.38</v>
      </c>
      <c r="Q49" s="71"/>
      <c r="R49" s="71"/>
      <c r="S49" s="71"/>
      <c r="T49" s="72"/>
      <c r="U49" s="98" t="s">
        <v>332</v>
      </c>
    </row>
    <row r="50" spans="1:21" ht="13.5" thickBot="1" x14ac:dyDescent="0.25">
      <c r="A50" s="3"/>
      <c r="B50" s="79"/>
      <c r="C50" s="80"/>
      <c r="D50" s="80"/>
      <c r="E50" s="80"/>
      <c r="F50" s="80"/>
      <c r="G50" s="81"/>
      <c r="H50" s="81"/>
      <c r="I50" s="102"/>
      <c r="J50" s="64"/>
      <c r="K50" s="64"/>
      <c r="L50" s="95"/>
      <c r="M50" s="65"/>
      <c r="N50" s="65"/>
      <c r="O50" s="73"/>
      <c r="P50" s="66"/>
      <c r="Q50" s="74"/>
      <c r="R50" s="67"/>
      <c r="S50" s="67"/>
      <c r="T50" s="68"/>
      <c r="U50" s="16"/>
    </row>
    <row r="51" spans="1:21" ht="25.5" x14ac:dyDescent="0.2">
      <c r="A51" s="5"/>
      <c r="B51" s="47" t="s">
        <v>323</v>
      </c>
      <c r="C51" s="84" t="s">
        <v>324</v>
      </c>
      <c r="D51" s="6"/>
      <c r="E51" s="6"/>
      <c r="F51" s="45" t="s">
        <v>26</v>
      </c>
      <c r="G51" s="104">
        <f>SUM(G15:G49)</f>
        <v>52</v>
      </c>
      <c r="H51" s="46"/>
      <c r="I51" s="46"/>
      <c r="J51" s="46"/>
      <c r="K51" s="97" t="s">
        <v>327</v>
      </c>
      <c r="L51" s="46">
        <f>SUM(L15:L49)</f>
        <v>24.596600000000002</v>
      </c>
      <c r="M51" s="46"/>
      <c r="N51" s="7"/>
      <c r="O51" s="97"/>
      <c r="P51" s="7"/>
      <c r="Q51" s="7"/>
      <c r="R51" s="7"/>
      <c r="S51" s="7"/>
      <c r="T51" s="7"/>
    </row>
    <row r="52" spans="1:21" x14ac:dyDescent="0.2">
      <c r="C52" s="83" t="s">
        <v>325</v>
      </c>
    </row>
    <row r="53" spans="1:21" x14ac:dyDescent="0.2">
      <c r="C53" s="83" t="s">
        <v>328</v>
      </c>
    </row>
  </sheetData>
  <mergeCells count="5">
    <mergeCell ref="M11:O11"/>
    <mergeCell ref="U12:U13"/>
    <mergeCell ref="Q12:T12"/>
    <mergeCell ref="I12:L12"/>
    <mergeCell ref="M12:P12"/>
  </mergeCells>
  <conditionalFormatting sqref="L16:L50 B11:H11 B13:T15">
    <cfRule type="cellIs" dxfId="62" priority="46" stopIfTrue="1" operator="equal">
      <formula>"NO"</formula>
    </cfRule>
  </conditionalFormatting>
  <conditionalFormatting sqref="M16:M19 M49:M50">
    <cfRule type="containsText" dxfId="61" priority="40" operator="containsText" text="Mouser">
      <formula>NOT(ISERROR(SEARCH("Mouser",M49)))</formula>
    </cfRule>
  </conditionalFormatting>
  <conditionalFormatting sqref="M19:M20">
    <cfRule type="containsText" dxfId="60" priority="47" operator="containsText" text="Mouser">
      <formula>NOT(ISERROR(SEARCH("Mouser",M49)))</formula>
    </cfRule>
  </conditionalFormatting>
  <conditionalFormatting sqref="M20:M21">
    <cfRule type="containsText" dxfId="59" priority="79" operator="containsText" text="Mouser">
      <formula>NOT(ISERROR(SEARCH("Mouser",M49)))</formula>
    </cfRule>
  </conditionalFormatting>
  <conditionalFormatting sqref="M21:M22">
    <cfRule type="containsText" dxfId="58" priority="49" operator="containsText" text="Mouser">
      <formula>NOT(ISERROR(SEARCH("Mouser",M49)))</formula>
    </cfRule>
  </conditionalFormatting>
  <conditionalFormatting sqref="M22:M23">
    <cfRule type="containsText" dxfId="57" priority="81" operator="containsText" text="Mouser">
      <formula>NOT(ISERROR(SEARCH("Mouser",M49)))</formula>
    </cfRule>
  </conditionalFormatting>
  <conditionalFormatting sqref="M23:M24">
    <cfRule type="containsText" dxfId="56" priority="51" operator="containsText" text="Mouser">
      <formula>NOT(ISERROR(SEARCH("Mouser",M49)))</formula>
    </cfRule>
  </conditionalFormatting>
  <conditionalFormatting sqref="M24:M25">
    <cfRule type="containsText" dxfId="55" priority="83" operator="containsText" text="Mouser">
      <formula>NOT(ISERROR(SEARCH("Mouser",M49)))</formula>
    </cfRule>
  </conditionalFormatting>
  <conditionalFormatting sqref="M25:M26">
    <cfRule type="containsText" dxfId="54" priority="53" operator="containsText" text="Mouser">
      <formula>NOT(ISERROR(SEARCH("Mouser",M49)))</formula>
    </cfRule>
  </conditionalFormatting>
  <conditionalFormatting sqref="M26:M27">
    <cfRule type="containsText" dxfId="53" priority="85" operator="containsText" text="Mouser">
      <formula>NOT(ISERROR(SEARCH("Mouser",M49)))</formula>
    </cfRule>
  </conditionalFormatting>
  <conditionalFormatting sqref="M27:M28">
    <cfRule type="containsText" dxfId="52" priority="55" operator="containsText" text="Mouser">
      <formula>NOT(ISERROR(SEARCH("Mouser",M49)))</formula>
    </cfRule>
  </conditionalFormatting>
  <conditionalFormatting sqref="M28:M29">
    <cfRule type="containsText" dxfId="51" priority="87" operator="containsText" text="Mouser">
      <formula>NOT(ISERROR(SEARCH("Mouser",M49)))</formula>
    </cfRule>
  </conditionalFormatting>
  <conditionalFormatting sqref="M29:M30">
    <cfRule type="containsText" dxfId="50" priority="57" operator="containsText" text="Mouser">
      <formula>NOT(ISERROR(SEARCH("Mouser",M49)))</formula>
    </cfRule>
  </conditionalFormatting>
  <conditionalFormatting sqref="M30:M31">
    <cfRule type="containsText" dxfId="49" priority="89" operator="containsText" text="Mouser">
      <formula>NOT(ISERROR(SEARCH("Mouser",M49)))</formula>
    </cfRule>
  </conditionalFormatting>
  <conditionalFormatting sqref="M31:M32">
    <cfRule type="containsText" dxfId="48" priority="59" operator="containsText" text="Mouser">
      <formula>NOT(ISERROR(SEARCH("Mouser",M49)))</formula>
    </cfRule>
  </conditionalFormatting>
  <conditionalFormatting sqref="M32:M33">
    <cfRule type="containsText" dxfId="47" priority="91" operator="containsText" text="Mouser">
      <formula>NOT(ISERROR(SEARCH("Mouser",M49)))</formula>
    </cfRule>
  </conditionalFormatting>
  <conditionalFormatting sqref="M33:M34">
    <cfRule type="containsText" dxfId="46" priority="61" operator="containsText" text="Mouser">
      <formula>NOT(ISERROR(SEARCH("Mouser",M49)))</formula>
    </cfRule>
  </conditionalFormatting>
  <conditionalFormatting sqref="M34:M35">
    <cfRule type="containsText" dxfId="45" priority="93" operator="containsText" text="Mouser">
      <formula>NOT(ISERROR(SEARCH("Mouser",M49)))</formula>
    </cfRule>
  </conditionalFormatting>
  <conditionalFormatting sqref="M35:M36">
    <cfRule type="containsText" dxfId="44" priority="63" operator="containsText" text="Mouser">
      <formula>NOT(ISERROR(SEARCH("Mouser",M49)))</formula>
    </cfRule>
  </conditionalFormatting>
  <conditionalFormatting sqref="M36:M37">
    <cfRule type="containsText" dxfId="43" priority="95" operator="containsText" text="Mouser">
      <formula>NOT(ISERROR(SEARCH("Mouser",M49)))</formula>
    </cfRule>
  </conditionalFormatting>
  <conditionalFormatting sqref="M37:M38">
    <cfRule type="containsText" dxfId="42" priority="65" operator="containsText" text="Mouser">
      <formula>NOT(ISERROR(SEARCH("Mouser",M49)))</formula>
    </cfRule>
  </conditionalFormatting>
  <conditionalFormatting sqref="M38:M39">
    <cfRule type="containsText" dxfId="41" priority="97" operator="containsText" text="Mouser">
      <formula>NOT(ISERROR(SEARCH("Mouser",M49)))</formula>
    </cfRule>
  </conditionalFormatting>
  <conditionalFormatting sqref="M39:M40">
    <cfRule type="containsText" dxfId="40" priority="67" operator="containsText" text="Mouser">
      <formula>NOT(ISERROR(SEARCH("Mouser",M49)))</formula>
    </cfRule>
  </conditionalFormatting>
  <conditionalFormatting sqref="M40:M41">
    <cfRule type="containsText" dxfId="39" priority="99" operator="containsText" text="Mouser">
      <formula>NOT(ISERROR(SEARCH("Mouser",M49)))</formula>
    </cfRule>
  </conditionalFormatting>
  <conditionalFormatting sqref="M41:M42">
    <cfRule type="containsText" dxfId="38" priority="69" operator="containsText" text="Mouser">
      <formula>NOT(ISERROR(SEARCH("Mouser",M49)))</formula>
    </cfRule>
  </conditionalFormatting>
  <conditionalFormatting sqref="M42:M43">
    <cfRule type="containsText" dxfId="37" priority="101" operator="containsText" text="Mouser">
      <formula>NOT(ISERROR(SEARCH("Mouser",M49)))</formula>
    </cfRule>
  </conditionalFormatting>
  <conditionalFormatting sqref="M43:M44">
    <cfRule type="containsText" dxfId="36" priority="71" operator="containsText" text="Mouser">
      <formula>NOT(ISERROR(SEARCH("Mouser",M49)))</formula>
    </cfRule>
  </conditionalFormatting>
  <conditionalFormatting sqref="M44:M45">
    <cfRule type="containsText" dxfId="35" priority="103" operator="containsText" text="Mouser">
      <formula>NOT(ISERROR(SEARCH("Mouser",M49)))</formula>
    </cfRule>
  </conditionalFormatting>
  <conditionalFormatting sqref="M45:M46">
    <cfRule type="containsText" dxfId="34" priority="73" operator="containsText" text="Mouser">
      <formula>NOT(ISERROR(SEARCH("Mouser",M49)))</formula>
    </cfRule>
  </conditionalFormatting>
  <conditionalFormatting sqref="M46:M47">
    <cfRule type="containsText" dxfId="33" priority="105" operator="containsText" text="Mouser">
      <formula>NOT(ISERROR(SEARCH("Mouser",M49)))</formula>
    </cfRule>
  </conditionalFormatting>
  <conditionalFormatting sqref="M47:M48">
    <cfRule type="containsText" dxfId="32" priority="75" operator="containsText" text="Mouser">
      <formula>NOT(ISERROR(SEARCH("Mouser",M49)))</formula>
    </cfRule>
  </conditionalFormatting>
  <conditionalFormatting sqref="M48">
    <cfRule type="containsText" dxfId="31" priority="107" operator="containsText" text="Mouser">
      <formula>NOT(ISERROR(SEARCH("Mouser",M49)))</formula>
    </cfRule>
  </conditionalFormatting>
  <conditionalFormatting sqref="Q16:Q19 Q49:Q50">
    <cfRule type="cellIs" dxfId="30" priority="43" operator="notEqual">
      <formula>$I49</formula>
    </cfRule>
  </conditionalFormatting>
  <conditionalFormatting sqref="Q19:Q20">
    <cfRule type="cellIs" dxfId="29" priority="48" operator="notEqual">
      <formula>$I49</formula>
    </cfRule>
  </conditionalFormatting>
  <conditionalFormatting sqref="Q20:Q21">
    <cfRule type="cellIs" dxfId="28" priority="80" operator="notEqual">
      <formula>$I49</formula>
    </cfRule>
  </conditionalFormatting>
  <conditionalFormatting sqref="Q21:Q22">
    <cfRule type="cellIs" dxfId="27" priority="50" operator="notEqual">
      <formula>$I49</formula>
    </cfRule>
  </conditionalFormatting>
  <conditionalFormatting sqref="Q22:Q23">
    <cfRule type="cellIs" dxfId="26" priority="82" operator="notEqual">
      <formula>$I49</formula>
    </cfRule>
  </conditionalFormatting>
  <conditionalFormatting sqref="Q23:Q24">
    <cfRule type="cellIs" dxfId="25" priority="52" operator="notEqual">
      <formula>$I49</formula>
    </cfRule>
  </conditionalFormatting>
  <conditionalFormatting sqref="Q24:Q25">
    <cfRule type="cellIs" dxfId="24" priority="84" operator="notEqual">
      <formula>$I49</formula>
    </cfRule>
  </conditionalFormatting>
  <conditionalFormatting sqref="Q25:Q26">
    <cfRule type="cellIs" dxfId="23" priority="54" operator="notEqual">
      <formula>$I49</formula>
    </cfRule>
  </conditionalFormatting>
  <conditionalFormatting sqref="Q26:Q27">
    <cfRule type="cellIs" dxfId="22" priority="86" operator="notEqual">
      <formula>$I49</formula>
    </cfRule>
  </conditionalFormatting>
  <conditionalFormatting sqref="Q27:Q28">
    <cfRule type="cellIs" dxfId="21" priority="56" operator="notEqual">
      <formula>$I49</formula>
    </cfRule>
  </conditionalFormatting>
  <conditionalFormatting sqref="Q28:Q29">
    <cfRule type="cellIs" dxfId="20" priority="88" operator="notEqual">
      <formula>$I49</formula>
    </cfRule>
  </conditionalFormatting>
  <conditionalFormatting sqref="Q29:Q30">
    <cfRule type="cellIs" dxfId="19" priority="58" operator="notEqual">
      <formula>$I49</formula>
    </cfRule>
  </conditionalFormatting>
  <conditionalFormatting sqref="Q30:Q31">
    <cfRule type="cellIs" dxfId="18" priority="90" operator="notEqual">
      <formula>$I49</formula>
    </cfRule>
  </conditionalFormatting>
  <conditionalFormatting sqref="Q31:Q32">
    <cfRule type="cellIs" dxfId="17" priority="60" operator="notEqual">
      <formula>$I49</formula>
    </cfRule>
  </conditionalFormatting>
  <conditionalFormatting sqref="Q32:Q33">
    <cfRule type="cellIs" dxfId="16" priority="92" operator="notEqual">
      <formula>$I49</formula>
    </cfRule>
  </conditionalFormatting>
  <conditionalFormatting sqref="Q33:Q34">
    <cfRule type="cellIs" dxfId="15" priority="62" operator="notEqual">
      <formula>$I49</formula>
    </cfRule>
  </conditionalFormatting>
  <conditionalFormatting sqref="Q34:Q35">
    <cfRule type="cellIs" dxfId="14" priority="94" operator="notEqual">
      <formula>$I49</formula>
    </cfRule>
  </conditionalFormatting>
  <conditionalFormatting sqref="Q35:Q36">
    <cfRule type="cellIs" dxfId="13" priority="64" operator="notEqual">
      <formula>$I49</formula>
    </cfRule>
  </conditionalFormatting>
  <conditionalFormatting sqref="Q36:Q37">
    <cfRule type="cellIs" dxfId="12" priority="96" operator="notEqual">
      <formula>$I49</formula>
    </cfRule>
  </conditionalFormatting>
  <conditionalFormatting sqref="Q37:Q38">
    <cfRule type="cellIs" dxfId="11" priority="66" operator="notEqual">
      <formula>$I49</formula>
    </cfRule>
  </conditionalFormatting>
  <conditionalFormatting sqref="Q38:Q39">
    <cfRule type="cellIs" dxfId="10" priority="98" operator="notEqual">
      <formula>$I49</formula>
    </cfRule>
  </conditionalFormatting>
  <conditionalFormatting sqref="Q39:Q40">
    <cfRule type="cellIs" dxfId="9" priority="68" operator="notEqual">
      <formula>$I49</formula>
    </cfRule>
  </conditionalFormatting>
  <conditionalFormatting sqref="Q40:Q41">
    <cfRule type="cellIs" dxfId="8" priority="100" operator="notEqual">
      <formula>$I49</formula>
    </cfRule>
  </conditionalFormatting>
  <conditionalFormatting sqref="Q41:Q42">
    <cfRule type="cellIs" dxfId="7" priority="70" operator="notEqual">
      <formula>$I49</formula>
    </cfRule>
  </conditionalFormatting>
  <conditionalFormatting sqref="Q42:Q43">
    <cfRule type="cellIs" dxfId="6" priority="102" operator="notEqual">
      <formula>$I49</formula>
    </cfRule>
  </conditionalFormatting>
  <conditionalFormatting sqref="Q43:Q44">
    <cfRule type="cellIs" dxfId="5" priority="72" operator="notEqual">
      <formula>$I49</formula>
    </cfRule>
  </conditionalFormatting>
  <conditionalFormatting sqref="Q44:Q45">
    <cfRule type="cellIs" dxfId="4" priority="104" operator="notEqual">
      <formula>$I49</formula>
    </cfRule>
  </conditionalFormatting>
  <conditionalFormatting sqref="Q45:Q46">
    <cfRule type="cellIs" dxfId="3" priority="74" operator="notEqual">
      <formula>$I49</formula>
    </cfRule>
  </conditionalFormatting>
  <conditionalFormatting sqref="Q46:Q47">
    <cfRule type="cellIs" dxfId="2" priority="106" operator="notEqual">
      <formula>$I49</formula>
    </cfRule>
  </conditionalFormatting>
  <conditionalFormatting sqref="Q47:Q48">
    <cfRule type="cellIs" dxfId="1" priority="76" operator="notEqual">
      <formula>$I49</formula>
    </cfRule>
  </conditionalFormatting>
  <conditionalFormatting sqref="Q48">
    <cfRule type="cellIs" dxfId="0" priority="108" operator="notEqual">
      <formula>$I49</formula>
    </cfRule>
  </conditionalFormatting>
  <hyperlinks>
    <hyperlink ref="C6" r:id="rId1" xr:uid="{00000000-0004-0000-0000-000000000000}"/>
  </hyperlinks>
  <printOptions horizontalCentered="1" verticalCentered="1"/>
  <pageMargins left="0.31496062992125984" right="0.31496062992125984" top="0.31496062992125984" bottom="0.31496062992125984" header="0" footer="0"/>
  <pageSetup paperSize="9" scale="32" orientation="landscape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Carlson</dc:creator>
  <cp:keywords/>
  <dc:description/>
  <cp:lastModifiedBy>Thomas, Stuart</cp:lastModifiedBy>
  <cp:lastPrinted>2023-11-29T16:13:36Z</cp:lastPrinted>
  <dcterms:created xsi:type="dcterms:W3CDTF">2000-10-27T00:30:29Z</dcterms:created>
  <dcterms:modified xsi:type="dcterms:W3CDTF">2023-11-29T16:13:43Z</dcterms:modified>
  <cp:category/>
</cp:coreProperties>
</file>