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 1 - Lotto Results" sheetId="1" r:id="rId5"/>
    <sheet state="visible" name="Bracket 2 - Lotto Products" sheetId="2" r:id="rId6"/>
    <sheet state="visible" name="Bracket 3 - Online Casino" sheetId="3" r:id="rId7"/>
    <sheet state="visible" name="Bracket 4 - Sportsbook" sheetId="4" r:id="rId8"/>
    <sheet state="visible" name="Bracket 5 - NBA Betting" sheetId="5" r:id="rId9"/>
    <sheet state="visible" name="Bracket 6 - NFL Betting" sheetId="6" r:id="rId10"/>
    <sheet state="visible" name="Bracket 7 - Premier League Bett" sheetId="7" r:id="rId11"/>
    <sheet state="visible" name="Bracket 8 - Casino Providers" sheetId="8" r:id="rId12"/>
    <sheet state="visible" name="Bracket 9 - Casino Games" sheetId="9" r:id="rId13"/>
    <sheet state="visible" name="Bracket 10 - Competitors" sheetId="10" r:id="rId14"/>
  </sheets>
  <definedNames/>
  <calcPr/>
</workbook>
</file>

<file path=xl/sharedStrings.xml><?xml version="1.0" encoding="utf-8"?>
<sst xmlns="http://schemas.openxmlformats.org/spreadsheetml/2006/main" count="539" uniqueCount="296">
  <si>
    <t>winning numbers</t>
  </si>
  <si>
    <t>online casino</t>
  </si>
  <si>
    <t>lottery post</t>
  </si>
  <si>
    <t>winning number</t>
  </si>
  <si>
    <t>casino online</t>
  </si>
  <si>
    <t>lotto games</t>
  </si>
  <si>
    <t>lottery results</t>
  </si>
  <si>
    <t>online casinos</t>
  </si>
  <si>
    <t>numbers game</t>
  </si>
  <si>
    <t>lotto results</t>
  </si>
  <si>
    <t>casino games</t>
  </si>
  <si>
    <t>3 ball miami</t>
  </si>
  <si>
    <t>lotto numbers</t>
  </si>
  <si>
    <t>online casino games</t>
  </si>
  <si>
    <t>3-ball miami</t>
  </si>
  <si>
    <t>draw results</t>
  </si>
  <si>
    <t>casino app</t>
  </si>
  <si>
    <t>lottery winning numbers</t>
  </si>
  <si>
    <t>miami lottery</t>
  </si>
  <si>
    <t>gambling site</t>
  </si>
  <si>
    <t>lottery numbers</t>
  </si>
  <si>
    <t>lottery draw</t>
  </si>
  <si>
    <t>winning numbers today</t>
  </si>
  <si>
    <t>lottery ticket</t>
  </si>
  <si>
    <t>numbers today</t>
  </si>
  <si>
    <t>online gambling</t>
  </si>
  <si>
    <t>lottery house</t>
  </si>
  <si>
    <t>Combined - base phrase + modifier</t>
  </si>
  <si>
    <t>online lottery</t>
  </si>
  <si>
    <t>live casino</t>
  </si>
  <si>
    <t>real money casino</t>
  </si>
  <si>
    <t>base phrase + modifier</t>
  </si>
  <si>
    <t>sports betting</t>
  </si>
  <si>
    <t>online sports betting</t>
  </si>
  <si>
    <t>sportsbook</t>
  </si>
  <si>
    <t>sports book</t>
  </si>
  <si>
    <t>betting app</t>
  </si>
  <si>
    <t>bet app</t>
  </si>
  <si>
    <t>online betting</t>
  </si>
  <si>
    <t>bahamas</t>
  </si>
  <si>
    <t>bet online</t>
  </si>
  <si>
    <t>sports bets</t>
  </si>
  <si>
    <t>sports odds</t>
  </si>
  <si>
    <t>online lottery bahamas</t>
  </si>
  <si>
    <t>numbers today bahamas</t>
  </si>
  <si>
    <t>online</t>
  </si>
  <si>
    <t>today</t>
  </si>
  <si>
    <t>bahamas online</t>
  </si>
  <si>
    <t>play online</t>
  </si>
  <si>
    <t>tonight</t>
  </si>
  <si>
    <t>numbers today tonight</t>
  </si>
  <si>
    <t>online lottery play online</t>
  </si>
  <si>
    <t>for today</t>
  </si>
  <si>
    <t>how to play</t>
  </si>
  <si>
    <t>caribbean</t>
  </si>
  <si>
    <t>numbers today for today</t>
  </si>
  <si>
    <t>online lottery how to play</t>
  </si>
  <si>
    <t>for the day</t>
  </si>
  <si>
    <t>rules</t>
  </si>
  <si>
    <t>online lottery rules</t>
  </si>
  <si>
    <t>real money</t>
  </si>
  <si>
    <t>numbers today for the day</t>
  </si>
  <si>
    <t>payouts</t>
  </si>
  <si>
    <t>best</t>
  </si>
  <si>
    <t>latest</t>
  </si>
  <si>
    <t>online lottery payouts</t>
  </si>
  <si>
    <t>numbers today latest</t>
  </si>
  <si>
    <t>odds</t>
  </si>
  <si>
    <t>live</t>
  </si>
  <si>
    <t>top</t>
  </si>
  <si>
    <t>online lottery odds</t>
  </si>
  <si>
    <t>numbers today live</t>
  </si>
  <si>
    <t>results</t>
  </si>
  <si>
    <t>official</t>
  </si>
  <si>
    <t>online lottery results</t>
  </si>
  <si>
    <t>numbers today official</t>
  </si>
  <si>
    <t>trusted</t>
  </si>
  <si>
    <t>numbers today lottery post</t>
  </si>
  <si>
    <t>online lottery winning numbers</t>
  </si>
  <si>
    <t>island luck</t>
  </si>
  <si>
    <t>numbers today island luck</t>
  </si>
  <si>
    <t>safe</t>
  </si>
  <si>
    <t>online lottery winning number</t>
  </si>
  <si>
    <t>chances</t>
  </si>
  <si>
    <t>numbers today chances</t>
  </si>
  <si>
    <t>online lottery today</t>
  </si>
  <si>
    <t>ultra games</t>
  </si>
  <si>
    <t>licensed</t>
  </si>
  <si>
    <t>online lottery tonight</t>
  </si>
  <si>
    <t>numbers today ultra games</t>
  </si>
  <si>
    <t>asurewin</t>
  </si>
  <si>
    <t>draw time</t>
  </si>
  <si>
    <t>online lottery draw time</t>
  </si>
  <si>
    <t>numbers today asurewin</t>
  </si>
  <si>
    <t>mobile</t>
  </si>
  <si>
    <t>ticket</t>
  </si>
  <si>
    <t>a sure win</t>
  </si>
  <si>
    <t>online lottery ticket</t>
  </si>
  <si>
    <t>numbers today a sure win</t>
  </si>
  <si>
    <t>tickets</t>
  </si>
  <si>
    <t>paradise games</t>
  </si>
  <si>
    <t>app</t>
  </si>
  <si>
    <t>online lottery tickets</t>
  </si>
  <si>
    <t>numbers today paradise games</t>
  </si>
  <si>
    <t>bet</t>
  </si>
  <si>
    <t>pggames</t>
  </si>
  <si>
    <t>online lottery bet</t>
  </si>
  <si>
    <t>numbers today pggames</t>
  </si>
  <si>
    <t>bets</t>
  </si>
  <si>
    <t>live odds</t>
  </si>
  <si>
    <t>online lottery bets</t>
  </si>
  <si>
    <t>numbers today 3 ball miami</t>
  </si>
  <si>
    <t>betting</t>
  </si>
  <si>
    <t>numbers today 3-ball miami</t>
  </si>
  <si>
    <t>online lottery betting</t>
  </si>
  <si>
    <t>miami</t>
  </si>
  <si>
    <t>numbers today miami</t>
  </si>
  <si>
    <t>online lottery app</t>
  </si>
  <si>
    <t>4 ball</t>
  </si>
  <si>
    <t>betting odds</t>
  </si>
  <si>
    <t>free demo</t>
  </si>
  <si>
    <t>numbers today 4 ball</t>
  </si>
  <si>
    <t>online lottery mobile</t>
  </si>
  <si>
    <t>5 ball</t>
  </si>
  <si>
    <t>login</t>
  </si>
  <si>
    <t>numbers today 5 ball</t>
  </si>
  <si>
    <t>online lottery login</t>
  </si>
  <si>
    <t>predictions</t>
  </si>
  <si>
    <t>draw</t>
  </si>
  <si>
    <t>deposit</t>
  </si>
  <si>
    <t>demo</t>
  </si>
  <si>
    <t>numbers today draw</t>
  </si>
  <si>
    <t>online lottery deposit</t>
  </si>
  <si>
    <t>withdrawal</t>
  </si>
  <si>
    <t>picks</t>
  </si>
  <si>
    <t>numbers today draw time</t>
  </si>
  <si>
    <t>online lottery withdrawal</t>
  </si>
  <si>
    <t>bonus</t>
  </si>
  <si>
    <t>stores</t>
  </si>
  <si>
    <t>numbers today results</t>
  </si>
  <si>
    <t>online lottery stores</t>
  </si>
  <si>
    <t>nassau</t>
  </si>
  <si>
    <t>tips</t>
  </si>
  <si>
    <t>locations</t>
  </si>
  <si>
    <t>bonuses</t>
  </si>
  <si>
    <t>numbers today nassau</t>
  </si>
  <si>
    <t>online lottery locations</t>
  </si>
  <si>
    <t>freeport</t>
  </si>
  <si>
    <t>numbers today freeport</t>
  </si>
  <si>
    <t>parlay</t>
  </si>
  <si>
    <t>online lottery paradise games</t>
  </si>
  <si>
    <t>free spins</t>
  </si>
  <si>
    <t>numbers today app</t>
  </si>
  <si>
    <t>online lottery pggames</t>
  </si>
  <si>
    <t>parlays</t>
  </si>
  <si>
    <t>numbers today mobile</t>
  </si>
  <si>
    <t>sign up bonus</t>
  </si>
  <si>
    <t>online lottery island luck</t>
  </si>
  <si>
    <t>numbers today login</t>
  </si>
  <si>
    <t>accumulator</t>
  </si>
  <si>
    <t>online lottery chances</t>
  </si>
  <si>
    <t>no deposit bonus</t>
  </si>
  <si>
    <t>numbers today stores</t>
  </si>
  <si>
    <t>jackpot</t>
  </si>
  <si>
    <t>online lottery ultra games</t>
  </si>
  <si>
    <t>live betting</t>
  </si>
  <si>
    <t>numbers today jackpot</t>
  </si>
  <si>
    <t>online lottery asurewin</t>
  </si>
  <si>
    <t>instant withdrawal</t>
  </si>
  <si>
    <t>numbers today caribbean</t>
  </si>
  <si>
    <t>online lottery caribbean</t>
  </si>
  <si>
    <t>in play betting</t>
  </si>
  <si>
    <t>in-play betting</t>
  </si>
  <si>
    <t>review</t>
  </si>
  <si>
    <t>reviews</t>
  </si>
  <si>
    <t>near me</t>
  </si>
  <si>
    <t>blackjack</t>
  </si>
  <si>
    <t>roulette</t>
  </si>
  <si>
    <t>slots</t>
  </si>
  <si>
    <t>nba betting</t>
  </si>
  <si>
    <t>nba bets</t>
  </si>
  <si>
    <t>nba bet</t>
  </si>
  <si>
    <t>nba odds</t>
  </si>
  <si>
    <t>nba betting odds</t>
  </si>
  <si>
    <t>nba scores</t>
  </si>
  <si>
    <t>nba score</t>
  </si>
  <si>
    <t>nba predictions</t>
  </si>
  <si>
    <t>nba picks</t>
  </si>
  <si>
    <t>nba schedule</t>
  </si>
  <si>
    <t>nfl betting</t>
  </si>
  <si>
    <t>nfl bets</t>
  </si>
  <si>
    <t>nfl bet</t>
  </si>
  <si>
    <t>nfl odds</t>
  </si>
  <si>
    <t>nfl betting odds</t>
  </si>
  <si>
    <t>nfl scores</t>
  </si>
  <si>
    <t>nfl score</t>
  </si>
  <si>
    <t>nfl predictions</t>
  </si>
  <si>
    <t>nfl picks</t>
  </si>
  <si>
    <t>nfl schedule</t>
  </si>
  <si>
    <t>games</t>
  </si>
  <si>
    <t>schedule</t>
  </si>
  <si>
    <t>scores</t>
  </si>
  <si>
    <t>spreads</t>
  </si>
  <si>
    <t>point spread</t>
  </si>
  <si>
    <t>moneyline</t>
  </si>
  <si>
    <t>over under</t>
  </si>
  <si>
    <t>props</t>
  </si>
  <si>
    <t>player props</t>
  </si>
  <si>
    <t>injury report</t>
  </si>
  <si>
    <t>standings</t>
  </si>
  <si>
    <t>playoffs</t>
  </si>
  <si>
    <t>super bowl</t>
  </si>
  <si>
    <t>finals</t>
  </si>
  <si>
    <t>playoff picture</t>
  </si>
  <si>
    <t>news</t>
  </si>
  <si>
    <t>american football</t>
  </si>
  <si>
    <t>football betting</t>
  </si>
  <si>
    <t>basketball</t>
  </si>
  <si>
    <t>basketball betting</t>
  </si>
  <si>
    <t>premier league betting</t>
  </si>
  <si>
    <t>premier league bets</t>
  </si>
  <si>
    <t>premier league bet</t>
  </si>
  <si>
    <t>premier league odds</t>
  </si>
  <si>
    <t>premier league predictions</t>
  </si>
  <si>
    <t>premier league scores</t>
  </si>
  <si>
    <t>premier league fixtures</t>
  </si>
  <si>
    <t>soccer betting</t>
  </si>
  <si>
    <t>EPL betting</t>
  </si>
  <si>
    <t>matches today</t>
  </si>
  <si>
    <t>fixtures today</t>
  </si>
  <si>
    <t>scores today</t>
  </si>
  <si>
    <t>table</t>
  </si>
  <si>
    <t>odds today</t>
  </si>
  <si>
    <t>pragmatic play games</t>
  </si>
  <si>
    <t>pragmatic play casino</t>
  </si>
  <si>
    <t>pragmatic play slots</t>
  </si>
  <si>
    <t>evolution games</t>
  </si>
  <si>
    <t>evolution casino games</t>
  </si>
  <si>
    <t>evolution live casino</t>
  </si>
  <si>
    <t>multislot games</t>
  </si>
  <si>
    <t>multi slots</t>
  </si>
  <si>
    <t>live casino providers</t>
  </si>
  <si>
    <t>casino providers</t>
  </si>
  <si>
    <t>casino</t>
  </si>
  <si>
    <t>games list</t>
  </si>
  <si>
    <t>provider</t>
  </si>
  <si>
    <t>teams</t>
  </si>
  <si>
    <t>Manchester United</t>
  </si>
  <si>
    <t>slot games</t>
  </si>
  <si>
    <t>Liverpool</t>
  </si>
  <si>
    <t>demo games</t>
  </si>
  <si>
    <t>Arsenal</t>
  </si>
  <si>
    <t>Chelsea</t>
  </si>
  <si>
    <t>live dealer</t>
  </si>
  <si>
    <t>game shows</t>
  </si>
  <si>
    <t>epl</t>
  </si>
  <si>
    <t>english premier league</t>
  </si>
  <si>
    <t>soccer odds</t>
  </si>
  <si>
    <t>instant play</t>
  </si>
  <si>
    <t>multislot demo</t>
  </si>
  <si>
    <t>multi slots demo</t>
  </si>
  <si>
    <t>crazy time</t>
  </si>
  <si>
    <t>crazy time game</t>
  </si>
  <si>
    <t>online blackjack</t>
  </si>
  <si>
    <t>blackjack online</t>
  </si>
  <si>
    <t>online roulette</t>
  </si>
  <si>
    <t>roulette online</t>
  </si>
  <si>
    <t>online slots</t>
  </si>
  <si>
    <t>casino slots</t>
  </si>
  <si>
    <t>demo casino games</t>
  </si>
  <si>
    <t>Evolution</t>
  </si>
  <si>
    <t>Pragmatic Play</t>
  </si>
  <si>
    <t>strategy</t>
  </si>
  <si>
    <t>free</t>
  </si>
  <si>
    <t>sweet bonanza</t>
  </si>
  <si>
    <t>gates of olympus</t>
  </si>
  <si>
    <t>big bass bonanza</t>
  </si>
  <si>
    <t>lightning roulette</t>
  </si>
  <si>
    <t>monopoly live</t>
  </si>
  <si>
    <t>chances games</t>
  </si>
  <si>
    <t>dream catcher</t>
  </si>
  <si>
    <t>everybody wins live</t>
  </si>
  <si>
    <t>the island game</t>
  </si>
  <si>
    <t>results today</t>
  </si>
  <si>
    <t>number</t>
  </si>
  <si>
    <t>numbers</t>
  </si>
  <si>
    <t>web cafe</t>
  </si>
  <si>
    <t>cash out</t>
  </si>
  <si>
    <t>customer service</t>
  </si>
  <si>
    <t>contact</t>
  </si>
  <si>
    <t>phone number</t>
  </si>
  <si>
    <t>promotions</t>
  </si>
  <si>
    <t>alternative</t>
  </si>
  <si>
    <t>alternatives</t>
  </si>
  <si>
    <t>vs paradise games</t>
  </si>
  <si>
    <t>pggames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</si>
</sst>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b/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0">
    <border/>
    <border>
      <left style="thin">
        <color rgb="FFEFEFEF"/>
      </left>
    </border>
    <border>
      <left style="thin">
        <color rgb="FF000000"/>
      </left>
    </border>
    <border>
      <top style="thin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EFEFEF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  <col customWidth="1" min="12" max="12" width="28.38"/>
  </cols>
  <sheetData>
    <row r="1">
      <c r="A1" s="1"/>
      <c r="B1" s="2" t="s">
        <v>0</v>
      </c>
      <c r="C1" s="2" t="s">
        <v>3</v>
      </c>
      <c r="D1" s="2" t="s">
        <v>6</v>
      </c>
      <c r="E1" s="2" t="s">
        <v>9</v>
      </c>
      <c r="F1" s="2" t="s">
        <v>12</v>
      </c>
      <c r="G1" s="2" t="s">
        <v>15</v>
      </c>
      <c r="H1" s="2" t="s">
        <v>17</v>
      </c>
      <c r="I1" s="2" t="s">
        <v>20</v>
      </c>
      <c r="J1" s="2" t="s">
        <v>22</v>
      </c>
      <c r="K1" s="2" t="s">
        <v>24</v>
      </c>
      <c r="L1" s="2" t="s">
        <v>27</v>
      </c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""&amp;$A3))"),"winning numbers bahamas")</f>
        <v>winning numbers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""&amp;$A3))"),"winning number bahamas")</f>
        <v>winning number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""&amp;$A3))"),"lottery results bahamas")</f>
        <v>lottery results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""&amp;$A3))"),"lotto results bahamas")</f>
        <v>lotto results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""&amp;$A3))"),"lotto numbers bahamas")</f>
        <v>lotto numbers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""&amp;$A3))"),"draw results bahamas")</f>
        <v>draw results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""&amp;$A3))"),"lottery winning numbers bahamas")</f>
        <v>lottery winning numbers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""&amp;$A3))"),"lottery numbers bahamas")</f>
        <v>lottery numbers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""&amp;$A3))"),"winning numbers today bahamas")</f>
        <v>winning numbers today bahamas</v>
      </c>
      <c r="K3" s="13" t="s">
        <v>44</v>
      </c>
      <c r="L3" s="14" t="str">
        <f>IFERROR(__xludf.DUMMYFUNCTION("FLATTEN(B3:K34,B1:K1)"),"winning numbers bahamas")</f>
        <v>winning numbers bahamas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46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""&amp;$A4))"),"winning numbers today")</f>
        <v>winning numbers today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""&amp;$A4))"),"winning number today")</f>
        <v>winning number today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""&amp;$A4))"),"lottery results today")</f>
        <v>lottery results today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""&amp;$A4))"),"lotto results today")</f>
        <v>lotto results today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""&amp;$A4))"),"lotto numbers today")</f>
        <v>lotto numbers today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""&amp;$A4))"),"draw results today")</f>
        <v>draw results today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""&amp;$A4))"),"lottery winning numbers today")</f>
        <v>lottery winning numbers today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""&amp;$A4))"),"lottery numbers today")</f>
        <v>lottery numbers today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""&amp;$A4))"),"winning numbers today")</f>
        <v>winning numbers today</v>
      </c>
      <c r="K4" s="13" t="s">
        <v>24</v>
      </c>
      <c r="L4" s="8" t="str">
        <f>IFERROR(__xludf.DUMMYFUNCTION("""COMPUTED_VALUE"""),"winning number bahamas")</f>
        <v>winning number bahamas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49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""&amp;$A5))"),"winning numbers tonight")</f>
        <v>winning numbers tonight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""&amp;$A5))"),"winning number tonight")</f>
        <v>winning number tonight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""&amp;$A5))"),"lottery results tonight")</f>
        <v>lottery results tonight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""&amp;$A5))"),"lotto results tonight")</f>
        <v>lotto results tonight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""&amp;$A5))"),"lotto numbers tonight")</f>
        <v>lotto numbers tonight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""&amp;$A5))"),"draw results tonight")</f>
        <v>draw results tonight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""&amp;$A5))"),"lottery winning numbers tonight")</f>
        <v>lottery winning numbers tonight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""&amp;$A5))"),"lottery numbers tonight")</f>
        <v>lottery numbers tonight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""&amp;$A5))"),"winning numbers today tonight")</f>
        <v>winning numbers today tonight</v>
      </c>
      <c r="K5" s="13" t="s">
        <v>50</v>
      </c>
      <c r="L5" s="8" t="str">
        <f>IFERROR(__xludf.DUMMYFUNCTION("""COMPUTED_VALUE"""),"lottery results bahamas")</f>
        <v>lottery results bahamas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52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""&amp;$A6))"),"winning numbers for today")</f>
        <v>winning numbers for today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""&amp;$A6))"),"winning number for today")</f>
        <v>winning number for today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""&amp;$A6))"),"lottery results for today")</f>
        <v>lottery results for today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""&amp;$A6))"),"lotto results for today")</f>
        <v>lotto results for today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""&amp;$A6))"),"lotto numbers for today")</f>
        <v>lotto numbers for today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""&amp;$A6))"),"draw results for today")</f>
        <v>draw results for today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""&amp;$A6))"),"lottery winning numbers for today")</f>
        <v>lottery winning numbers for today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""&amp;$A6))"),"lottery numbers for today")</f>
        <v>lottery numbers for today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""&amp;$A6))"),"winning numbers today for today")</f>
        <v>winning numbers today for today</v>
      </c>
      <c r="K6" s="13" t="s">
        <v>55</v>
      </c>
      <c r="L6" s="8" t="str">
        <f>IFERROR(__xludf.DUMMYFUNCTION("""COMPUTED_VALUE"""),"lotto results bahamas")</f>
        <v>lotto results bahamas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57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""&amp;$A7))"),"winning numbers for the day")</f>
        <v>winning numbers for the day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""&amp;$A7))"),"winning number for the day")</f>
        <v>winning number for the day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""&amp;$A7))"),"lottery results for the day")</f>
        <v>lottery results for the day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""&amp;$A7))"),"lotto results for the day")</f>
        <v>lotto results for the day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""&amp;$A7))"),"lotto numbers for the day")</f>
        <v>lotto numbers for the day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""&amp;$A7))"),"draw results for the day")</f>
        <v>draw results for the day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""&amp;$A7))"),"lottery winning numbers for the day")</f>
        <v>lottery winning numbers for the day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""&amp;$A7))"),"lottery numbers for the day")</f>
        <v>lottery numbers for the day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""&amp;$A7))"),"winning numbers today for the day")</f>
        <v>winning numbers today for the day</v>
      </c>
      <c r="K7" s="13" t="s">
        <v>61</v>
      </c>
      <c r="L7" s="8" t="str">
        <f>IFERROR(__xludf.DUMMYFUNCTION("""COMPUTED_VALUE"""),"lotto numbers bahamas")</f>
        <v>lotto numbers bahamas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64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""&amp;$A8))"),"winning numbers latest")</f>
        <v>winning numbers latest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""&amp;$A8))"),"winning number latest")</f>
        <v>winning number latest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""&amp;$A8))"),"lottery results latest")</f>
        <v>lottery results latest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""&amp;$A8))"),"lotto results latest")</f>
        <v>lotto results latest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""&amp;$A8))"),"lotto numbers latest")</f>
        <v>lotto numbers latest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""&amp;$A8))"),"draw results latest")</f>
        <v>draw results latest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""&amp;$A8))"),"lottery winning numbers latest")</f>
        <v>lottery winning numbers latest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""&amp;$A8))"),"lottery numbers latest")</f>
        <v>lottery numbers latest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""&amp;$A8))"),"winning numbers today latest")</f>
        <v>winning numbers today latest</v>
      </c>
      <c r="K8" s="13" t="s">
        <v>66</v>
      </c>
      <c r="L8" s="8" t="str">
        <f>IFERROR(__xludf.DUMMYFUNCTION("""COMPUTED_VALUE"""),"draw results bahamas")</f>
        <v>draw results bahamas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68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""&amp;$A9))"),"winning numbers live")</f>
        <v>winning numbers live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""&amp;$A9))"),"winning number live")</f>
        <v>winning number live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""&amp;$A9))"),"lottery results live")</f>
        <v>lottery results live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""&amp;$A9))"),"lotto results live")</f>
        <v>lotto results live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""&amp;$A9))"),"lotto numbers live")</f>
        <v>lotto numbers live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""&amp;$A9))"),"draw results live")</f>
        <v>draw results live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""&amp;$A9))"),"lottery winning numbers live")</f>
        <v>lottery winning numbers live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""&amp;$A9))"),"lottery numbers live")</f>
        <v>lottery numbers live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""&amp;$A9))"),"winning numbers today live")</f>
        <v>winning numbers today live</v>
      </c>
      <c r="K9" s="13" t="s">
        <v>71</v>
      </c>
      <c r="L9" s="8" t="str">
        <f>IFERROR(__xludf.DUMMYFUNCTION("""COMPUTED_VALUE"""),"lottery winning numbers bahamas")</f>
        <v>lottery winning numbers bahamas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73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""&amp;$A10))"),"winning numbers official")</f>
        <v>winning numbers official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""&amp;$A10))"),"winning number official")</f>
        <v>winning number official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""&amp;$A10))"),"lottery results official")</f>
        <v>lottery results official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""&amp;$A10))"),"lotto results official")</f>
        <v>lotto results official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""&amp;$A10))"),"lotto numbers official")</f>
        <v>lotto numbers official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""&amp;$A10))"),"draw results official")</f>
        <v>draw results official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""&amp;$A10))"),"lottery winning numbers official")</f>
        <v>lottery winning numbers official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""&amp;$A10))"),"lottery numbers official")</f>
        <v>lottery numbers official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""&amp;$A10))"),"winning numbers today official")</f>
        <v>winning numbers today official</v>
      </c>
      <c r="K10" s="13" t="s">
        <v>75</v>
      </c>
      <c r="L10" s="8" t="str">
        <f>IFERROR(__xludf.DUMMYFUNCTION("""COMPUTED_VALUE"""),"lottery numbers bahamas")</f>
        <v>lottery numbers bahamas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2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""&amp;$A11))"),"winning numbers lottery post")</f>
        <v>winning numbers lottery post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""&amp;$A11))"),"winning number lottery post")</f>
        <v>winning number lottery post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""&amp;$A11))"),"lottery results lottery post")</f>
        <v>lottery results lottery post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""&amp;$A11))"),"lotto results lottery post")</f>
        <v>lotto results lottery post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""&amp;$A11))"),"lotto numbers lottery post")</f>
        <v>lotto numbers lottery post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""&amp;$A11))"),"draw results lottery post")</f>
        <v>draw results lottery post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""&amp;$A11))"),"lottery winning numbers lottery post")</f>
        <v>lottery winning numbers lottery post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""&amp;$A11))"),"lottery numbers lottery post")</f>
        <v>lottery numbers lottery post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""&amp;$A11))"),"winning numbers today lottery post")</f>
        <v>winning numbers today lottery post</v>
      </c>
      <c r="K11" s="13" t="s">
        <v>77</v>
      </c>
      <c r="L11" s="8" t="str">
        <f>IFERROR(__xludf.DUMMYFUNCTION("""COMPUTED_VALUE"""),"winning numbers today bahamas")</f>
        <v>winning numbers today bahamas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79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""&amp;$A12))"),"winning numbers island luck")</f>
        <v>winning numbers island luck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""&amp;$A12))"),"winning number island luck")</f>
        <v>winning number island luck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""&amp;$A12))"),"lottery results island luck")</f>
        <v>lottery results island luck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""&amp;$A12))"),"lotto results island luck")</f>
        <v>lotto results island luck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""&amp;$A12))"),"lotto numbers island luck")</f>
        <v>lotto numbers island luck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""&amp;$A12))"),"draw results island luck")</f>
        <v>draw results island luck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""&amp;$A12))"),"lottery winning numbers island luck")</f>
        <v>lottery winning numbers island luck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""&amp;$A12))"),"lottery numbers island luck")</f>
        <v>lottery numbers island luck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""&amp;$A12))"),"winning numbers today island luck")</f>
        <v>winning numbers today island luck</v>
      </c>
      <c r="K12" s="13" t="s">
        <v>80</v>
      </c>
      <c r="L12" s="8" t="str">
        <f>IFERROR(__xludf.DUMMYFUNCTION("""COMPUTED_VALUE"""),"numbers today bahamas")</f>
        <v>numbers today bahamas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83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""&amp;$A13))"),"winning numbers chances")</f>
        <v>winning numbers chances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""&amp;$A13))"),"winning number chances")</f>
        <v>winning number chances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""&amp;$A13))"),"lottery results chances")</f>
        <v>lottery results chances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""&amp;$A13))"),"lotto results chances")</f>
        <v>lotto results chances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""&amp;$A13))"),"lotto numbers chances")</f>
        <v>lotto numbers chances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""&amp;$A13))"),"draw results chances")</f>
        <v>draw results chances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""&amp;$A13))"),"lottery winning numbers chances")</f>
        <v>lottery winning numbers chances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""&amp;$A13))"),"lottery numbers chances")</f>
        <v>lottery numbers chances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""&amp;$A13))"),"winning numbers today chances")</f>
        <v>winning numbers today chances</v>
      </c>
      <c r="K13" s="13" t="s">
        <v>84</v>
      </c>
      <c r="L13" s="8" t="str">
        <f>IFERROR(__xludf.DUMMYFUNCTION("""COMPUTED_VALUE"""),"winning numbers today")</f>
        <v>winning numbers today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86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""&amp;$A14))"),"winning numbers ultra games")</f>
        <v>winning numbers ultra games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""&amp;$A14))"),"winning number ultra games")</f>
        <v>winning number ultra games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""&amp;$A14))"),"lottery results ultra games")</f>
        <v>lottery results ultra games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""&amp;$A14))"),"lotto results ultra games")</f>
        <v>lotto results ultra games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""&amp;$A14))"),"lotto numbers ultra games")</f>
        <v>lotto numbers ultra games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""&amp;$A14))"),"draw results ultra games")</f>
        <v>draw results ultra games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""&amp;$A14))"),"lottery winning numbers ultra games")</f>
        <v>lottery winning numbers ultra games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""&amp;$A14))"),"lottery numbers ultra games")</f>
        <v>lottery numbers ultra games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""&amp;$A14))"),"winning numbers today ultra games")</f>
        <v>winning numbers today ultra games</v>
      </c>
      <c r="K14" s="13" t="s">
        <v>89</v>
      </c>
      <c r="L14" s="8" t="str">
        <f>IFERROR(__xludf.DUMMYFUNCTION("""COMPUTED_VALUE"""),"winning number today")</f>
        <v>winning number today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90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""&amp;$A15))"),"winning numbers asurewin")</f>
        <v>winning numbers asurewin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""&amp;$A15))"),"winning number asurewin")</f>
        <v>winning number asurewin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""&amp;$A15))"),"lottery results asurewin")</f>
        <v>lottery results asurewin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""&amp;$A15))"),"lotto results asurewin")</f>
        <v>lotto results asurewin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""&amp;$A15))"),"lotto numbers asurewin")</f>
        <v>lotto numbers asurewin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""&amp;$A15))"),"draw results asurewin")</f>
        <v>draw results asurewin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""&amp;$A15))"),"lottery winning numbers asurewin")</f>
        <v>lottery winning numbers asurewin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""&amp;$A15))"),"lottery numbers asurewin")</f>
        <v>lottery numbers asurewin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""&amp;$A15))"),"winning numbers today asurewin")</f>
        <v>winning numbers today asurewin</v>
      </c>
      <c r="K15" s="13" t="s">
        <v>93</v>
      </c>
      <c r="L15" s="8" t="str">
        <f>IFERROR(__xludf.DUMMYFUNCTION("""COMPUTED_VALUE"""),"lottery results today")</f>
        <v>lottery results today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96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""&amp;$A16))"),"winning numbers a sure win")</f>
        <v>winning numbers a sure win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""&amp;$A16))"),"winning number a sure win")</f>
        <v>winning number a sure win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""&amp;$A16))"),"lottery results a sure win")</f>
        <v>lottery results a sure win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""&amp;$A16))"),"lotto results a sure win")</f>
        <v>lotto results a sure win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""&amp;$A16))"),"lotto numbers a sure win")</f>
        <v>lotto numbers a sure win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""&amp;$A16))"),"draw results a sure win")</f>
        <v>draw results a sure win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""&amp;$A16))"),"lottery winning numbers a sure win")</f>
        <v>lottery winning numbers a sure win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""&amp;$A16))"),"lottery numbers a sure win")</f>
        <v>lottery numbers a sure win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""&amp;$A16))"),"winning numbers today a sure win")</f>
        <v>winning numbers today a sure win</v>
      </c>
      <c r="K16" s="13" t="s">
        <v>98</v>
      </c>
      <c r="L16" s="8" t="str">
        <f>IFERROR(__xludf.DUMMYFUNCTION("""COMPUTED_VALUE"""),"lotto results today")</f>
        <v>lotto results today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100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""&amp;$A17))"),"winning numbers paradise games")</f>
        <v>winning numbers paradise games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""&amp;$A17))"),"winning number paradise games")</f>
        <v>winning number paradise games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""&amp;$A17))"),"lottery results paradise games")</f>
        <v>lottery results paradise games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""&amp;$A17))"),"lotto results paradise games")</f>
        <v>lotto results paradise games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""&amp;$A17))"),"lotto numbers paradise games")</f>
        <v>lotto numbers paradise games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""&amp;$A17))"),"draw results paradise games")</f>
        <v>draw results paradise games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""&amp;$A17))"),"lottery winning numbers paradise games")</f>
        <v>lottery winning numbers paradise games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""&amp;$A17))"),"lottery numbers paradise games")</f>
        <v>lottery numbers paradise games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""&amp;$A17))"),"winning numbers today paradise games")</f>
        <v>winning numbers today paradise games</v>
      </c>
      <c r="K17" s="13" t="s">
        <v>103</v>
      </c>
      <c r="L17" s="8" t="str">
        <f>IFERROR(__xludf.DUMMYFUNCTION("""COMPUTED_VALUE"""),"lotto numbers today")</f>
        <v>lotto numbers today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105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""&amp;$A18))"),"winning numbers pggames")</f>
        <v>winning numbers pggames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""&amp;$A18))"),"winning number pggames")</f>
        <v>winning number pggames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""&amp;$A18))"),"lottery results pggames")</f>
        <v>lottery results pggames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""&amp;$A18))"),"lotto results pggames")</f>
        <v>lotto results pggames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""&amp;$A18))"),"lotto numbers pggames")</f>
        <v>lotto numbers pggames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""&amp;$A18))"),"draw results pggames")</f>
        <v>draw results pggames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""&amp;$A18))"),"lottery winning numbers pggames")</f>
        <v>lottery winning numbers pggames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""&amp;$A18))"),"lottery numbers pggames")</f>
        <v>lottery numbers pggames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""&amp;$A18))"),"winning numbers today pggames")</f>
        <v>winning numbers today pggames</v>
      </c>
      <c r="K18" s="13" t="s">
        <v>107</v>
      </c>
      <c r="L18" s="8" t="str">
        <f>IFERROR(__xludf.DUMMYFUNCTION("""COMPUTED_VALUE"""),"draw results today")</f>
        <v>draw results today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11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""&amp;$A19))"),"winning numbers 3 ball miami")</f>
        <v>winning numbers 3 ball miami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""&amp;$A19))"),"winning number 3 ball miami")</f>
        <v>winning number 3 ball miami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""&amp;$A19))"),"lottery results 3 ball miami")</f>
        <v>lottery results 3 ball miami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""&amp;$A19))"),"lotto results 3 ball miami")</f>
        <v>lotto results 3 ball miami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""&amp;$A19))"),"lotto numbers 3 ball miami")</f>
        <v>lotto numbers 3 ball miami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""&amp;$A19))"),"draw results 3 ball miami")</f>
        <v>draw results 3 ball miami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""&amp;$A19))"),"lottery winning numbers 3 ball miami")</f>
        <v>lottery winning numbers 3 ball miami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""&amp;$A19))"),"lottery numbers 3 ball miami")</f>
        <v>lottery numbers 3 ball miami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""&amp;$A19))"),"winning numbers today 3 ball miami")</f>
        <v>winning numbers today 3 ball miami</v>
      </c>
      <c r="K19" s="13" t="s">
        <v>111</v>
      </c>
      <c r="L19" s="8" t="str">
        <f>IFERROR(__xludf.DUMMYFUNCTION("""COMPUTED_VALUE"""),"lottery winning numbers today")</f>
        <v>lottery winning numbers today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14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""&amp;$A20))"),"winning numbers 3-ball miami")</f>
        <v>winning numbers 3-ball miami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""&amp;$A20))"),"winning number 3-ball miami")</f>
        <v>winning number 3-ball miami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""&amp;$A20))"),"lottery results 3-ball miami")</f>
        <v>lottery results 3-ball miami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""&amp;$A20))"),"lotto results 3-ball miami")</f>
        <v>lotto results 3-ball miami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""&amp;$A20))"),"lotto numbers 3-ball miami")</f>
        <v>lotto numbers 3-ball miami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""&amp;$A20))"),"draw results 3-ball miami")</f>
        <v>draw results 3-ball miami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""&amp;$A20))"),"lottery winning numbers 3-ball miami")</f>
        <v>lottery winning numbers 3-ball miami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""&amp;$A20))"),"lottery numbers 3-ball miami")</f>
        <v>lottery numbers 3-ball miami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""&amp;$A20))"),"winning numbers today 3-ball miami")</f>
        <v>winning numbers today 3-ball miami</v>
      </c>
      <c r="K20" s="13" t="s">
        <v>113</v>
      </c>
      <c r="L20" s="8" t="str">
        <f>IFERROR(__xludf.DUMMYFUNCTION("""COMPUTED_VALUE"""),"lottery numbers today")</f>
        <v>lottery numbers today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115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""&amp;$A21))"),"winning numbers miami")</f>
        <v>winning numbers miami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""&amp;$A21))"),"winning number miami")</f>
        <v>winning number miami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""&amp;$A21))"),"lottery results miami")</f>
        <v>lottery results miami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""&amp;$A21))"),"lotto results miami")</f>
        <v>lotto results miami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""&amp;$A21))"),"lotto numbers miami")</f>
        <v>lotto numbers miami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""&amp;$A21))"),"draw results miami")</f>
        <v>draw results miami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""&amp;$A21))"),"lottery winning numbers miami")</f>
        <v>lottery winning numbers miami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""&amp;$A21))"),"lottery numbers miami")</f>
        <v>lottery numbers miami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""&amp;$A21))"),"winning numbers today miami")</f>
        <v>winning numbers today miami</v>
      </c>
      <c r="K21" s="13" t="s">
        <v>116</v>
      </c>
      <c r="L21" s="8" t="str">
        <f>IFERROR(__xludf.DUMMYFUNCTION("""COMPUTED_VALUE"""),"winning numbers today")</f>
        <v>winning numbers today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118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""&amp;$A22))"),"winning numbers 4 ball")</f>
        <v>winning numbers 4 ball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""&amp;$A22))"),"winning number 4 ball")</f>
        <v>winning number 4 ball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""&amp;$A22))"),"lottery results 4 ball")</f>
        <v>lottery results 4 ball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""&amp;$A22))"),"lotto results 4 ball")</f>
        <v>lotto results 4 ball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""&amp;$A22))"),"lotto numbers 4 ball")</f>
        <v>lotto numbers 4 ball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""&amp;$A22))"),"draw results 4 ball")</f>
        <v>draw results 4 ball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""&amp;$A22))"),"lottery winning numbers 4 ball")</f>
        <v>lottery winning numbers 4 ball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""&amp;$A22))"),"lottery numbers 4 ball")</f>
        <v>lottery numbers 4 ball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""&amp;$A22))"),"winning numbers today 4 ball")</f>
        <v>winning numbers today 4 ball</v>
      </c>
      <c r="K22" s="13" t="s">
        <v>121</v>
      </c>
      <c r="L22" s="8" t="str">
        <f>IFERROR(__xludf.DUMMYFUNCTION("""COMPUTED_VALUE"""),"numbers today")</f>
        <v>numbers today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123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""&amp;$A23))"),"winning numbers 5 ball")</f>
        <v>winning numbers 5 ball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""&amp;$A23))"),"winning number 5 ball")</f>
        <v>winning number 5 ball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""&amp;$A23))"),"lottery results 5 ball")</f>
        <v>lottery results 5 ball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""&amp;$A23))"),"lotto results 5 ball")</f>
        <v>lotto results 5 ball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""&amp;$A23))"),"lotto numbers 5 ball")</f>
        <v>lotto numbers 5 ball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""&amp;$A23))"),"draw results 5 ball")</f>
        <v>draw results 5 ball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""&amp;$A23))"),"lottery winning numbers 5 ball")</f>
        <v>lottery winning numbers 5 ball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""&amp;$A23))"),"lottery numbers 5 ball")</f>
        <v>lottery numbers 5 ball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""&amp;$A23))"),"winning numbers today 5 ball")</f>
        <v>winning numbers today 5 ball</v>
      </c>
      <c r="K23" s="13" t="s">
        <v>125</v>
      </c>
      <c r="L23" s="8" t="str">
        <f>IFERROR(__xludf.DUMMYFUNCTION("""COMPUTED_VALUE"""),"winning numbers tonight")</f>
        <v>winning numbers tonight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128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""&amp;$A24))"),"winning numbers draw")</f>
        <v>winning numbers draw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""&amp;$A24))"),"winning number draw")</f>
        <v>winning number draw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""&amp;$A24))"),"lottery results draw")</f>
        <v>lottery results draw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""&amp;$A24))"),"lotto results draw")</f>
        <v>lotto results draw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""&amp;$A24))"),"lotto numbers draw")</f>
        <v>lotto numbers draw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""&amp;$A24))"),"draw results")</f>
        <v>draw results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""&amp;$A24))"),"lottery winning numbers draw")</f>
        <v>lottery winning numbers draw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""&amp;$A24))"),"lottery numbers draw")</f>
        <v>lottery numbers draw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""&amp;$A24))"),"winning numbers today draw")</f>
        <v>winning numbers today draw</v>
      </c>
      <c r="K24" s="13" t="s">
        <v>131</v>
      </c>
      <c r="L24" s="8" t="str">
        <f>IFERROR(__xludf.DUMMYFUNCTION("""COMPUTED_VALUE"""),"winning number tonight")</f>
        <v>winning number tonight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91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""&amp;$A25))"),"winning numbers draw time")</f>
        <v>winning numbers draw time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""&amp;$A25))"),"winning number draw time")</f>
        <v>winning number draw time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""&amp;$A25))"),"lottery results draw time")</f>
        <v>lottery results draw time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""&amp;$A25))"),"lotto results draw time")</f>
        <v>lotto results draw time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""&amp;$A25))"),"lotto numbers draw time")</f>
        <v>lotto numbers draw time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""&amp;$A25))"),"draw results draw time")</f>
        <v>draw results draw time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""&amp;$A25))"),"lottery winning numbers draw time")</f>
        <v>lottery winning numbers draw time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""&amp;$A25))"),"lottery numbers draw time")</f>
        <v>lottery numbers draw time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""&amp;$A25))"),"winning numbers today draw time")</f>
        <v>winning numbers today draw time</v>
      </c>
      <c r="K25" s="13" t="s">
        <v>135</v>
      </c>
      <c r="L25" s="8" t="str">
        <f>IFERROR(__xludf.DUMMYFUNCTION("""COMPUTED_VALUE"""),"lottery results tonight")</f>
        <v>lottery results tonight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72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""&amp;$A26))"),"winning numbers results")</f>
        <v>winning numbers results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""&amp;$A26))"),"winning number results")</f>
        <v>winning number results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""&amp;$A26))"),"lottery results")</f>
        <v>lottery results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""&amp;$A26))"),"lotto results")</f>
        <v>lotto results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""&amp;$A26))"),"lotto numbers results")</f>
        <v>lotto numbers results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""&amp;$A26))"),"draw results")</f>
        <v>draw results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""&amp;$A26))"),"lottery winning numbers results")</f>
        <v>lottery winning numbers results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""&amp;$A26))"),"lottery numbers results")</f>
        <v>lottery numbers results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""&amp;$A26))"),"winning numbers today results")</f>
        <v>winning numbers today results</v>
      </c>
      <c r="K26" s="13" t="s">
        <v>139</v>
      </c>
      <c r="L26" s="8" t="str">
        <f>IFERROR(__xludf.DUMMYFUNCTION("""COMPUTED_VALUE"""),"lotto results tonight")</f>
        <v>lotto results tonight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141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""&amp;$A27))"),"winning numbers nassau")</f>
        <v>winning numbers nassau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""&amp;$A27))"),"winning number nassau")</f>
        <v>winning number nassau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""&amp;$A27))"),"lottery results nassau")</f>
        <v>lottery results nassau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""&amp;$A27))"),"lotto results nassau")</f>
        <v>lotto results nassau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""&amp;$A27))"),"lotto numbers nassau")</f>
        <v>lotto numbers nassau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""&amp;$A27))"),"draw results nassau")</f>
        <v>draw results nassau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""&amp;$A27))"),"lottery winning numbers nassau")</f>
        <v>lottery winning numbers nassau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""&amp;$A27))"),"lottery numbers nassau")</f>
        <v>lottery numbers nassau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""&amp;$A27))"),"winning numbers today nassau")</f>
        <v>winning numbers today nassau</v>
      </c>
      <c r="K27" s="13" t="s">
        <v>145</v>
      </c>
      <c r="L27" s="8" t="str">
        <f>IFERROR(__xludf.DUMMYFUNCTION("""COMPUTED_VALUE"""),"lotto numbers tonight")</f>
        <v>lotto numbers tonight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147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""&amp;$A28))"),"winning numbers freeport")</f>
        <v>winning numbers freeport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""&amp;$A28))"),"winning number freeport")</f>
        <v>winning number freeport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""&amp;$A28))"),"lottery results freeport")</f>
        <v>lottery results freeport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""&amp;$A28))"),"lotto results freeport")</f>
        <v>lotto results freeport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""&amp;$A28))"),"lotto numbers freeport")</f>
        <v>lotto numbers freeport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""&amp;$A28))"),"draw results freeport")</f>
        <v>draw results freeport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""&amp;$A28))"),"lottery winning numbers freeport")</f>
        <v>lottery winning numbers freeport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""&amp;$A28))"),"lottery numbers freeport")</f>
        <v>lottery numbers freeport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""&amp;$A28))"),"winning numbers today freeport")</f>
        <v>winning numbers today freeport</v>
      </c>
      <c r="K28" s="13" t="s">
        <v>148</v>
      </c>
      <c r="L28" s="8" t="str">
        <f>IFERROR(__xludf.DUMMYFUNCTION("""COMPUTED_VALUE"""),"draw results tonight")</f>
        <v>draw results tonight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101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""&amp;$A29))"),"winning numbers app")</f>
        <v>winning numbers app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""&amp;$A29))"),"winning number app")</f>
        <v>winning number app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""&amp;$A29))"),"lottery results app")</f>
        <v>lottery results app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""&amp;$A29))"),"lotto results app")</f>
        <v>lotto results app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""&amp;$A29))"),"lotto numbers app")</f>
        <v>lotto numbers app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""&amp;$A29))"),"draw results app")</f>
        <v>draw results app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""&amp;$A29))"),"lottery winning numbers app")</f>
        <v>lottery winning numbers app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""&amp;$A29))"),"lottery numbers app")</f>
        <v>lottery numbers app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""&amp;$A29))"),"winning numbers today app")</f>
        <v>winning numbers today app</v>
      </c>
      <c r="K29" s="13" t="s">
        <v>152</v>
      </c>
      <c r="L29" s="8" t="str">
        <f>IFERROR(__xludf.DUMMYFUNCTION("""COMPUTED_VALUE"""),"lottery winning numbers tonight")</f>
        <v>lottery winning numbers tonight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0" t="s">
        <v>94</v>
      </c>
      <c r="B30" s="13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""&amp;$A30))"),"winning numbers mobile")</f>
        <v>winning numbers mobile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""&amp;$A30))"),"winning number mobile")</f>
        <v>winning number mobile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""&amp;$A30))"),"lottery results mobile")</f>
        <v>lottery results mobile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""&amp;$A30))"),"lotto results mobile")</f>
        <v>lotto results mobile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""&amp;$A30))"),"lotto numbers mobile")</f>
        <v>lotto numbers mobile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""&amp;$A30))"),"draw results mobile")</f>
        <v>draw results mobile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""&amp;$A30))"),"lottery winning numbers mobile")</f>
        <v>lottery winning numbers mobile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""&amp;$A30))"),"lottery numbers mobile")</f>
        <v>lottery numbers mobile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""&amp;$A30))"),"winning numbers today mobile")</f>
        <v>winning numbers today mobile</v>
      </c>
      <c r="K30" s="13" t="s">
        <v>155</v>
      </c>
      <c r="L30" s="8" t="str">
        <f>IFERROR(__xludf.DUMMYFUNCTION("""COMPUTED_VALUE"""),"lottery numbers tonight")</f>
        <v>lottery numbers tonight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0" t="s">
        <v>124</v>
      </c>
      <c r="B31" s="13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""&amp;$A31))"),"winning numbers login")</f>
        <v>winning numbers login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""&amp;$A31))"),"winning number login")</f>
        <v>winning number login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""&amp;$A31))"),"lottery results login")</f>
        <v>lottery results login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""&amp;$A31))"),"lotto results login")</f>
        <v>lotto results login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""&amp;$A31))"),"lotto numbers login")</f>
        <v>lotto numbers login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""&amp;$A31))"),"draw results login")</f>
        <v>draw results login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""&amp;$A31))"),"lottery winning numbers login")</f>
        <v>lottery winning numbers login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""&amp;$A31))"),"lottery numbers login")</f>
        <v>lottery numbers login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""&amp;$A31))"),"winning numbers today login")</f>
        <v>winning numbers today login</v>
      </c>
      <c r="K31" s="13" t="s">
        <v>158</v>
      </c>
      <c r="L31" s="8" t="str">
        <f>IFERROR(__xludf.DUMMYFUNCTION("""COMPUTED_VALUE"""),"winning numbers today tonight")</f>
        <v>winning numbers today tonight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138</v>
      </c>
      <c r="B32" s="13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""&amp;$A32))"),"winning numbers stores")</f>
        <v>winning numbers stores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""&amp;$A32))"),"winning number stores")</f>
        <v>winning number stores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""&amp;$A32))"),"lottery results stores")</f>
        <v>lottery results stores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""&amp;$A32))"),"lotto results stores")</f>
        <v>lotto results stores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""&amp;$A32))"),"lotto numbers stores")</f>
        <v>lotto numbers stores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""&amp;$A32))"),"draw results stores")</f>
        <v>draw results stores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""&amp;$A32))"),"lottery winning numbers stores")</f>
        <v>lottery winning numbers stores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""&amp;$A32))"),"lottery numbers stores")</f>
        <v>lottery numbers stores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""&amp;$A32))"),"winning numbers today stores")</f>
        <v>winning numbers today stores</v>
      </c>
      <c r="K32" s="13" t="s">
        <v>162</v>
      </c>
      <c r="L32" s="8" t="str">
        <f>IFERROR(__xludf.DUMMYFUNCTION("""COMPUTED_VALUE"""),"numbers today tonight")</f>
        <v>numbers today tonight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163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""&amp;$A33))"),"winning numbers jackpot")</f>
        <v>winning numbers jackpot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""&amp;$A33))"),"winning number jackpot")</f>
        <v>winning number jackpot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""&amp;$A33))"),"lottery results jackpot")</f>
        <v>lottery results jackpot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""&amp;$A33))"),"lotto results jackpot")</f>
        <v>lotto results jackpot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""&amp;$A33))"),"lotto numbers jackpot")</f>
        <v>lotto numbers jackpot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""&amp;$A33))"),"draw results jackpot")</f>
        <v>draw results jackpot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""&amp;$A33))"),"lottery winning numbers jackpot")</f>
        <v>lottery winning numbers jackpot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""&amp;$A33))"),"lottery numbers jackpot")</f>
        <v>lottery numbers jackpot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""&amp;$A33))"),"winning numbers today jackpot")</f>
        <v>winning numbers today jackpot</v>
      </c>
      <c r="K33" s="13" t="s">
        <v>166</v>
      </c>
      <c r="L33" s="8" t="str">
        <f>IFERROR(__xludf.DUMMYFUNCTION("""COMPUTED_VALUE"""),"winning numbers for today")</f>
        <v>winning numbers for today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54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""&amp;$A34))"),"winning numbers caribbean")</f>
        <v>winning numbers caribbean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""&amp;$A34))"),"winning number caribbean")</f>
        <v>winning number caribbean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""&amp;$A34))"),"lottery results caribbean")</f>
        <v>lottery results caribbean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""&amp;$A34))"),"lotto results caribbean")</f>
        <v>lotto results caribbean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""&amp;$A34))"),"lotto numbers caribbean")</f>
        <v>lotto numbers caribbean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""&amp;$A34))"),"draw results caribbean")</f>
        <v>draw results caribbean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""&amp;$A34))"),"lottery winning numbers caribbean")</f>
        <v>lottery winning numbers caribbean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""&amp;$A34))"),"lottery numbers caribbean")</f>
        <v>lottery numbers caribbean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""&amp;$A34))"),"winning numbers today caribbean")</f>
        <v>winning numbers today caribbean</v>
      </c>
      <c r="K34" s="13" t="s">
        <v>169</v>
      </c>
      <c r="L34" s="8" t="str">
        <f>IFERROR(__xludf.DUMMYFUNCTION("""COMPUTED_VALUE"""),"winning number for today")</f>
        <v>winning number for today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8" t="str">
        <f>IFERROR(__xludf.DUMMYFUNCTION("""COMPUTED_VALUE"""),"lottery results for today")</f>
        <v>lottery results for today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" t="str">
        <f>IFERROR(__xludf.DUMMYFUNCTION("""COMPUTED_VALUE"""),"lotto results for today")</f>
        <v>lotto results for today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" t="str">
        <f>IFERROR(__xludf.DUMMYFUNCTION("""COMPUTED_VALUE"""),"lotto numbers for today")</f>
        <v>lotto numbers for today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" t="str">
        <f>IFERROR(__xludf.DUMMYFUNCTION("""COMPUTED_VALUE"""),"draw results for today")</f>
        <v>draw results for today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" t="str">
        <f>IFERROR(__xludf.DUMMYFUNCTION("""COMPUTED_VALUE"""),"lottery winning numbers for today")</f>
        <v>lottery winning numbers for today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" t="str">
        <f>IFERROR(__xludf.DUMMYFUNCTION("""COMPUTED_VALUE"""),"lottery numbers for today")</f>
        <v>lottery numbers for today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" t="str">
        <f>IFERROR(__xludf.DUMMYFUNCTION("""COMPUTED_VALUE"""),"winning numbers today for today")</f>
        <v>winning numbers today for today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" t="str">
        <f>IFERROR(__xludf.DUMMYFUNCTION("""COMPUTED_VALUE"""),"numbers today for today")</f>
        <v>numbers today for today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" t="str">
        <f>IFERROR(__xludf.DUMMYFUNCTION("""COMPUTED_VALUE"""),"winning numbers for the day")</f>
        <v>winning numbers for the day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" t="str">
        <f>IFERROR(__xludf.DUMMYFUNCTION("""COMPUTED_VALUE"""),"winning number for the day")</f>
        <v>winning number for the day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" t="str">
        <f>IFERROR(__xludf.DUMMYFUNCTION("""COMPUTED_VALUE"""),"lottery results for the day")</f>
        <v>lottery results for the day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" t="str">
        <f>IFERROR(__xludf.DUMMYFUNCTION("""COMPUTED_VALUE"""),"lotto results for the day")</f>
        <v>lotto results for the day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" t="str">
        <f>IFERROR(__xludf.DUMMYFUNCTION("""COMPUTED_VALUE"""),"lotto numbers for the day")</f>
        <v>lotto numbers for the day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" t="str">
        <f>IFERROR(__xludf.DUMMYFUNCTION("""COMPUTED_VALUE"""),"draw results for the day")</f>
        <v>draw results for the day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" t="str">
        <f>IFERROR(__xludf.DUMMYFUNCTION("""COMPUTED_VALUE"""),"lottery winning numbers for the day")</f>
        <v>lottery winning numbers for the day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" t="str">
        <f>IFERROR(__xludf.DUMMYFUNCTION("""COMPUTED_VALUE"""),"lottery numbers for the day")</f>
        <v>lottery numbers for the day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" t="str">
        <f>IFERROR(__xludf.DUMMYFUNCTION("""COMPUTED_VALUE"""),"winning numbers today for the day")</f>
        <v>winning numbers today for the day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" t="str">
        <f>IFERROR(__xludf.DUMMYFUNCTION("""COMPUTED_VALUE"""),"numbers today for the day")</f>
        <v>numbers today for the day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" t="str">
        <f>IFERROR(__xludf.DUMMYFUNCTION("""COMPUTED_VALUE"""),"winning numbers latest")</f>
        <v>winning numbers latest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" t="str">
        <f>IFERROR(__xludf.DUMMYFUNCTION("""COMPUTED_VALUE"""),"winning number latest")</f>
        <v>winning number latest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" t="str">
        <f>IFERROR(__xludf.DUMMYFUNCTION("""COMPUTED_VALUE"""),"lottery results latest")</f>
        <v>lottery results latest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" t="str">
        <f>IFERROR(__xludf.DUMMYFUNCTION("""COMPUTED_VALUE"""),"lotto results latest")</f>
        <v>lotto results latest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" t="str">
        <f>IFERROR(__xludf.DUMMYFUNCTION("""COMPUTED_VALUE"""),"lotto numbers latest")</f>
        <v>lotto numbers latest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" t="str">
        <f>IFERROR(__xludf.DUMMYFUNCTION("""COMPUTED_VALUE"""),"draw results latest")</f>
        <v>draw results latest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" t="str">
        <f>IFERROR(__xludf.DUMMYFUNCTION("""COMPUTED_VALUE"""),"lottery winning numbers latest")</f>
        <v>lottery winning numbers latest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" t="str">
        <f>IFERROR(__xludf.DUMMYFUNCTION("""COMPUTED_VALUE"""),"lottery numbers latest")</f>
        <v>lottery numbers latest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" t="str">
        <f>IFERROR(__xludf.DUMMYFUNCTION("""COMPUTED_VALUE"""),"winning numbers today latest")</f>
        <v>winning numbers today latest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" t="str">
        <f>IFERROR(__xludf.DUMMYFUNCTION("""COMPUTED_VALUE"""),"numbers today latest")</f>
        <v>numbers today latest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" t="str">
        <f>IFERROR(__xludf.DUMMYFUNCTION("""COMPUTED_VALUE"""),"winning numbers live")</f>
        <v>winning numbers live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" t="str">
        <f>IFERROR(__xludf.DUMMYFUNCTION("""COMPUTED_VALUE"""),"winning number live")</f>
        <v>winning number live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" t="str">
        <f>IFERROR(__xludf.DUMMYFUNCTION("""COMPUTED_VALUE"""),"lottery results live")</f>
        <v>lottery results live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" t="str">
        <f>IFERROR(__xludf.DUMMYFUNCTION("""COMPUTED_VALUE"""),"lotto results live")</f>
        <v>lotto results live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" t="str">
        <f>IFERROR(__xludf.DUMMYFUNCTION("""COMPUTED_VALUE"""),"lotto numbers live")</f>
        <v>lotto numbers live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" t="str">
        <f>IFERROR(__xludf.DUMMYFUNCTION("""COMPUTED_VALUE"""),"draw results live")</f>
        <v>draw results live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" t="str">
        <f>IFERROR(__xludf.DUMMYFUNCTION("""COMPUTED_VALUE"""),"lottery winning numbers live")</f>
        <v>lottery winning numbers live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" t="str">
        <f>IFERROR(__xludf.DUMMYFUNCTION("""COMPUTED_VALUE"""),"lottery numbers live")</f>
        <v>lottery numbers live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" t="str">
        <f>IFERROR(__xludf.DUMMYFUNCTION("""COMPUTED_VALUE"""),"winning numbers today live")</f>
        <v>winning numbers today live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" t="str">
        <f>IFERROR(__xludf.DUMMYFUNCTION("""COMPUTED_VALUE"""),"numbers today live")</f>
        <v>numbers today live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" t="str">
        <f>IFERROR(__xludf.DUMMYFUNCTION("""COMPUTED_VALUE"""),"winning numbers official")</f>
        <v>winning numbers official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" t="str">
        <f>IFERROR(__xludf.DUMMYFUNCTION("""COMPUTED_VALUE"""),"winning number official")</f>
        <v>winning number official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" t="str">
        <f>IFERROR(__xludf.DUMMYFUNCTION("""COMPUTED_VALUE"""),"lottery results official")</f>
        <v>lottery results official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" t="str">
        <f>IFERROR(__xludf.DUMMYFUNCTION("""COMPUTED_VALUE"""),"lotto results official")</f>
        <v>lotto results official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8" t="str">
        <f>IFERROR(__xludf.DUMMYFUNCTION("""COMPUTED_VALUE"""),"lotto numbers official")</f>
        <v>lotto numbers official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" t="str">
        <f>IFERROR(__xludf.DUMMYFUNCTION("""COMPUTED_VALUE"""),"draw results official")</f>
        <v>draw results official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" t="str">
        <f>IFERROR(__xludf.DUMMYFUNCTION("""COMPUTED_VALUE"""),"lottery winning numbers official")</f>
        <v>lottery winning numbers official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" t="str">
        <f>IFERROR(__xludf.DUMMYFUNCTION("""COMPUTED_VALUE"""),"lottery numbers official")</f>
        <v>lottery numbers official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" t="str">
        <f>IFERROR(__xludf.DUMMYFUNCTION("""COMPUTED_VALUE"""),"winning numbers today official")</f>
        <v>winning numbers today official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" t="str">
        <f>IFERROR(__xludf.DUMMYFUNCTION("""COMPUTED_VALUE"""),"numbers today official")</f>
        <v>numbers today official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" t="str">
        <f>IFERROR(__xludf.DUMMYFUNCTION("""COMPUTED_VALUE"""),"winning numbers lottery post")</f>
        <v>winning numbers lottery post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" t="str">
        <f>IFERROR(__xludf.DUMMYFUNCTION("""COMPUTED_VALUE"""),"winning number lottery post")</f>
        <v>winning number lottery post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" t="str">
        <f>IFERROR(__xludf.DUMMYFUNCTION("""COMPUTED_VALUE"""),"lottery results lottery post")</f>
        <v>lottery results lottery post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" t="str">
        <f>IFERROR(__xludf.DUMMYFUNCTION("""COMPUTED_VALUE"""),"lotto results lottery post")</f>
        <v>lotto results lottery post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" t="str">
        <f>IFERROR(__xludf.DUMMYFUNCTION("""COMPUTED_VALUE"""),"lotto numbers lottery post")</f>
        <v>lotto numbers lottery post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" t="str">
        <f>IFERROR(__xludf.DUMMYFUNCTION("""COMPUTED_VALUE"""),"draw results lottery post")</f>
        <v>draw results lottery post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" t="str">
        <f>IFERROR(__xludf.DUMMYFUNCTION("""COMPUTED_VALUE"""),"lottery winning numbers lottery post")</f>
        <v>lottery winning numbers lottery post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" t="str">
        <f>IFERROR(__xludf.DUMMYFUNCTION("""COMPUTED_VALUE"""),"lottery numbers lottery post")</f>
        <v>lottery numbers lottery post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" t="str">
        <f>IFERROR(__xludf.DUMMYFUNCTION("""COMPUTED_VALUE"""),"winning numbers today lottery post")</f>
        <v>winning numbers today lottery post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" t="str">
        <f>IFERROR(__xludf.DUMMYFUNCTION("""COMPUTED_VALUE"""),"numbers today lottery post")</f>
        <v>numbers today lottery post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" t="str">
        <f>IFERROR(__xludf.DUMMYFUNCTION("""COMPUTED_VALUE"""),"winning numbers island luck")</f>
        <v>winning numbers island luck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" t="str">
        <f>IFERROR(__xludf.DUMMYFUNCTION("""COMPUTED_VALUE"""),"winning number island luck")</f>
        <v>winning number island luck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" t="str">
        <f>IFERROR(__xludf.DUMMYFUNCTION("""COMPUTED_VALUE"""),"lottery results island luck")</f>
        <v>lottery results island luck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" t="str">
        <f>IFERROR(__xludf.DUMMYFUNCTION("""COMPUTED_VALUE"""),"lotto results island luck")</f>
        <v>lotto results island luck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" t="str">
        <f>IFERROR(__xludf.DUMMYFUNCTION("""COMPUTED_VALUE"""),"lotto numbers island luck")</f>
        <v>lotto numbers island luck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" t="str">
        <f>IFERROR(__xludf.DUMMYFUNCTION("""COMPUTED_VALUE"""),"draw results island luck")</f>
        <v>draw results island luck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" t="str">
        <f>IFERROR(__xludf.DUMMYFUNCTION("""COMPUTED_VALUE"""),"lottery winning numbers island luck")</f>
        <v>lottery winning numbers island luck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" t="str">
        <f>IFERROR(__xludf.DUMMYFUNCTION("""COMPUTED_VALUE"""),"lottery numbers island luck")</f>
        <v>lottery numbers island luck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" t="str">
        <f>IFERROR(__xludf.DUMMYFUNCTION("""COMPUTED_VALUE"""),"winning numbers today island luck")</f>
        <v>winning numbers today island luck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" t="str">
        <f>IFERROR(__xludf.DUMMYFUNCTION("""COMPUTED_VALUE"""),"numbers today island luck")</f>
        <v>numbers today island luck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" t="str">
        <f>IFERROR(__xludf.DUMMYFUNCTION("""COMPUTED_VALUE"""),"winning numbers chances")</f>
        <v>winning numbers chances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" t="str">
        <f>IFERROR(__xludf.DUMMYFUNCTION("""COMPUTED_VALUE"""),"winning number chances")</f>
        <v>winning number chances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" t="str">
        <f>IFERROR(__xludf.DUMMYFUNCTION("""COMPUTED_VALUE"""),"lottery results chances")</f>
        <v>lottery results chances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" t="str">
        <f>IFERROR(__xludf.DUMMYFUNCTION("""COMPUTED_VALUE"""),"lotto results chances")</f>
        <v>lotto results chances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" t="str">
        <f>IFERROR(__xludf.DUMMYFUNCTION("""COMPUTED_VALUE"""),"lotto numbers chances")</f>
        <v>lotto numbers chances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" t="str">
        <f>IFERROR(__xludf.DUMMYFUNCTION("""COMPUTED_VALUE"""),"draw results chances")</f>
        <v>draw results chances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" t="str">
        <f>IFERROR(__xludf.DUMMYFUNCTION("""COMPUTED_VALUE"""),"lottery winning numbers chances")</f>
        <v>lottery winning numbers chances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" t="str">
        <f>IFERROR(__xludf.DUMMYFUNCTION("""COMPUTED_VALUE"""),"lottery numbers chances")</f>
        <v>lottery numbers chances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" t="str">
        <f>IFERROR(__xludf.DUMMYFUNCTION("""COMPUTED_VALUE"""),"winning numbers today chances")</f>
        <v>winning numbers today chances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" t="str">
        <f>IFERROR(__xludf.DUMMYFUNCTION("""COMPUTED_VALUE"""),"numbers today chances")</f>
        <v>numbers today chances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" t="str">
        <f>IFERROR(__xludf.DUMMYFUNCTION("""COMPUTED_VALUE"""),"winning numbers ultra games")</f>
        <v>winning numbers ultra games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" t="str">
        <f>IFERROR(__xludf.DUMMYFUNCTION("""COMPUTED_VALUE"""),"winning number ultra games")</f>
        <v>winning number ultra games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" t="str">
        <f>IFERROR(__xludf.DUMMYFUNCTION("""COMPUTED_VALUE"""),"lottery results ultra games")</f>
        <v>lottery results ultra games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" t="str">
        <f>IFERROR(__xludf.DUMMYFUNCTION("""COMPUTED_VALUE"""),"lotto results ultra games")</f>
        <v>lotto results ultra games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" t="str">
        <f>IFERROR(__xludf.DUMMYFUNCTION("""COMPUTED_VALUE"""),"lotto numbers ultra games")</f>
        <v>lotto numbers ultra games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" t="str">
        <f>IFERROR(__xludf.DUMMYFUNCTION("""COMPUTED_VALUE"""),"draw results ultra games")</f>
        <v>draw results ultra games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" t="str">
        <f>IFERROR(__xludf.DUMMYFUNCTION("""COMPUTED_VALUE"""),"lottery winning numbers ultra games")</f>
        <v>lottery winning numbers ultra games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" t="str">
        <f>IFERROR(__xludf.DUMMYFUNCTION("""COMPUTED_VALUE"""),"lottery numbers ultra games")</f>
        <v>lottery numbers ultra games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" t="str">
        <f>IFERROR(__xludf.DUMMYFUNCTION("""COMPUTED_VALUE"""),"winning numbers today ultra games")</f>
        <v>winning numbers today ultra games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" t="str">
        <f>IFERROR(__xludf.DUMMYFUNCTION("""COMPUTED_VALUE"""),"numbers today ultra games")</f>
        <v>numbers today ultra games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" t="str">
        <f>IFERROR(__xludf.DUMMYFUNCTION("""COMPUTED_VALUE"""),"winning numbers asurewin")</f>
        <v>winning numbers asurewin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" t="str">
        <f>IFERROR(__xludf.DUMMYFUNCTION("""COMPUTED_VALUE"""),"winning number asurewin")</f>
        <v>winning number asurewin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" t="str">
        <f>IFERROR(__xludf.DUMMYFUNCTION("""COMPUTED_VALUE"""),"lottery results asurewin")</f>
        <v>lottery results asurewin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" t="str">
        <f>IFERROR(__xludf.DUMMYFUNCTION("""COMPUTED_VALUE"""),"lotto results asurewin")</f>
        <v>lotto results asurewin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" t="str">
        <f>IFERROR(__xludf.DUMMYFUNCTION("""COMPUTED_VALUE"""),"lotto numbers asurewin")</f>
        <v>lotto numbers asurewin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" t="str">
        <f>IFERROR(__xludf.DUMMYFUNCTION("""COMPUTED_VALUE"""),"draw results asurewin")</f>
        <v>draw results asurewin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" t="str">
        <f>IFERROR(__xludf.DUMMYFUNCTION("""COMPUTED_VALUE"""),"lottery winning numbers asurewin")</f>
        <v>lottery winning numbers asurewin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" t="str">
        <f>IFERROR(__xludf.DUMMYFUNCTION("""COMPUTED_VALUE"""),"lottery numbers asurewin")</f>
        <v>lottery numbers asurewin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" t="str">
        <f>IFERROR(__xludf.DUMMYFUNCTION("""COMPUTED_VALUE"""),"winning numbers today asurewin")</f>
        <v>winning numbers today asurewin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" t="str">
        <f>IFERROR(__xludf.DUMMYFUNCTION("""COMPUTED_VALUE"""),"numbers today asurewin")</f>
        <v>numbers today asurewin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" t="str">
        <f>IFERROR(__xludf.DUMMYFUNCTION("""COMPUTED_VALUE"""),"winning numbers a sure win")</f>
        <v>winning numbers a sure win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" t="str">
        <f>IFERROR(__xludf.DUMMYFUNCTION("""COMPUTED_VALUE"""),"winning number a sure win")</f>
        <v>winning number a sure win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" t="str">
        <f>IFERROR(__xludf.DUMMYFUNCTION("""COMPUTED_VALUE"""),"lottery results a sure win")</f>
        <v>lottery results a sure win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" t="str">
        <f>IFERROR(__xludf.DUMMYFUNCTION("""COMPUTED_VALUE"""),"lotto results a sure win")</f>
        <v>lotto results a sure win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" t="str">
        <f>IFERROR(__xludf.DUMMYFUNCTION("""COMPUTED_VALUE"""),"lotto numbers a sure win")</f>
        <v>lotto numbers a sure win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" t="str">
        <f>IFERROR(__xludf.DUMMYFUNCTION("""COMPUTED_VALUE"""),"draw results a sure win")</f>
        <v>draw results a sure win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" t="str">
        <f>IFERROR(__xludf.DUMMYFUNCTION("""COMPUTED_VALUE"""),"lottery winning numbers a sure win")</f>
        <v>lottery winning numbers a sure win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" t="str">
        <f>IFERROR(__xludf.DUMMYFUNCTION("""COMPUTED_VALUE"""),"lottery numbers a sure win")</f>
        <v>lottery numbers a sure win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" t="str">
        <f>IFERROR(__xludf.DUMMYFUNCTION("""COMPUTED_VALUE"""),"winning numbers today a sure win")</f>
        <v>winning numbers today a sure win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" t="str">
        <f>IFERROR(__xludf.DUMMYFUNCTION("""COMPUTED_VALUE"""),"numbers today a sure win")</f>
        <v>numbers today a sure win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" t="str">
        <f>IFERROR(__xludf.DUMMYFUNCTION("""COMPUTED_VALUE"""),"winning numbers paradise games")</f>
        <v>winning numbers paradise games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" t="str">
        <f>IFERROR(__xludf.DUMMYFUNCTION("""COMPUTED_VALUE"""),"winning number paradise games")</f>
        <v>winning number paradise games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" t="str">
        <f>IFERROR(__xludf.DUMMYFUNCTION("""COMPUTED_VALUE"""),"lottery results paradise games")</f>
        <v>lottery results paradise games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" t="str">
        <f>IFERROR(__xludf.DUMMYFUNCTION("""COMPUTED_VALUE"""),"lotto results paradise games")</f>
        <v>lotto results paradise games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" t="str">
        <f>IFERROR(__xludf.DUMMYFUNCTION("""COMPUTED_VALUE"""),"lotto numbers paradise games")</f>
        <v>lotto numbers paradise games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" t="str">
        <f>IFERROR(__xludf.DUMMYFUNCTION("""COMPUTED_VALUE"""),"draw results paradise games")</f>
        <v>draw results paradise games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" t="str">
        <f>IFERROR(__xludf.DUMMYFUNCTION("""COMPUTED_VALUE"""),"lottery winning numbers paradise games")</f>
        <v>lottery winning numbers paradise games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" t="str">
        <f>IFERROR(__xludf.DUMMYFUNCTION("""COMPUTED_VALUE"""),"lottery numbers paradise games")</f>
        <v>lottery numbers paradise games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" t="str">
        <f>IFERROR(__xludf.DUMMYFUNCTION("""COMPUTED_VALUE"""),"winning numbers today paradise games")</f>
        <v>winning numbers today paradise games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" t="str">
        <f>IFERROR(__xludf.DUMMYFUNCTION("""COMPUTED_VALUE"""),"numbers today paradise games")</f>
        <v>numbers today paradise games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" t="str">
        <f>IFERROR(__xludf.DUMMYFUNCTION("""COMPUTED_VALUE"""),"winning numbers pggames")</f>
        <v>winning numbers pggames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" t="str">
        <f>IFERROR(__xludf.DUMMYFUNCTION("""COMPUTED_VALUE"""),"winning number pggames")</f>
        <v>winning number pggames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" t="str">
        <f>IFERROR(__xludf.DUMMYFUNCTION("""COMPUTED_VALUE"""),"lottery results pggames")</f>
        <v>lottery results pggames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" t="str">
        <f>IFERROR(__xludf.DUMMYFUNCTION("""COMPUTED_VALUE"""),"lotto results pggames")</f>
        <v>lotto results pggames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" t="str">
        <f>IFERROR(__xludf.DUMMYFUNCTION("""COMPUTED_VALUE"""),"lotto numbers pggames")</f>
        <v>lotto numbers pggames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" t="str">
        <f>IFERROR(__xludf.DUMMYFUNCTION("""COMPUTED_VALUE"""),"draw results pggames")</f>
        <v>draw results pggames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" t="str">
        <f>IFERROR(__xludf.DUMMYFUNCTION("""COMPUTED_VALUE"""),"lottery winning numbers pggames")</f>
        <v>lottery winning numbers pggames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" t="str">
        <f>IFERROR(__xludf.DUMMYFUNCTION("""COMPUTED_VALUE"""),"lottery numbers pggames")</f>
        <v>lottery numbers pggames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" t="str">
        <f>IFERROR(__xludf.DUMMYFUNCTION("""COMPUTED_VALUE"""),"winning numbers today pggames")</f>
        <v>winning numbers today pggames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" t="str">
        <f>IFERROR(__xludf.DUMMYFUNCTION("""COMPUTED_VALUE"""),"numbers today pggames")</f>
        <v>numbers today pggames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" t="str">
        <f>IFERROR(__xludf.DUMMYFUNCTION("""COMPUTED_VALUE"""),"winning numbers 3 ball miami")</f>
        <v>winning numbers 3 ball miami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" t="str">
        <f>IFERROR(__xludf.DUMMYFUNCTION("""COMPUTED_VALUE"""),"winning number 3 ball miami")</f>
        <v>winning number 3 ball miami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" t="str">
        <f>IFERROR(__xludf.DUMMYFUNCTION("""COMPUTED_VALUE"""),"lottery results 3 ball miami")</f>
        <v>lottery results 3 ball miami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" t="str">
        <f>IFERROR(__xludf.DUMMYFUNCTION("""COMPUTED_VALUE"""),"lotto results 3 ball miami")</f>
        <v>lotto results 3 ball miami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" t="str">
        <f>IFERROR(__xludf.DUMMYFUNCTION("""COMPUTED_VALUE"""),"lotto numbers 3 ball miami")</f>
        <v>lotto numbers 3 ball miami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" t="str">
        <f>IFERROR(__xludf.DUMMYFUNCTION("""COMPUTED_VALUE"""),"draw results 3 ball miami")</f>
        <v>draw results 3 ball miami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" t="str">
        <f>IFERROR(__xludf.DUMMYFUNCTION("""COMPUTED_VALUE"""),"lottery winning numbers 3 ball miami")</f>
        <v>lottery winning numbers 3 ball miami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" t="str">
        <f>IFERROR(__xludf.DUMMYFUNCTION("""COMPUTED_VALUE"""),"lottery numbers 3 ball miami")</f>
        <v>lottery numbers 3 ball miami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" t="str">
        <f>IFERROR(__xludf.DUMMYFUNCTION("""COMPUTED_VALUE"""),"winning numbers today 3 ball miami")</f>
        <v>winning numbers today 3 ball miami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" t="str">
        <f>IFERROR(__xludf.DUMMYFUNCTION("""COMPUTED_VALUE"""),"numbers today 3 ball miami")</f>
        <v>numbers today 3 ball miami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" t="str">
        <f>IFERROR(__xludf.DUMMYFUNCTION("""COMPUTED_VALUE"""),"winning numbers 3-ball miami")</f>
        <v>winning numbers 3-ball miami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" t="str">
        <f>IFERROR(__xludf.DUMMYFUNCTION("""COMPUTED_VALUE"""),"winning number 3-ball miami")</f>
        <v>winning number 3-ball miami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" t="str">
        <f>IFERROR(__xludf.DUMMYFUNCTION("""COMPUTED_VALUE"""),"lottery results 3-ball miami")</f>
        <v>lottery results 3-ball miami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" t="str">
        <f>IFERROR(__xludf.DUMMYFUNCTION("""COMPUTED_VALUE"""),"lotto results 3-ball miami")</f>
        <v>lotto results 3-ball miami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" t="str">
        <f>IFERROR(__xludf.DUMMYFUNCTION("""COMPUTED_VALUE"""),"lotto numbers 3-ball miami")</f>
        <v>lotto numbers 3-ball miami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" t="str">
        <f>IFERROR(__xludf.DUMMYFUNCTION("""COMPUTED_VALUE"""),"draw results 3-ball miami")</f>
        <v>draw results 3-ball miami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" t="str">
        <f>IFERROR(__xludf.DUMMYFUNCTION("""COMPUTED_VALUE"""),"lottery winning numbers 3-ball miami")</f>
        <v>lottery winning numbers 3-ball miami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" t="str">
        <f>IFERROR(__xludf.DUMMYFUNCTION("""COMPUTED_VALUE"""),"lottery numbers 3-ball miami")</f>
        <v>lottery numbers 3-ball miami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" t="str">
        <f>IFERROR(__xludf.DUMMYFUNCTION("""COMPUTED_VALUE"""),"winning numbers today 3-ball miami")</f>
        <v>winning numbers today 3-ball miami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" t="str">
        <f>IFERROR(__xludf.DUMMYFUNCTION("""COMPUTED_VALUE"""),"numbers today 3-ball miami")</f>
        <v>numbers today 3-ball miami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" t="str">
        <f>IFERROR(__xludf.DUMMYFUNCTION("""COMPUTED_VALUE"""),"winning numbers miami")</f>
        <v>winning numbers miami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" t="str">
        <f>IFERROR(__xludf.DUMMYFUNCTION("""COMPUTED_VALUE"""),"winning number miami")</f>
        <v>winning number miami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" t="str">
        <f>IFERROR(__xludf.DUMMYFUNCTION("""COMPUTED_VALUE"""),"lottery results miami")</f>
        <v>lottery results miami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" t="str">
        <f>IFERROR(__xludf.DUMMYFUNCTION("""COMPUTED_VALUE"""),"lotto results miami")</f>
        <v>lotto results miami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" t="str">
        <f>IFERROR(__xludf.DUMMYFUNCTION("""COMPUTED_VALUE"""),"lotto numbers miami")</f>
        <v>lotto numbers miami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" t="str">
        <f>IFERROR(__xludf.DUMMYFUNCTION("""COMPUTED_VALUE"""),"draw results miami")</f>
        <v>draw results miami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" t="str">
        <f>IFERROR(__xludf.DUMMYFUNCTION("""COMPUTED_VALUE"""),"lottery winning numbers miami")</f>
        <v>lottery winning numbers miami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" t="str">
        <f>IFERROR(__xludf.DUMMYFUNCTION("""COMPUTED_VALUE"""),"lottery numbers miami")</f>
        <v>lottery numbers miami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" t="str">
        <f>IFERROR(__xludf.DUMMYFUNCTION("""COMPUTED_VALUE"""),"winning numbers today miami")</f>
        <v>winning numbers today miami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" t="str">
        <f>IFERROR(__xludf.DUMMYFUNCTION("""COMPUTED_VALUE"""),"numbers today miami")</f>
        <v>numbers today miami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" t="str">
        <f>IFERROR(__xludf.DUMMYFUNCTION("""COMPUTED_VALUE"""),"winning numbers 4 ball")</f>
        <v>winning numbers 4 ball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" t="str">
        <f>IFERROR(__xludf.DUMMYFUNCTION("""COMPUTED_VALUE"""),"winning number 4 ball")</f>
        <v>winning number 4 ball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" t="str">
        <f>IFERROR(__xludf.DUMMYFUNCTION("""COMPUTED_VALUE"""),"lottery results 4 ball")</f>
        <v>lottery results 4 ball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" t="str">
        <f>IFERROR(__xludf.DUMMYFUNCTION("""COMPUTED_VALUE"""),"lotto results 4 ball")</f>
        <v>lotto results 4 ball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" t="str">
        <f>IFERROR(__xludf.DUMMYFUNCTION("""COMPUTED_VALUE"""),"lotto numbers 4 ball")</f>
        <v>lotto numbers 4 ball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" t="str">
        <f>IFERROR(__xludf.DUMMYFUNCTION("""COMPUTED_VALUE"""),"draw results 4 ball")</f>
        <v>draw results 4 ball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" t="str">
        <f>IFERROR(__xludf.DUMMYFUNCTION("""COMPUTED_VALUE"""),"lottery winning numbers 4 ball")</f>
        <v>lottery winning numbers 4 ball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" t="str">
        <f>IFERROR(__xludf.DUMMYFUNCTION("""COMPUTED_VALUE"""),"lottery numbers 4 ball")</f>
        <v>lottery numbers 4 ball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" t="str">
        <f>IFERROR(__xludf.DUMMYFUNCTION("""COMPUTED_VALUE"""),"winning numbers today 4 ball")</f>
        <v>winning numbers today 4 ball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" t="str">
        <f>IFERROR(__xludf.DUMMYFUNCTION("""COMPUTED_VALUE"""),"numbers today 4 ball")</f>
        <v>numbers today 4 ball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" t="str">
        <f>IFERROR(__xludf.DUMMYFUNCTION("""COMPUTED_VALUE"""),"winning numbers 5 ball")</f>
        <v>winning numbers 5 ball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" t="str">
        <f>IFERROR(__xludf.DUMMYFUNCTION("""COMPUTED_VALUE"""),"winning number 5 ball")</f>
        <v>winning number 5 ball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" t="str">
        <f>IFERROR(__xludf.DUMMYFUNCTION("""COMPUTED_VALUE"""),"lottery results 5 ball")</f>
        <v>lottery results 5 ball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" t="str">
        <f>IFERROR(__xludf.DUMMYFUNCTION("""COMPUTED_VALUE"""),"lotto results 5 ball")</f>
        <v>lotto results 5 ball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" t="str">
        <f>IFERROR(__xludf.DUMMYFUNCTION("""COMPUTED_VALUE"""),"lotto numbers 5 ball")</f>
        <v>lotto numbers 5 ball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" t="str">
        <f>IFERROR(__xludf.DUMMYFUNCTION("""COMPUTED_VALUE"""),"draw results 5 ball")</f>
        <v>draw results 5 ball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" t="str">
        <f>IFERROR(__xludf.DUMMYFUNCTION("""COMPUTED_VALUE"""),"lottery winning numbers 5 ball")</f>
        <v>lottery winning numbers 5 ball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" t="str">
        <f>IFERROR(__xludf.DUMMYFUNCTION("""COMPUTED_VALUE"""),"lottery numbers 5 ball")</f>
        <v>lottery numbers 5 ball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" t="str">
        <f>IFERROR(__xludf.DUMMYFUNCTION("""COMPUTED_VALUE"""),"winning numbers today 5 ball")</f>
        <v>winning numbers today 5 ball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" t="str">
        <f>IFERROR(__xludf.DUMMYFUNCTION("""COMPUTED_VALUE"""),"numbers today 5 ball")</f>
        <v>numbers today 5 ball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" t="str">
        <f>IFERROR(__xludf.DUMMYFUNCTION("""COMPUTED_VALUE"""),"winning numbers draw")</f>
        <v>winning numbers draw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" t="str">
        <f>IFERROR(__xludf.DUMMYFUNCTION("""COMPUTED_VALUE"""),"winning number draw")</f>
        <v>winning number draw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" t="str">
        <f>IFERROR(__xludf.DUMMYFUNCTION("""COMPUTED_VALUE"""),"lottery results draw")</f>
        <v>lottery results draw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" t="str">
        <f>IFERROR(__xludf.DUMMYFUNCTION("""COMPUTED_VALUE"""),"lotto results draw")</f>
        <v>lotto results draw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" t="str">
        <f>IFERROR(__xludf.DUMMYFUNCTION("""COMPUTED_VALUE"""),"lotto numbers draw")</f>
        <v>lotto numbers draw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" t="str">
        <f>IFERROR(__xludf.DUMMYFUNCTION("""COMPUTED_VALUE"""),"draw results")</f>
        <v>draw results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" t="str">
        <f>IFERROR(__xludf.DUMMYFUNCTION("""COMPUTED_VALUE"""),"lottery winning numbers draw")</f>
        <v>lottery winning numbers draw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" t="str">
        <f>IFERROR(__xludf.DUMMYFUNCTION("""COMPUTED_VALUE"""),"lottery numbers draw")</f>
        <v>lottery numbers draw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" t="str">
        <f>IFERROR(__xludf.DUMMYFUNCTION("""COMPUTED_VALUE"""),"winning numbers today draw")</f>
        <v>winning numbers today draw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" t="str">
        <f>IFERROR(__xludf.DUMMYFUNCTION("""COMPUTED_VALUE"""),"numbers today draw")</f>
        <v>numbers today draw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" t="str">
        <f>IFERROR(__xludf.DUMMYFUNCTION("""COMPUTED_VALUE"""),"winning numbers draw time")</f>
        <v>winning numbers draw time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" t="str">
        <f>IFERROR(__xludf.DUMMYFUNCTION("""COMPUTED_VALUE"""),"winning number draw time")</f>
        <v>winning number draw time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" t="str">
        <f>IFERROR(__xludf.DUMMYFUNCTION("""COMPUTED_VALUE"""),"lottery results draw time")</f>
        <v>lottery results draw time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" t="str">
        <f>IFERROR(__xludf.DUMMYFUNCTION("""COMPUTED_VALUE"""),"lotto results draw time")</f>
        <v>lotto results draw time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" t="str">
        <f>IFERROR(__xludf.DUMMYFUNCTION("""COMPUTED_VALUE"""),"lotto numbers draw time")</f>
        <v>lotto numbers draw time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" t="str">
        <f>IFERROR(__xludf.DUMMYFUNCTION("""COMPUTED_VALUE"""),"draw results draw time")</f>
        <v>draw results draw time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" t="str">
        <f>IFERROR(__xludf.DUMMYFUNCTION("""COMPUTED_VALUE"""),"lottery winning numbers draw time")</f>
        <v>lottery winning numbers draw time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" t="str">
        <f>IFERROR(__xludf.DUMMYFUNCTION("""COMPUTED_VALUE"""),"lottery numbers draw time")</f>
        <v>lottery numbers draw time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" t="str">
        <f>IFERROR(__xludf.DUMMYFUNCTION("""COMPUTED_VALUE"""),"winning numbers today draw time")</f>
        <v>winning numbers today draw time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" t="str">
        <f>IFERROR(__xludf.DUMMYFUNCTION("""COMPUTED_VALUE"""),"numbers today draw time")</f>
        <v>numbers today draw time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" t="str">
        <f>IFERROR(__xludf.DUMMYFUNCTION("""COMPUTED_VALUE"""),"winning numbers results")</f>
        <v>winning numbers results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" t="str">
        <f>IFERROR(__xludf.DUMMYFUNCTION("""COMPUTED_VALUE"""),"winning number results")</f>
        <v>winning number results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" t="str">
        <f>IFERROR(__xludf.DUMMYFUNCTION("""COMPUTED_VALUE"""),"lottery results")</f>
        <v>lottery results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8" t="str">
        <f>IFERROR(__xludf.DUMMYFUNCTION("""COMPUTED_VALUE"""),"lotto results")</f>
        <v>lotto results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8" t="str">
        <f>IFERROR(__xludf.DUMMYFUNCTION("""COMPUTED_VALUE"""),"lotto numbers results")</f>
        <v>lotto numbers results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8" t="str">
        <f>IFERROR(__xludf.DUMMYFUNCTION("""COMPUTED_VALUE"""),"draw results")</f>
        <v>draw results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8" t="str">
        <f>IFERROR(__xludf.DUMMYFUNCTION("""COMPUTED_VALUE"""),"lottery winning numbers results")</f>
        <v>lottery winning numbers results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8" t="str">
        <f>IFERROR(__xludf.DUMMYFUNCTION("""COMPUTED_VALUE"""),"lottery numbers results")</f>
        <v>lottery numbers results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8" t="str">
        <f>IFERROR(__xludf.DUMMYFUNCTION("""COMPUTED_VALUE"""),"winning numbers today results")</f>
        <v>winning numbers today results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8" t="str">
        <f>IFERROR(__xludf.DUMMYFUNCTION("""COMPUTED_VALUE"""),"numbers today results")</f>
        <v>numbers today results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8" t="str">
        <f>IFERROR(__xludf.DUMMYFUNCTION("""COMPUTED_VALUE"""),"winning numbers nassau")</f>
        <v>winning numbers nassau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8" t="str">
        <f>IFERROR(__xludf.DUMMYFUNCTION("""COMPUTED_VALUE"""),"winning number nassau")</f>
        <v>winning number nassau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8" t="str">
        <f>IFERROR(__xludf.DUMMYFUNCTION("""COMPUTED_VALUE"""),"lottery results nassau")</f>
        <v>lottery results nassau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8" t="str">
        <f>IFERROR(__xludf.DUMMYFUNCTION("""COMPUTED_VALUE"""),"lotto results nassau")</f>
        <v>lotto results nassau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8" t="str">
        <f>IFERROR(__xludf.DUMMYFUNCTION("""COMPUTED_VALUE"""),"lotto numbers nassau")</f>
        <v>lotto numbers nassau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8" t="str">
        <f>IFERROR(__xludf.DUMMYFUNCTION("""COMPUTED_VALUE"""),"draw results nassau")</f>
        <v>draw results nassau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8" t="str">
        <f>IFERROR(__xludf.DUMMYFUNCTION("""COMPUTED_VALUE"""),"lottery winning numbers nassau")</f>
        <v>lottery winning numbers nassau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8" t="str">
        <f>IFERROR(__xludf.DUMMYFUNCTION("""COMPUTED_VALUE"""),"lottery numbers nassau")</f>
        <v>lottery numbers nassau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8" t="str">
        <f>IFERROR(__xludf.DUMMYFUNCTION("""COMPUTED_VALUE"""),"winning numbers today nassau")</f>
        <v>winning numbers today nassau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8" t="str">
        <f>IFERROR(__xludf.DUMMYFUNCTION("""COMPUTED_VALUE"""),"numbers today nassau")</f>
        <v>numbers today nassau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8" t="str">
        <f>IFERROR(__xludf.DUMMYFUNCTION("""COMPUTED_VALUE"""),"winning numbers freeport")</f>
        <v>winning numbers freeport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8" t="str">
        <f>IFERROR(__xludf.DUMMYFUNCTION("""COMPUTED_VALUE"""),"winning number freeport")</f>
        <v>winning number freeport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8" t="str">
        <f>IFERROR(__xludf.DUMMYFUNCTION("""COMPUTED_VALUE"""),"lottery results freeport")</f>
        <v>lottery results freeport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8" t="str">
        <f>IFERROR(__xludf.DUMMYFUNCTION("""COMPUTED_VALUE"""),"lotto results freeport")</f>
        <v>lotto results freeport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8" t="str">
        <f>IFERROR(__xludf.DUMMYFUNCTION("""COMPUTED_VALUE"""),"lotto numbers freeport")</f>
        <v>lotto numbers freeport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8" t="str">
        <f>IFERROR(__xludf.DUMMYFUNCTION("""COMPUTED_VALUE"""),"draw results freeport")</f>
        <v>draw results freeport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8" t="str">
        <f>IFERROR(__xludf.DUMMYFUNCTION("""COMPUTED_VALUE"""),"lottery winning numbers freeport")</f>
        <v>lottery winning numbers freeport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8" t="str">
        <f>IFERROR(__xludf.DUMMYFUNCTION("""COMPUTED_VALUE"""),"lottery numbers freeport")</f>
        <v>lottery numbers freeport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8" t="str">
        <f>IFERROR(__xludf.DUMMYFUNCTION("""COMPUTED_VALUE"""),"winning numbers today freeport")</f>
        <v>winning numbers today freeport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8" t="str">
        <f>IFERROR(__xludf.DUMMYFUNCTION("""COMPUTED_VALUE"""),"numbers today freeport")</f>
        <v>numbers today freeport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8" t="str">
        <f>IFERROR(__xludf.DUMMYFUNCTION("""COMPUTED_VALUE"""),"winning numbers app")</f>
        <v>winning numbers app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8" t="str">
        <f>IFERROR(__xludf.DUMMYFUNCTION("""COMPUTED_VALUE"""),"winning number app")</f>
        <v>winning number app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8" t="str">
        <f>IFERROR(__xludf.DUMMYFUNCTION("""COMPUTED_VALUE"""),"lottery results app")</f>
        <v>lottery results app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8" t="str">
        <f>IFERROR(__xludf.DUMMYFUNCTION("""COMPUTED_VALUE"""),"lotto results app")</f>
        <v>lotto results app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8" t="str">
        <f>IFERROR(__xludf.DUMMYFUNCTION("""COMPUTED_VALUE"""),"lotto numbers app")</f>
        <v>lotto numbers app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8" t="str">
        <f>IFERROR(__xludf.DUMMYFUNCTION("""COMPUTED_VALUE"""),"draw results app")</f>
        <v>draw results app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8" t="str">
        <f>IFERROR(__xludf.DUMMYFUNCTION("""COMPUTED_VALUE"""),"lottery winning numbers app")</f>
        <v>lottery winning numbers app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8" t="str">
        <f>IFERROR(__xludf.DUMMYFUNCTION("""COMPUTED_VALUE"""),"lottery numbers app")</f>
        <v>lottery numbers app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8" t="str">
        <f>IFERROR(__xludf.DUMMYFUNCTION("""COMPUTED_VALUE"""),"winning numbers today app")</f>
        <v>winning numbers today app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8" t="str">
        <f>IFERROR(__xludf.DUMMYFUNCTION("""COMPUTED_VALUE"""),"numbers today app")</f>
        <v>numbers today app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8" t="str">
        <f>IFERROR(__xludf.DUMMYFUNCTION("""COMPUTED_VALUE"""),"winning numbers mobile")</f>
        <v>winning numbers mobile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8" t="str">
        <f>IFERROR(__xludf.DUMMYFUNCTION("""COMPUTED_VALUE"""),"winning number mobile")</f>
        <v>winning number mobile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8" t="str">
        <f>IFERROR(__xludf.DUMMYFUNCTION("""COMPUTED_VALUE"""),"lottery results mobile")</f>
        <v>lottery results mobile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8" t="str">
        <f>IFERROR(__xludf.DUMMYFUNCTION("""COMPUTED_VALUE"""),"lotto results mobile")</f>
        <v>lotto results mobile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8" t="str">
        <f>IFERROR(__xludf.DUMMYFUNCTION("""COMPUTED_VALUE"""),"lotto numbers mobile")</f>
        <v>lotto numbers mobile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8" t="str">
        <f>IFERROR(__xludf.DUMMYFUNCTION("""COMPUTED_VALUE"""),"draw results mobile")</f>
        <v>draw results mobile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8" t="str">
        <f>IFERROR(__xludf.DUMMYFUNCTION("""COMPUTED_VALUE"""),"lottery winning numbers mobile")</f>
        <v>lottery winning numbers mobile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8" t="str">
        <f>IFERROR(__xludf.DUMMYFUNCTION("""COMPUTED_VALUE"""),"lottery numbers mobile")</f>
        <v>lottery numbers mobile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8" t="str">
        <f>IFERROR(__xludf.DUMMYFUNCTION("""COMPUTED_VALUE"""),"winning numbers today mobile")</f>
        <v>winning numbers today mobile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8" t="str">
        <f>IFERROR(__xludf.DUMMYFUNCTION("""COMPUTED_VALUE"""),"numbers today mobile")</f>
        <v>numbers today mobile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8" t="str">
        <f>IFERROR(__xludf.DUMMYFUNCTION("""COMPUTED_VALUE"""),"winning numbers login")</f>
        <v>winning numbers login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8" t="str">
        <f>IFERROR(__xludf.DUMMYFUNCTION("""COMPUTED_VALUE"""),"winning number login")</f>
        <v>winning number login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8" t="str">
        <f>IFERROR(__xludf.DUMMYFUNCTION("""COMPUTED_VALUE"""),"lottery results login")</f>
        <v>lottery results login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8" t="str">
        <f>IFERROR(__xludf.DUMMYFUNCTION("""COMPUTED_VALUE"""),"lotto results login")</f>
        <v>lotto results login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8" t="str">
        <f>IFERROR(__xludf.DUMMYFUNCTION("""COMPUTED_VALUE"""),"lotto numbers login")</f>
        <v>lotto numbers login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8" t="str">
        <f>IFERROR(__xludf.DUMMYFUNCTION("""COMPUTED_VALUE"""),"draw results login")</f>
        <v>draw results login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8" t="str">
        <f>IFERROR(__xludf.DUMMYFUNCTION("""COMPUTED_VALUE"""),"lottery winning numbers login")</f>
        <v>lottery winning numbers login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8" t="str">
        <f>IFERROR(__xludf.DUMMYFUNCTION("""COMPUTED_VALUE"""),"lottery numbers login")</f>
        <v>lottery numbers login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8" t="str">
        <f>IFERROR(__xludf.DUMMYFUNCTION("""COMPUTED_VALUE"""),"winning numbers today login")</f>
        <v>winning numbers today login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8" t="str">
        <f>IFERROR(__xludf.DUMMYFUNCTION("""COMPUTED_VALUE"""),"numbers today login")</f>
        <v>numbers today login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8" t="str">
        <f>IFERROR(__xludf.DUMMYFUNCTION("""COMPUTED_VALUE"""),"winning numbers stores")</f>
        <v>winning numbers stores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8" t="str">
        <f>IFERROR(__xludf.DUMMYFUNCTION("""COMPUTED_VALUE"""),"winning number stores")</f>
        <v>winning number stores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8" t="str">
        <f>IFERROR(__xludf.DUMMYFUNCTION("""COMPUTED_VALUE"""),"lottery results stores")</f>
        <v>lottery results stores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8" t="str">
        <f>IFERROR(__xludf.DUMMYFUNCTION("""COMPUTED_VALUE"""),"lotto results stores")</f>
        <v>lotto results stores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8" t="str">
        <f>IFERROR(__xludf.DUMMYFUNCTION("""COMPUTED_VALUE"""),"lotto numbers stores")</f>
        <v>lotto numbers stores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8" t="str">
        <f>IFERROR(__xludf.DUMMYFUNCTION("""COMPUTED_VALUE"""),"draw results stores")</f>
        <v>draw results stores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8" t="str">
        <f>IFERROR(__xludf.DUMMYFUNCTION("""COMPUTED_VALUE"""),"lottery winning numbers stores")</f>
        <v>lottery winning numbers stores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8" t="str">
        <f>IFERROR(__xludf.DUMMYFUNCTION("""COMPUTED_VALUE"""),"lottery numbers stores")</f>
        <v>lottery numbers stores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8" t="str">
        <f>IFERROR(__xludf.DUMMYFUNCTION("""COMPUTED_VALUE"""),"winning numbers today stores")</f>
        <v>winning numbers today stores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8" t="str">
        <f>IFERROR(__xludf.DUMMYFUNCTION("""COMPUTED_VALUE"""),"numbers today stores")</f>
        <v>numbers today stores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8" t="str">
        <f>IFERROR(__xludf.DUMMYFUNCTION("""COMPUTED_VALUE"""),"winning numbers jackpot")</f>
        <v>winning numbers jackpot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8" t="str">
        <f>IFERROR(__xludf.DUMMYFUNCTION("""COMPUTED_VALUE"""),"winning number jackpot")</f>
        <v>winning number jackpot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8" t="str">
        <f>IFERROR(__xludf.DUMMYFUNCTION("""COMPUTED_VALUE"""),"lottery results jackpot")</f>
        <v>lottery results jackpot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8" t="str">
        <f>IFERROR(__xludf.DUMMYFUNCTION("""COMPUTED_VALUE"""),"lotto results jackpot")</f>
        <v>lotto results jackpot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8" t="str">
        <f>IFERROR(__xludf.DUMMYFUNCTION("""COMPUTED_VALUE"""),"lotto numbers jackpot")</f>
        <v>lotto numbers jackpot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8" t="str">
        <f>IFERROR(__xludf.DUMMYFUNCTION("""COMPUTED_VALUE"""),"draw results jackpot")</f>
        <v>draw results jackpot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8" t="str">
        <f>IFERROR(__xludf.DUMMYFUNCTION("""COMPUTED_VALUE"""),"lottery winning numbers jackpot")</f>
        <v>lottery winning numbers jackpot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8" t="str">
        <f>IFERROR(__xludf.DUMMYFUNCTION("""COMPUTED_VALUE"""),"lottery numbers jackpot")</f>
        <v>lottery numbers jackpot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8" t="str">
        <f>IFERROR(__xludf.DUMMYFUNCTION("""COMPUTED_VALUE"""),"winning numbers today jackpot")</f>
        <v>winning numbers today jackpot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8" t="str">
        <f>IFERROR(__xludf.DUMMYFUNCTION("""COMPUTED_VALUE"""),"numbers today jackpot")</f>
        <v>numbers today jackpot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8" t="str">
        <f>IFERROR(__xludf.DUMMYFUNCTION("""COMPUTED_VALUE"""),"winning numbers caribbean")</f>
        <v>winning numbers caribbean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8" t="str">
        <f>IFERROR(__xludf.DUMMYFUNCTION("""COMPUTED_VALUE"""),"winning number caribbean")</f>
        <v>winning number caribbean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8" t="str">
        <f>IFERROR(__xludf.DUMMYFUNCTION("""COMPUTED_VALUE"""),"lottery results caribbean")</f>
        <v>lottery results caribbean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8" t="str">
        <f>IFERROR(__xludf.DUMMYFUNCTION("""COMPUTED_VALUE"""),"lotto results caribbean")</f>
        <v>lotto results caribbean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8" t="str">
        <f>IFERROR(__xludf.DUMMYFUNCTION("""COMPUTED_VALUE"""),"lotto numbers caribbean")</f>
        <v>lotto numbers caribbean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8" t="str">
        <f>IFERROR(__xludf.DUMMYFUNCTION("""COMPUTED_VALUE"""),"draw results caribbean")</f>
        <v>draw results caribbean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8" t="str">
        <f>IFERROR(__xludf.DUMMYFUNCTION("""COMPUTED_VALUE"""),"lottery winning numbers caribbean")</f>
        <v>lottery winning numbers caribbean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8" t="str">
        <f>IFERROR(__xludf.DUMMYFUNCTION("""COMPUTED_VALUE"""),"lottery numbers caribbean")</f>
        <v>lottery numbers caribbean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8" t="str">
        <f>IFERROR(__xludf.DUMMYFUNCTION("""COMPUTED_VALUE"""),"winning numbers today caribbean")</f>
        <v>winning numbers today caribbean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8" t="str">
        <f>IFERROR(__xludf.DUMMYFUNCTION("""COMPUTED_VALUE"""),"numbers today caribbean")</f>
        <v>numbers today caribbean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8" t="str">
        <f>IFERROR(__xludf.DUMMYFUNCTION("""COMPUTED_VALUE"""),"winning numbers")</f>
        <v>winning numbers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8" t="str">
        <f>IFERROR(__xludf.DUMMYFUNCTION("""COMPUTED_VALUE"""),"winning number")</f>
        <v>winning number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8" t="str">
        <f>IFERROR(__xludf.DUMMYFUNCTION("""COMPUTED_VALUE"""),"lottery results")</f>
        <v>lottery results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8" t="str">
        <f>IFERROR(__xludf.DUMMYFUNCTION("""COMPUTED_VALUE"""),"lotto results")</f>
        <v>lotto results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8" t="str">
        <f>IFERROR(__xludf.DUMMYFUNCTION("""COMPUTED_VALUE"""),"lotto numbers")</f>
        <v>lotto numbers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8" t="str">
        <f>IFERROR(__xludf.DUMMYFUNCTION("""COMPUTED_VALUE"""),"draw results")</f>
        <v>draw results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8" t="str">
        <f>IFERROR(__xludf.DUMMYFUNCTION("""COMPUTED_VALUE"""),"lottery winning numbers")</f>
        <v>lottery winning numbers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8" t="str">
        <f>IFERROR(__xludf.DUMMYFUNCTION("""COMPUTED_VALUE"""),"lottery numbers")</f>
        <v>lottery numbers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8" t="str">
        <f>IFERROR(__xludf.DUMMYFUNCTION("""COMPUTED_VALUE"""),"winning numbers today")</f>
        <v>winning numbers today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8" t="str">
        <f>IFERROR(__xludf.DUMMYFUNCTION("""COMPUTED_VALUE"""),"numbers today")</f>
        <v>numbers today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8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8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8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8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8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8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8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8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8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8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8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8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8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8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8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8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8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8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8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8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8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8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8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8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8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8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8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8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8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8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8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8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8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8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8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8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8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8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8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8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8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8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8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8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8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8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8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8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8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8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8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8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8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8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8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8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8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8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8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8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8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8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8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8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8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8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8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8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8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8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8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8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8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8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8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8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8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8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8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8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8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8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8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8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8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8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8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8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8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8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8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8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8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8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8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8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8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8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8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8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8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8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8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8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8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8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8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8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8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8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8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8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8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8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8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8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8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8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8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8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8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8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8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8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8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8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8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8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8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8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8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8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8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8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8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8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8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8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8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8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8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8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8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8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8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8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8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8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8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8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8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8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8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8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8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8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8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8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8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8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8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8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8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8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8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8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8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8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8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8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8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8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8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8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8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8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8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8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8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8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8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8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8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8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8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8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8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8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8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8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8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8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8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8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8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8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8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8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8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8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8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8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8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8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8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8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8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8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8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8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8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8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8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8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8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8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8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8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8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8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8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8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8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8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8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8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8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8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8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8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8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8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8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8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8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8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8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8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8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8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8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8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8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8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8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8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8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8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8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8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8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8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8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8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8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8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8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8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8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8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8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8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8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8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8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8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8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8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8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8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8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8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8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8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8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8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8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8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8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8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8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8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8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8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8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8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8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8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8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8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8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8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8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8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8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8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8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8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8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8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8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8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8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8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8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8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8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8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8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8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8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8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8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8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8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8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8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8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8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8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8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8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8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8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8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8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8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8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8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8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8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8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8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8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8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8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8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8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8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8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8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8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8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8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8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8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8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8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8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8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8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8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8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8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8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8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8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8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8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8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8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8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8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8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8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8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8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8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8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8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8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8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8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8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8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8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8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8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8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8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8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8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8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8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8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8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8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8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8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8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8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8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8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8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8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8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8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8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8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8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8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8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8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8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8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8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8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8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8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8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8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8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8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8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8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8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8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8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8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8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8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8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8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8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8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8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8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8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8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8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8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8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8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8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8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8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8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8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8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8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8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8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8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8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8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8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8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8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8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8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8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8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8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8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8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8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8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8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8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8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8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8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8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8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8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8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8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8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8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8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8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8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8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8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8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8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8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8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8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8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8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8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8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8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8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8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8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8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8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8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8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8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8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8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8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8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8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8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8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8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8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8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8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8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8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8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8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8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8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8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8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8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8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8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8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8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8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8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8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8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8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8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8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8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8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8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8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8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8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8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8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8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8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8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8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8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8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8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8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8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8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8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8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8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8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8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8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8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8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8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8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8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8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8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8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8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8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8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8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8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8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8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8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8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8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8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8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8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8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8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8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8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8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8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8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8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8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8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8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8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8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8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8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8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8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8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8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8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8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8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8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8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8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8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8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8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8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8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8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8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8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8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8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8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8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8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8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8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8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8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8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8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8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8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8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8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8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8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8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8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8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8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8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8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8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8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8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8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8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8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8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8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8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8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8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8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8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8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8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8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8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8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8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8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8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8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8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8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8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8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8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8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8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8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8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8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8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8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8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8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8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8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8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8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8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8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8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8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8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8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8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8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8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8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8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8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8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8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8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8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8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8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8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8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8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8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8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8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8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8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8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8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8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8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8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8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8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8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8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8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8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8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8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8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8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8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8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8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8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8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8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8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8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8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8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8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8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8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8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8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8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8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8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8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8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8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8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8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8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8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8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8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8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8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8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8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8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8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8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8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8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8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8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8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8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8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8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8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8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8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8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8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  <col customWidth="1" min="6" max="6" width="19.0"/>
  </cols>
  <sheetData>
    <row r="1">
      <c r="A1" s="1"/>
      <c r="B1" s="2" t="s">
        <v>2</v>
      </c>
      <c r="C1" s="2" t="s">
        <v>5</v>
      </c>
      <c r="D1" s="2" t="s">
        <v>8</v>
      </c>
      <c r="E1" s="2" t="s">
        <v>11</v>
      </c>
      <c r="F1" s="2" t="s">
        <v>14</v>
      </c>
      <c r="G1" s="2" t="s">
        <v>18</v>
      </c>
      <c r="H1" s="2" t="s">
        <v>21</v>
      </c>
      <c r="I1" s="2" t="s">
        <v>23</v>
      </c>
      <c r="J1" s="2" t="s">
        <v>26</v>
      </c>
      <c r="K1" s="2" t="s">
        <v>28</v>
      </c>
      <c r="L1" s="2" t="s">
        <v>27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""&amp;$A3))"),"lottery post bahamas")</f>
        <v>lottery post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""&amp;$A3))"),"lotto games bahamas")</f>
        <v>lotto games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""&amp;$A3))"),"numbers game bahamas")</f>
        <v>numbers game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""&amp;$A3))"),"3 ball miami bahamas")</f>
        <v>3 ball miami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""&amp;$A3))"),"3-ball miami bahamas")</f>
        <v>3-ball miami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""&amp;$A3))"),"miami lottery bahamas")</f>
        <v>miami lottery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""&amp;$A3))"),"lottery draw bahamas")</f>
        <v>lottery draw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""&amp;$A3))"),"lottery ticket bahamas")</f>
        <v>lottery ticket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""&amp;$A3))"),"lottery house bahamas")</f>
        <v>lottery house bahamas</v>
      </c>
      <c r="K3" s="13" t="s">
        <v>43</v>
      </c>
      <c r="L3" s="13" t="str">
        <f>IFERROR(__xludf.DUMMYFUNCTION("FLATTEN(B3:K34,B1:K1)"),"lottery post bahamas")</f>
        <v>lottery post bahamas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45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""&amp;$A4))"),"lottery post online")</f>
        <v>lottery post online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""&amp;$A4))"),"lotto games online")</f>
        <v>lotto games online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""&amp;$A4))"),"numbers game online")</f>
        <v>numbers game online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""&amp;$A4))"),"3 ball miami online")</f>
        <v>3 ball miami online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""&amp;$A4))"),"3-ball miami online")</f>
        <v>3-ball miami online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""&amp;$A4))"),"miami lottery online")</f>
        <v>miami lottery online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""&amp;$A4))"),"lottery draw online")</f>
        <v>lottery draw online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""&amp;$A4))"),"lottery ticket online")</f>
        <v>lottery ticket online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""&amp;$A4))"),"lottery house online")</f>
        <v>lottery house online</v>
      </c>
      <c r="K4" s="13" t="s">
        <v>28</v>
      </c>
      <c r="L4" s="13" t="str">
        <f>IFERROR(__xludf.DUMMYFUNCTION("""COMPUTED_VALUE"""),"lotto games bahamas")</f>
        <v>lotto games bahamas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48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""&amp;$A5))"),"lottery post play online")</f>
        <v>lottery post play online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""&amp;$A5))"),"lotto games play online")</f>
        <v>lotto games play online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""&amp;$A5))"),"numbers game play online")</f>
        <v>numbers game play online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""&amp;$A5))"),"3 ball miami play online")</f>
        <v>3 ball miami play online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""&amp;$A5))"),"3-ball miami play online")</f>
        <v>3-ball miami play online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""&amp;$A5))"),"miami lottery play online")</f>
        <v>miami lottery play online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""&amp;$A5))"),"lottery draw play online")</f>
        <v>lottery draw play online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""&amp;$A5))"),"lottery ticket play online")</f>
        <v>lottery ticket play online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""&amp;$A5))"),"lottery house play online")</f>
        <v>lottery house play online</v>
      </c>
      <c r="K5" s="13" t="s">
        <v>51</v>
      </c>
      <c r="L5" s="13" t="str">
        <f>IFERROR(__xludf.DUMMYFUNCTION("""COMPUTED_VALUE"""),"numbers game bahamas")</f>
        <v>numbers game bahamas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53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""&amp;$A6))"),"lottery post how to play")</f>
        <v>lottery post how to play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""&amp;$A6))"),"lotto games how to play")</f>
        <v>lotto games how to play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""&amp;$A6))"),"numbers game how to play")</f>
        <v>numbers game how to play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""&amp;$A6))"),"3 ball miami how to play")</f>
        <v>3 ball miami how to play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""&amp;$A6))"),"3-ball miami how to play")</f>
        <v>3-ball miami how to play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""&amp;$A6))"),"miami lottery how to play")</f>
        <v>miami lottery how to play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""&amp;$A6))"),"lottery draw how to play")</f>
        <v>lottery draw how to play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""&amp;$A6))"),"lottery ticket how to play")</f>
        <v>lottery ticket how to play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""&amp;$A6))"),"lottery house how to play")</f>
        <v>lottery house how to play</v>
      </c>
      <c r="K6" s="13" t="s">
        <v>56</v>
      </c>
      <c r="L6" s="13" t="str">
        <f>IFERROR(__xludf.DUMMYFUNCTION("""COMPUTED_VALUE"""),"3 ball miami bahamas")</f>
        <v>3 ball miami bahamas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58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""&amp;$A7))"),"lottery post rules")</f>
        <v>lottery post rules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""&amp;$A7))"),"lotto games rules")</f>
        <v>lotto games rules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""&amp;$A7))"),"numbers game rules")</f>
        <v>numbers game rules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""&amp;$A7))"),"3 ball miami rules")</f>
        <v>3 ball miami rules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""&amp;$A7))"),"3-ball miami rules")</f>
        <v>3-ball miami rules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""&amp;$A7))"),"miami lottery rules")</f>
        <v>miami lottery rules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""&amp;$A7))"),"lottery draw rules")</f>
        <v>lottery draw rules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""&amp;$A7))"),"lottery ticket rules")</f>
        <v>lottery ticket rules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""&amp;$A7))"),"lottery house rules")</f>
        <v>lottery house rules</v>
      </c>
      <c r="K7" s="13" t="s">
        <v>59</v>
      </c>
      <c r="L7" s="13" t="str">
        <f>IFERROR(__xludf.DUMMYFUNCTION("""COMPUTED_VALUE"""),"3-ball miami bahamas")</f>
        <v>3-ball miami bahamas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62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""&amp;$A8))"),"lottery post payouts")</f>
        <v>lottery post payouts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""&amp;$A8))"),"lotto games payouts")</f>
        <v>lotto games payouts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""&amp;$A8))"),"numbers game payouts")</f>
        <v>numbers game payouts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""&amp;$A8))"),"3 ball miami payouts")</f>
        <v>3 ball miami payouts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""&amp;$A8))"),"3-ball miami payouts")</f>
        <v>3-ball miami payouts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""&amp;$A8))"),"miami lottery payouts")</f>
        <v>miami lottery payouts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""&amp;$A8))"),"lottery draw payouts")</f>
        <v>lottery draw payouts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""&amp;$A8))"),"lottery ticket payouts")</f>
        <v>lottery ticket payouts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""&amp;$A8))"),"lottery house payouts")</f>
        <v>lottery house payouts</v>
      </c>
      <c r="K8" s="13" t="s">
        <v>65</v>
      </c>
      <c r="L8" s="13" t="str">
        <f>IFERROR(__xludf.DUMMYFUNCTION("""COMPUTED_VALUE"""),"miami lottery bahamas")</f>
        <v>miami lottery bahamas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67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""&amp;$A9))"),"lottery post odds")</f>
        <v>lottery post odds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""&amp;$A9))"),"lotto games odds")</f>
        <v>lotto games odds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""&amp;$A9))"),"numbers game odds")</f>
        <v>numbers game odds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""&amp;$A9))"),"3 ball miami odds")</f>
        <v>3 ball miami odds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""&amp;$A9))"),"3-ball miami odds")</f>
        <v>3-ball miami odds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""&amp;$A9))"),"miami lottery odds")</f>
        <v>miami lottery odds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""&amp;$A9))"),"lottery draw odds")</f>
        <v>lottery draw odds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""&amp;$A9))"),"lottery ticket odds")</f>
        <v>lottery ticket odds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""&amp;$A9))"),"lottery house odds")</f>
        <v>lottery house odds</v>
      </c>
      <c r="K9" s="13" t="s">
        <v>70</v>
      </c>
      <c r="L9" s="13" t="str">
        <f>IFERROR(__xludf.DUMMYFUNCTION("""COMPUTED_VALUE"""),"lottery draw bahamas")</f>
        <v>lottery draw bahamas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72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""&amp;$A10))"),"lottery post results")</f>
        <v>lottery post results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""&amp;$A10))"),"lotto games results")</f>
        <v>lotto games results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""&amp;$A10))"),"numbers game results")</f>
        <v>numbers game results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""&amp;$A10))"),"3 ball miami results")</f>
        <v>3 ball miami results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""&amp;$A10))"),"3-ball miami results")</f>
        <v>3-ball miami results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""&amp;$A10))"),"miami lottery results")</f>
        <v>miami lottery results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""&amp;$A10))"),"lottery draw results")</f>
        <v>lottery draw results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""&amp;$A10))"),"lottery ticket results")</f>
        <v>lottery ticket results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""&amp;$A10))"),"lottery house results")</f>
        <v>lottery house results</v>
      </c>
      <c r="K10" s="13" t="s">
        <v>74</v>
      </c>
      <c r="L10" s="13" t="str">
        <f>IFERROR(__xludf.DUMMYFUNCTION("""COMPUTED_VALUE"""),"lottery ticket bahamas")</f>
        <v>lottery ticket bahamas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0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""&amp;$A11))"),"lottery post winning numbers")</f>
        <v>lottery post winning numbers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""&amp;$A11))"),"lotto games winning numbers")</f>
        <v>lotto games winning numbers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""&amp;$A11))"),"numbers game winning numbers")</f>
        <v>numbers game winning numbers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""&amp;$A11))"),"3 ball miami winning numbers")</f>
        <v>3 ball miami winning numbers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""&amp;$A11))"),"3-ball miami winning numbers")</f>
        <v>3-ball miami winning numbers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""&amp;$A11))"),"miami lottery winning numbers")</f>
        <v>miami lottery winning numbers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""&amp;$A11))"),"lottery draw winning numbers")</f>
        <v>lottery draw winning numbers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""&amp;$A11))"),"lottery ticket winning numbers")</f>
        <v>lottery ticket winning numbers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""&amp;$A11))"),"lottery house winning numbers")</f>
        <v>lottery house winning numbers</v>
      </c>
      <c r="K11" s="13" t="s">
        <v>78</v>
      </c>
      <c r="L11" s="13" t="str">
        <f>IFERROR(__xludf.DUMMYFUNCTION("""COMPUTED_VALUE"""),"lottery house bahamas")</f>
        <v>lottery house bahamas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3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""&amp;$A12))"),"lottery post winning number")</f>
        <v>lottery post winning number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""&amp;$A12))"),"lotto games winning number")</f>
        <v>lotto games winning number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""&amp;$A12))"),"numbers game winning number")</f>
        <v>numbers game winning number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""&amp;$A12))"),"3 ball miami winning number")</f>
        <v>3 ball miami winning number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""&amp;$A12))"),"3-ball miami winning number")</f>
        <v>3-ball miami winning number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""&amp;$A12))"),"miami lottery winning number")</f>
        <v>miami lottery winning number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""&amp;$A12))"),"lottery draw winning number")</f>
        <v>lottery draw winning number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""&amp;$A12))"),"lottery ticket winning number")</f>
        <v>lottery ticket winning number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""&amp;$A12))"),"lottery house winning number")</f>
        <v>lottery house winning number</v>
      </c>
      <c r="K12" s="13" t="s">
        <v>82</v>
      </c>
      <c r="L12" s="13" t="str">
        <f>IFERROR(__xludf.DUMMYFUNCTION("""COMPUTED_VALUE"""),"online lottery bahamas")</f>
        <v>online lottery bahamas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46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""&amp;$A13))"),"lottery post today")</f>
        <v>lottery post today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""&amp;$A13))"),"lotto games today")</f>
        <v>lotto games today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""&amp;$A13))"),"numbers game today")</f>
        <v>numbers game today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""&amp;$A13))"),"3 ball miami today")</f>
        <v>3 ball miami today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""&amp;$A13))"),"3-ball miami today")</f>
        <v>3-ball miami today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""&amp;$A13))"),"miami lottery today")</f>
        <v>miami lottery today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""&amp;$A13))"),"lottery draw today")</f>
        <v>lottery draw today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""&amp;$A13))"),"lottery ticket today")</f>
        <v>lottery ticket today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""&amp;$A13))"),"lottery house today")</f>
        <v>lottery house today</v>
      </c>
      <c r="K13" s="13" t="s">
        <v>85</v>
      </c>
      <c r="L13" s="13" t="str">
        <f>IFERROR(__xludf.DUMMYFUNCTION("""COMPUTED_VALUE"""),"lottery post online")</f>
        <v>lottery post online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49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""&amp;$A14))"),"lottery post tonight")</f>
        <v>lottery post tonight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""&amp;$A14))"),"lotto games tonight")</f>
        <v>lotto games tonight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""&amp;$A14))"),"numbers game tonight")</f>
        <v>numbers game tonight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""&amp;$A14))"),"3 ball miami tonight")</f>
        <v>3 ball miami tonight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""&amp;$A14))"),"3-ball miami tonight")</f>
        <v>3-ball miami tonight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""&amp;$A14))"),"miami lottery tonight")</f>
        <v>miami lottery tonight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""&amp;$A14))"),"lottery draw tonight")</f>
        <v>lottery draw tonight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""&amp;$A14))"),"lottery ticket tonight")</f>
        <v>lottery ticket tonight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""&amp;$A14))"),"lottery house tonight")</f>
        <v>lottery house tonight</v>
      </c>
      <c r="K14" s="13" t="s">
        <v>88</v>
      </c>
      <c r="L14" s="13" t="str">
        <f>IFERROR(__xludf.DUMMYFUNCTION("""COMPUTED_VALUE"""),"lotto games online")</f>
        <v>lotto games online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91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""&amp;$A15))"),"lottery post draw time")</f>
        <v>lottery post draw time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""&amp;$A15))"),"lotto games draw time")</f>
        <v>lotto games draw time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""&amp;$A15))"),"numbers game draw time")</f>
        <v>numbers game draw time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""&amp;$A15))"),"3 ball miami draw time")</f>
        <v>3 ball miami draw time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""&amp;$A15))"),"3-ball miami draw time")</f>
        <v>3-ball miami draw time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""&amp;$A15))"),"miami lottery draw time")</f>
        <v>miami lottery draw time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""&amp;$A15))"),"lottery draw draw time")</f>
        <v>lottery draw draw time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""&amp;$A15))"),"lottery ticket draw time")</f>
        <v>lottery ticket draw time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""&amp;$A15))"),"lottery house draw time")</f>
        <v>lottery house draw time</v>
      </c>
      <c r="K15" s="13" t="s">
        <v>92</v>
      </c>
      <c r="L15" s="13" t="str">
        <f>IFERROR(__xludf.DUMMYFUNCTION("""COMPUTED_VALUE"""),"numbers game online")</f>
        <v>numbers game online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95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""&amp;$A16))"),"lottery post ticket")</f>
        <v>lottery post ticket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""&amp;$A16))"),"lotto games ticket")</f>
        <v>lotto games ticket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""&amp;$A16))"),"numbers game ticket")</f>
        <v>numbers game ticket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""&amp;$A16))"),"3 ball miami ticket")</f>
        <v>3 ball miami ticket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""&amp;$A16))"),"3-ball miami ticket")</f>
        <v>3-ball miami ticket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""&amp;$A16))"),"miami lottery ticket")</f>
        <v>miami lottery ticket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""&amp;$A16))"),"lottery draw ticket")</f>
        <v>lottery draw ticket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""&amp;$A16))"),"lottery ticket")</f>
        <v>lottery ticket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""&amp;$A16))"),"lottery house ticket")</f>
        <v>lottery house ticket</v>
      </c>
      <c r="K16" s="13" t="s">
        <v>97</v>
      </c>
      <c r="L16" s="13" t="str">
        <f>IFERROR(__xludf.DUMMYFUNCTION("""COMPUTED_VALUE"""),"3 ball miami online")</f>
        <v>3 ball miami online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99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""&amp;$A17))"),"lottery post tickets")</f>
        <v>lottery post tickets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""&amp;$A17))"),"lotto games tickets")</f>
        <v>lotto games tickets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""&amp;$A17))"),"numbers game tickets")</f>
        <v>numbers game tickets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""&amp;$A17))"),"3 ball miami tickets")</f>
        <v>3 ball miami tickets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""&amp;$A17))"),"3-ball miami tickets")</f>
        <v>3-ball miami tickets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""&amp;$A17))"),"miami lottery tickets")</f>
        <v>miami lottery tickets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""&amp;$A17))"),"lottery draw tickets")</f>
        <v>lottery draw tickets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""&amp;$A17))"),"lottery ticket")</f>
        <v>lottery ticket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""&amp;$A17))"),"lottery house tickets")</f>
        <v>lottery house tickets</v>
      </c>
      <c r="K17" s="13" t="s">
        <v>102</v>
      </c>
      <c r="L17" s="13" t="str">
        <f>IFERROR(__xludf.DUMMYFUNCTION("""COMPUTED_VALUE"""),"3-ball miami online")</f>
        <v>3-ball miami online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104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""&amp;$A18))"),"lottery post bet")</f>
        <v>lottery post bet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""&amp;$A18))"),"lotto games bet")</f>
        <v>lotto games bet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""&amp;$A18))"),"numbers game bet")</f>
        <v>numbers game bet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""&amp;$A18))"),"3 ball miami bet")</f>
        <v>3 ball miami bet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""&amp;$A18))"),"3-ball miami bet")</f>
        <v>3-ball miami bet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""&amp;$A18))"),"miami lottery bet")</f>
        <v>miami lottery bet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""&amp;$A18))"),"lottery draw bet")</f>
        <v>lottery draw bet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""&amp;$A18))"),"lottery ticket bet")</f>
        <v>lottery ticket bet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""&amp;$A18))"),"lottery house bet")</f>
        <v>lottery house bet</v>
      </c>
      <c r="K18" s="13" t="s">
        <v>106</v>
      </c>
      <c r="L18" s="13" t="str">
        <f>IFERROR(__xludf.DUMMYFUNCTION("""COMPUTED_VALUE"""),"miami lottery online")</f>
        <v>miami lottery online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108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""&amp;$A19))"),"lottery post bets")</f>
        <v>lottery post bets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""&amp;$A19))"),"lotto games bets")</f>
        <v>lotto games bets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""&amp;$A19))"),"numbers game bets")</f>
        <v>numbers game bets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""&amp;$A19))"),"3 ball miami bets")</f>
        <v>3 ball miami bets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""&amp;$A19))"),"3-ball miami bets")</f>
        <v>3-ball miami bets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""&amp;$A19))"),"miami lottery bets")</f>
        <v>miami lottery bets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""&amp;$A19))"),"lottery draw bets")</f>
        <v>lottery draw bets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""&amp;$A19))"),"lottery ticket bets")</f>
        <v>lottery ticket bets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""&amp;$A19))"),"lottery house bets")</f>
        <v>lottery house bets</v>
      </c>
      <c r="K19" s="13" t="s">
        <v>110</v>
      </c>
      <c r="L19" s="13" t="str">
        <f>IFERROR(__xludf.DUMMYFUNCTION("""COMPUTED_VALUE"""),"lottery draw online")</f>
        <v>lottery draw online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112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""&amp;$A20))"),"lottery post betting")</f>
        <v>lottery post betting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""&amp;$A20))"),"lotto games betting")</f>
        <v>lotto games betting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""&amp;$A20))"),"numbers game betting")</f>
        <v>numbers game betting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""&amp;$A20))"),"3 ball miami betting")</f>
        <v>3 ball miami betting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""&amp;$A20))"),"3-ball miami betting")</f>
        <v>3-ball miami betting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""&amp;$A20))"),"miami lottery betting")</f>
        <v>miami lottery betting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""&amp;$A20))"),"lottery draw betting")</f>
        <v>lottery draw betting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""&amp;$A20))"),"lottery ticket betting")</f>
        <v>lottery ticket betting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""&amp;$A20))"),"lottery house betting")</f>
        <v>lottery house betting</v>
      </c>
      <c r="K20" s="13" t="s">
        <v>114</v>
      </c>
      <c r="L20" s="13" t="str">
        <f>IFERROR(__xludf.DUMMYFUNCTION("""COMPUTED_VALUE"""),"lottery ticket online")</f>
        <v>lottery ticket online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101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""&amp;$A21))"),"lottery post app")</f>
        <v>lottery post app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""&amp;$A21))"),"lotto games app")</f>
        <v>lotto games app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""&amp;$A21))"),"numbers game app")</f>
        <v>numbers game app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""&amp;$A21))"),"3 ball miami app")</f>
        <v>3 ball miami app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""&amp;$A21))"),"3-ball miami app")</f>
        <v>3-ball miami app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""&amp;$A21))"),"miami lottery app")</f>
        <v>miami lottery app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""&amp;$A21))"),"lottery draw app")</f>
        <v>lottery draw app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""&amp;$A21))"),"lottery ticket app")</f>
        <v>lottery ticket app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""&amp;$A21))"),"lottery house app")</f>
        <v>lottery house app</v>
      </c>
      <c r="K21" s="13" t="s">
        <v>117</v>
      </c>
      <c r="L21" s="13" t="str">
        <f>IFERROR(__xludf.DUMMYFUNCTION("""COMPUTED_VALUE"""),"lottery house online")</f>
        <v>lottery house online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94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""&amp;$A22))"),"lottery post mobile")</f>
        <v>lottery post mobile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""&amp;$A22))"),"lotto games mobile")</f>
        <v>lotto games mobile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""&amp;$A22))"),"numbers game mobile")</f>
        <v>numbers game mobile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""&amp;$A22))"),"3 ball miami mobile")</f>
        <v>3 ball miami mobile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""&amp;$A22))"),"3-ball miami mobile")</f>
        <v>3-ball miami mobile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""&amp;$A22))"),"miami lottery mobile")</f>
        <v>miami lottery mobile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""&amp;$A22))"),"lottery draw mobile")</f>
        <v>lottery draw mobile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""&amp;$A22))"),"lottery ticket mobile")</f>
        <v>lottery ticket mobile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""&amp;$A22))"),"lottery house mobile")</f>
        <v>lottery house mobile</v>
      </c>
      <c r="K22" s="13" t="s">
        <v>122</v>
      </c>
      <c r="L22" s="13" t="str">
        <f>IFERROR(__xludf.DUMMYFUNCTION("""COMPUTED_VALUE"""),"online lottery")</f>
        <v>online lottery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124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""&amp;$A23))"),"lottery post login")</f>
        <v>lottery post login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""&amp;$A23))"),"lotto games login")</f>
        <v>lotto games login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""&amp;$A23))"),"numbers game login")</f>
        <v>numbers game login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""&amp;$A23))"),"3 ball miami login")</f>
        <v>3 ball miami login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""&amp;$A23))"),"3-ball miami login")</f>
        <v>3-ball miami login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""&amp;$A23))"),"miami lottery login")</f>
        <v>miami lottery login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""&amp;$A23))"),"lottery draw login")</f>
        <v>lottery draw login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""&amp;$A23))"),"lottery ticket login")</f>
        <v>lottery ticket login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""&amp;$A23))"),"lottery house login")</f>
        <v>lottery house login</v>
      </c>
      <c r="K23" s="13" t="s">
        <v>126</v>
      </c>
      <c r="L23" s="13" t="str">
        <f>IFERROR(__xludf.DUMMYFUNCTION("""COMPUTED_VALUE"""),"lottery post play online")</f>
        <v>lottery post play online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129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""&amp;$A24))"),"lottery post deposit")</f>
        <v>lottery post deposit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""&amp;$A24))"),"lotto games deposit")</f>
        <v>lotto games deposit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""&amp;$A24))"),"numbers game deposit")</f>
        <v>numbers game deposit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""&amp;$A24))"),"3 ball miami deposit")</f>
        <v>3 ball miami deposit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""&amp;$A24))"),"3-ball miami deposit")</f>
        <v>3-ball miami deposit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""&amp;$A24))"),"miami lottery deposit")</f>
        <v>miami lottery deposit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""&amp;$A24))"),"lottery draw deposit")</f>
        <v>lottery draw deposit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""&amp;$A24))"),"lottery ticket deposit")</f>
        <v>lottery ticket deposit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""&amp;$A24))"),"lottery house deposit")</f>
        <v>lottery house deposit</v>
      </c>
      <c r="K24" s="13" t="s">
        <v>132</v>
      </c>
      <c r="L24" s="13" t="str">
        <f>IFERROR(__xludf.DUMMYFUNCTION("""COMPUTED_VALUE"""),"lotto games play online")</f>
        <v>lotto games play online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133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""&amp;$A25))"),"lottery post withdrawal")</f>
        <v>lottery post withdrawal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""&amp;$A25))"),"lotto games withdrawal")</f>
        <v>lotto games withdrawal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""&amp;$A25))"),"numbers game withdrawal")</f>
        <v>numbers game withdrawal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""&amp;$A25))"),"3 ball miami withdrawal")</f>
        <v>3 ball miami withdrawal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""&amp;$A25))"),"3-ball miami withdrawal")</f>
        <v>3-ball miami withdrawal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""&amp;$A25))"),"miami lottery withdrawal")</f>
        <v>miami lottery withdrawal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""&amp;$A25))"),"lottery draw withdrawal")</f>
        <v>lottery draw withdrawal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""&amp;$A25))"),"lottery ticket withdrawal")</f>
        <v>lottery ticket withdrawal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""&amp;$A25))"),"lottery house withdrawal")</f>
        <v>lottery house withdrawal</v>
      </c>
      <c r="K25" s="13" t="s">
        <v>136</v>
      </c>
      <c r="L25" s="13" t="str">
        <f>IFERROR(__xludf.DUMMYFUNCTION("""COMPUTED_VALUE"""),"numbers game play online")</f>
        <v>numbers game play online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138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""&amp;$A26))"),"lottery post stores")</f>
        <v>lottery post stores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""&amp;$A26))"),"lotto games stores")</f>
        <v>lotto games stores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""&amp;$A26))"),"numbers game stores")</f>
        <v>numbers game stores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""&amp;$A26))"),"3 ball miami stores")</f>
        <v>3 ball miami stores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""&amp;$A26))"),"3-ball miami stores")</f>
        <v>3-ball miami stores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""&amp;$A26))"),"miami lottery stores")</f>
        <v>miami lottery stores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""&amp;$A26))"),"lottery draw stores")</f>
        <v>lottery draw stores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""&amp;$A26))"),"lottery ticket stores")</f>
        <v>lottery ticket stores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""&amp;$A26))"),"lottery house stores")</f>
        <v>lottery house stores</v>
      </c>
      <c r="K26" s="13" t="s">
        <v>140</v>
      </c>
      <c r="L26" s="13" t="str">
        <f>IFERROR(__xludf.DUMMYFUNCTION("""COMPUTED_VALUE"""),"3 ball miami play online")</f>
        <v>3 ball miami play online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143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""&amp;$A27))"),"lottery post locations")</f>
        <v>lottery post locations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""&amp;$A27))"),"lotto games locations")</f>
        <v>lotto games locations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""&amp;$A27))"),"numbers game locations")</f>
        <v>numbers game locations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""&amp;$A27))"),"3 ball miami locations")</f>
        <v>3 ball miami locations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""&amp;$A27))"),"3-ball miami locations")</f>
        <v>3-ball miami locations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""&amp;$A27))"),"miami lottery locations")</f>
        <v>miami lottery locations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""&amp;$A27))"),"lottery draw locations")</f>
        <v>lottery draw locations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""&amp;$A27))"),"lottery ticket locations")</f>
        <v>lottery ticket locations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""&amp;$A27))"),"lottery house locations")</f>
        <v>lottery house locations</v>
      </c>
      <c r="K27" s="13" t="s">
        <v>146</v>
      </c>
      <c r="L27" s="13" t="str">
        <f>IFERROR(__xludf.DUMMYFUNCTION("""COMPUTED_VALUE"""),"3-ball miami play online")</f>
        <v>3-ball miami play online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100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""&amp;$A28))"),"lottery post paradise games")</f>
        <v>lottery post paradise games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""&amp;$A28))"),"lotto games paradise games")</f>
        <v>lotto games paradise games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""&amp;$A28))"),"numbers game paradise games")</f>
        <v>numbers game paradise games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""&amp;$A28))"),"3 ball miami paradise games")</f>
        <v>3 ball miami paradise games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""&amp;$A28))"),"3-ball miami paradise games")</f>
        <v>3-ball miami paradise games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""&amp;$A28))"),"miami lottery paradise games")</f>
        <v>miami lottery paradise games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""&amp;$A28))"),"lottery draw paradise games")</f>
        <v>lottery draw paradise games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""&amp;$A28))"),"lottery ticket paradise games")</f>
        <v>lottery ticket paradise games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""&amp;$A28))"),"lottery house paradise games")</f>
        <v>lottery house paradise games</v>
      </c>
      <c r="K28" s="13" t="s">
        <v>150</v>
      </c>
      <c r="L28" s="13" t="str">
        <f>IFERROR(__xludf.DUMMYFUNCTION("""COMPUTED_VALUE"""),"miami lottery play online")</f>
        <v>miami lottery play online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105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""&amp;$A29))"),"lottery post pggames")</f>
        <v>lottery post pggames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""&amp;$A29))"),"lotto games pggames")</f>
        <v>lotto games pggames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""&amp;$A29))"),"numbers game pggames")</f>
        <v>numbers game pggames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""&amp;$A29))"),"3 ball miami pggames")</f>
        <v>3 ball miami pggames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""&amp;$A29))"),"3-ball miami pggames")</f>
        <v>3-ball miami pggames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""&amp;$A29))"),"miami lottery pggames")</f>
        <v>miami lottery pggames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""&amp;$A29))"),"lottery draw pggames")</f>
        <v>lottery draw pggames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""&amp;$A29))"),"lottery ticket pggames")</f>
        <v>lottery ticket pggames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""&amp;$A29))"),"lottery house pggames")</f>
        <v>lottery house pggames</v>
      </c>
      <c r="K29" s="13" t="s">
        <v>153</v>
      </c>
      <c r="L29" s="13" t="str">
        <f>IFERROR(__xludf.DUMMYFUNCTION("""COMPUTED_VALUE"""),"lottery draw play online")</f>
        <v>lottery draw play online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79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""&amp;$A30))"),"lottery post island luck")</f>
        <v>lottery post island luck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""&amp;$A30))"),"lotto games island luck")</f>
        <v>lotto games island luck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""&amp;$A30))"),"numbers game island luck")</f>
        <v>numbers game island luck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""&amp;$A30))"),"3 ball miami island luck")</f>
        <v>3 ball miami island luck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""&amp;$A30))"),"3-ball miami island luck")</f>
        <v>3-ball miami island luck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""&amp;$A30))"),"miami lottery island luck")</f>
        <v>miami lottery island luck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""&amp;$A30))"),"lottery draw island luck")</f>
        <v>lottery draw island luck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""&amp;$A30))"),"lottery ticket island luck")</f>
        <v>lottery ticket island luck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""&amp;$A30))"),"lottery house island luck")</f>
        <v>lottery house island luck</v>
      </c>
      <c r="K30" s="13" t="s">
        <v>157</v>
      </c>
      <c r="L30" s="13" t="str">
        <f>IFERROR(__xludf.DUMMYFUNCTION("""COMPUTED_VALUE"""),"lottery ticket play online")</f>
        <v>lottery ticket play online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83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""&amp;$A31))"),"lottery post chances")</f>
        <v>lottery post chances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""&amp;$A31))"),"lotto games chances")</f>
        <v>lotto games chances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""&amp;$A31))"),"numbers game chances")</f>
        <v>numbers game chances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""&amp;$A31))"),"3 ball miami chances")</f>
        <v>3 ball miami chances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""&amp;$A31))"),"3-ball miami chances")</f>
        <v>3-ball miami chances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""&amp;$A31))"),"miami lottery chances")</f>
        <v>miami lottery chances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""&amp;$A31))"),"lottery draw chances")</f>
        <v>lottery draw chances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""&amp;$A31))"),"lottery ticket chances")</f>
        <v>lottery ticket chances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""&amp;$A31))"),"lottery house chances")</f>
        <v>lottery house chances</v>
      </c>
      <c r="K31" s="13" t="s">
        <v>160</v>
      </c>
      <c r="L31" s="13" t="str">
        <f>IFERROR(__xludf.DUMMYFUNCTION("""COMPUTED_VALUE"""),"lottery house play online")</f>
        <v>lottery house play online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86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""&amp;$A32))"),"lottery post ultra games")</f>
        <v>lottery post ultra games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""&amp;$A32))"),"lotto games ultra games")</f>
        <v>lotto games ultra games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""&amp;$A32))"),"numbers game ultra games")</f>
        <v>numbers game ultra games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""&amp;$A32))"),"3 ball miami ultra games")</f>
        <v>3 ball miami ultra games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""&amp;$A32))"),"3-ball miami ultra games")</f>
        <v>3-ball miami ultra games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""&amp;$A32))"),"miami lottery ultra games")</f>
        <v>miami lottery ultra games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""&amp;$A32))"),"lottery draw ultra games")</f>
        <v>lottery draw ultra games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""&amp;$A32))"),"lottery ticket ultra games")</f>
        <v>lottery ticket ultra games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""&amp;$A32))"),"lottery house ultra games")</f>
        <v>lottery house ultra games</v>
      </c>
      <c r="K32" s="13" t="s">
        <v>164</v>
      </c>
      <c r="L32" s="13" t="str">
        <f>IFERROR(__xludf.DUMMYFUNCTION("""COMPUTED_VALUE"""),"online lottery play online")</f>
        <v>online lottery play online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90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""&amp;$A33))"),"lottery post asurewin")</f>
        <v>lottery post asurewin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""&amp;$A33))"),"lotto games asurewin")</f>
        <v>lotto games asurewin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""&amp;$A33))"),"numbers game asurewin")</f>
        <v>numbers game asurewin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""&amp;$A33))"),"3 ball miami asurewin")</f>
        <v>3 ball miami asurewin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""&amp;$A33))"),"3-ball miami asurewin")</f>
        <v>3-ball miami asurewin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""&amp;$A33))"),"miami lottery asurewin")</f>
        <v>miami lottery asurewin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""&amp;$A33))"),"lottery draw asurewin")</f>
        <v>lottery draw asurewin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""&amp;$A33))"),"lottery ticket asurewin")</f>
        <v>lottery ticket asurewin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""&amp;$A33))"),"lottery house asurewin")</f>
        <v>lottery house asurewin</v>
      </c>
      <c r="K33" s="13" t="s">
        <v>167</v>
      </c>
      <c r="L33" s="13" t="str">
        <f>IFERROR(__xludf.DUMMYFUNCTION("""COMPUTED_VALUE"""),"lottery post how to play")</f>
        <v>lottery post how to play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54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""&amp;$A34))"),"lottery post caribbean")</f>
        <v>lottery post caribbean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""&amp;$A34))"),"lotto games caribbean")</f>
        <v>lotto games caribbean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""&amp;$A34))"),"numbers game caribbean")</f>
        <v>numbers game caribbean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""&amp;$A34))"),"3 ball miami caribbean")</f>
        <v>3 ball miami caribbean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""&amp;$A34))"),"3-ball miami caribbean")</f>
        <v>3-ball miami caribbean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""&amp;$A34))"),"miami lottery caribbean")</f>
        <v>miami lottery caribbean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""&amp;$A34))"),"lottery draw caribbean")</f>
        <v>lottery draw caribbean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""&amp;$A34))"),"lottery ticket caribbean")</f>
        <v>lottery ticket caribbean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""&amp;$A34))"),"lottery house caribbean")</f>
        <v>lottery house caribbean</v>
      </c>
      <c r="K34" s="13" t="s">
        <v>170</v>
      </c>
      <c r="L34" s="13" t="str">
        <f>IFERROR(__xludf.DUMMYFUNCTION("""COMPUTED_VALUE"""),"lotto games how to play")</f>
        <v>lotto games how to play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 t="str">
        <f>IFERROR(__xludf.DUMMYFUNCTION("""COMPUTED_VALUE"""),"numbers game how to play")</f>
        <v>numbers game how to play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 t="str">
        <f>IFERROR(__xludf.DUMMYFUNCTION("""COMPUTED_VALUE"""),"3 ball miami how to play")</f>
        <v>3 ball miami how to play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 t="str">
        <f>IFERROR(__xludf.DUMMYFUNCTION("""COMPUTED_VALUE"""),"3-ball miami how to play")</f>
        <v>3-ball miami how to play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 t="str">
        <f>IFERROR(__xludf.DUMMYFUNCTION("""COMPUTED_VALUE"""),"miami lottery how to play")</f>
        <v>miami lottery how to play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 t="str">
        <f>IFERROR(__xludf.DUMMYFUNCTION("""COMPUTED_VALUE"""),"lottery draw how to play")</f>
        <v>lottery draw how to play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 t="str">
        <f>IFERROR(__xludf.DUMMYFUNCTION("""COMPUTED_VALUE"""),"lottery ticket how to play")</f>
        <v>lottery ticket how to play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 t="str">
        <f>IFERROR(__xludf.DUMMYFUNCTION("""COMPUTED_VALUE"""),"lottery house how to play")</f>
        <v>lottery house how to play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 t="str">
        <f>IFERROR(__xludf.DUMMYFUNCTION("""COMPUTED_VALUE"""),"online lottery how to play")</f>
        <v>online lottery how to play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 t="str">
        <f>IFERROR(__xludf.DUMMYFUNCTION("""COMPUTED_VALUE"""),"lottery post rules")</f>
        <v>lottery post rules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 t="str">
        <f>IFERROR(__xludf.DUMMYFUNCTION("""COMPUTED_VALUE"""),"lotto games rules")</f>
        <v>lotto games rules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 t="str">
        <f>IFERROR(__xludf.DUMMYFUNCTION("""COMPUTED_VALUE"""),"numbers game rules")</f>
        <v>numbers game rules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 t="str">
        <f>IFERROR(__xludf.DUMMYFUNCTION("""COMPUTED_VALUE"""),"3 ball miami rules")</f>
        <v>3 ball miami rules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 t="str">
        <f>IFERROR(__xludf.DUMMYFUNCTION("""COMPUTED_VALUE"""),"3-ball miami rules")</f>
        <v>3-ball miami rules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 t="str">
        <f>IFERROR(__xludf.DUMMYFUNCTION("""COMPUTED_VALUE"""),"miami lottery rules")</f>
        <v>miami lottery rules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 t="str">
        <f>IFERROR(__xludf.DUMMYFUNCTION("""COMPUTED_VALUE"""),"lottery draw rules")</f>
        <v>lottery draw rules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 t="str">
        <f>IFERROR(__xludf.DUMMYFUNCTION("""COMPUTED_VALUE"""),"lottery ticket rules")</f>
        <v>lottery ticket rules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 t="str">
        <f>IFERROR(__xludf.DUMMYFUNCTION("""COMPUTED_VALUE"""),"lottery house rules")</f>
        <v>lottery house rules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 t="str">
        <f>IFERROR(__xludf.DUMMYFUNCTION("""COMPUTED_VALUE"""),"online lottery rules")</f>
        <v>online lottery rules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 t="str">
        <f>IFERROR(__xludf.DUMMYFUNCTION("""COMPUTED_VALUE"""),"lottery post payouts")</f>
        <v>lottery post payouts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 t="str">
        <f>IFERROR(__xludf.DUMMYFUNCTION("""COMPUTED_VALUE"""),"lotto games payouts")</f>
        <v>lotto games payouts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 t="str">
        <f>IFERROR(__xludf.DUMMYFUNCTION("""COMPUTED_VALUE"""),"numbers game payouts")</f>
        <v>numbers game payouts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 t="str">
        <f>IFERROR(__xludf.DUMMYFUNCTION("""COMPUTED_VALUE"""),"3 ball miami payouts")</f>
        <v>3 ball miami payouts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 t="str">
        <f>IFERROR(__xludf.DUMMYFUNCTION("""COMPUTED_VALUE"""),"3-ball miami payouts")</f>
        <v>3-ball miami payouts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 t="str">
        <f>IFERROR(__xludf.DUMMYFUNCTION("""COMPUTED_VALUE"""),"miami lottery payouts")</f>
        <v>miami lottery payouts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 t="str">
        <f>IFERROR(__xludf.DUMMYFUNCTION("""COMPUTED_VALUE"""),"lottery draw payouts")</f>
        <v>lottery draw payouts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 t="str">
        <f>IFERROR(__xludf.DUMMYFUNCTION("""COMPUTED_VALUE"""),"lottery ticket payouts")</f>
        <v>lottery ticket payouts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 t="str">
        <f>IFERROR(__xludf.DUMMYFUNCTION("""COMPUTED_VALUE"""),"lottery house payouts")</f>
        <v>lottery house payouts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 t="str">
        <f>IFERROR(__xludf.DUMMYFUNCTION("""COMPUTED_VALUE"""),"online lottery payouts")</f>
        <v>online lottery payouts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 t="str">
        <f>IFERROR(__xludf.DUMMYFUNCTION("""COMPUTED_VALUE"""),"lottery post odds")</f>
        <v>lottery post odds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 t="str">
        <f>IFERROR(__xludf.DUMMYFUNCTION("""COMPUTED_VALUE"""),"lotto games odds")</f>
        <v>lotto games odds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 t="str">
        <f>IFERROR(__xludf.DUMMYFUNCTION("""COMPUTED_VALUE"""),"numbers game odds")</f>
        <v>numbers game odds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 t="str">
        <f>IFERROR(__xludf.DUMMYFUNCTION("""COMPUTED_VALUE"""),"3 ball miami odds")</f>
        <v>3 ball miami odds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 t="str">
        <f>IFERROR(__xludf.DUMMYFUNCTION("""COMPUTED_VALUE"""),"3-ball miami odds")</f>
        <v>3-ball miami odds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 t="str">
        <f>IFERROR(__xludf.DUMMYFUNCTION("""COMPUTED_VALUE"""),"miami lottery odds")</f>
        <v>miami lottery odds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 t="str">
        <f>IFERROR(__xludf.DUMMYFUNCTION("""COMPUTED_VALUE"""),"lottery draw odds")</f>
        <v>lottery draw odds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 t="str">
        <f>IFERROR(__xludf.DUMMYFUNCTION("""COMPUTED_VALUE"""),"lottery ticket odds")</f>
        <v>lottery ticket odds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 t="str">
        <f>IFERROR(__xludf.DUMMYFUNCTION("""COMPUTED_VALUE"""),"lottery house odds")</f>
        <v>lottery house odds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 t="str">
        <f>IFERROR(__xludf.DUMMYFUNCTION("""COMPUTED_VALUE"""),"online lottery odds")</f>
        <v>online lottery odds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 t="str">
        <f>IFERROR(__xludf.DUMMYFUNCTION("""COMPUTED_VALUE"""),"lottery post results")</f>
        <v>lottery post results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 t="str">
        <f>IFERROR(__xludf.DUMMYFUNCTION("""COMPUTED_VALUE"""),"lotto games results")</f>
        <v>lotto games results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 t="str">
        <f>IFERROR(__xludf.DUMMYFUNCTION("""COMPUTED_VALUE"""),"numbers game results")</f>
        <v>numbers game results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 t="str">
        <f>IFERROR(__xludf.DUMMYFUNCTION("""COMPUTED_VALUE"""),"3 ball miami results")</f>
        <v>3 ball miami results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 t="str">
        <f>IFERROR(__xludf.DUMMYFUNCTION("""COMPUTED_VALUE"""),"3-ball miami results")</f>
        <v>3-ball miami results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 t="str">
        <f>IFERROR(__xludf.DUMMYFUNCTION("""COMPUTED_VALUE"""),"miami lottery results")</f>
        <v>miami lottery results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 t="str">
        <f>IFERROR(__xludf.DUMMYFUNCTION("""COMPUTED_VALUE"""),"lottery draw results")</f>
        <v>lottery draw results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 t="str">
        <f>IFERROR(__xludf.DUMMYFUNCTION("""COMPUTED_VALUE"""),"lottery ticket results")</f>
        <v>lottery ticket results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 t="str">
        <f>IFERROR(__xludf.DUMMYFUNCTION("""COMPUTED_VALUE"""),"lottery house results")</f>
        <v>lottery house results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 t="str">
        <f>IFERROR(__xludf.DUMMYFUNCTION("""COMPUTED_VALUE"""),"online lottery results")</f>
        <v>online lottery results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 t="str">
        <f>IFERROR(__xludf.DUMMYFUNCTION("""COMPUTED_VALUE"""),"lottery post winning numbers")</f>
        <v>lottery post winning numbers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 t="str">
        <f>IFERROR(__xludf.DUMMYFUNCTION("""COMPUTED_VALUE"""),"lotto games winning numbers")</f>
        <v>lotto games winning numbers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 t="str">
        <f>IFERROR(__xludf.DUMMYFUNCTION("""COMPUTED_VALUE"""),"numbers game winning numbers")</f>
        <v>numbers game winning numbers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 t="str">
        <f>IFERROR(__xludf.DUMMYFUNCTION("""COMPUTED_VALUE"""),"3 ball miami winning numbers")</f>
        <v>3 ball miami winning numbers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 t="str">
        <f>IFERROR(__xludf.DUMMYFUNCTION("""COMPUTED_VALUE"""),"3-ball miami winning numbers")</f>
        <v>3-ball miami winning numbers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 t="str">
        <f>IFERROR(__xludf.DUMMYFUNCTION("""COMPUTED_VALUE"""),"miami lottery winning numbers")</f>
        <v>miami lottery winning numbers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 t="str">
        <f>IFERROR(__xludf.DUMMYFUNCTION("""COMPUTED_VALUE"""),"lottery draw winning numbers")</f>
        <v>lottery draw winning numbers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 t="str">
        <f>IFERROR(__xludf.DUMMYFUNCTION("""COMPUTED_VALUE"""),"lottery ticket winning numbers")</f>
        <v>lottery ticket winning numbers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 t="str">
        <f>IFERROR(__xludf.DUMMYFUNCTION("""COMPUTED_VALUE"""),"lottery house winning numbers")</f>
        <v>lottery house winning numbers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 t="str">
        <f>IFERROR(__xludf.DUMMYFUNCTION("""COMPUTED_VALUE"""),"online lottery winning numbers")</f>
        <v>online lottery winning numbers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 t="str">
        <f>IFERROR(__xludf.DUMMYFUNCTION("""COMPUTED_VALUE"""),"lottery post winning number")</f>
        <v>lottery post winning number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 t="str">
        <f>IFERROR(__xludf.DUMMYFUNCTION("""COMPUTED_VALUE"""),"lotto games winning number")</f>
        <v>lotto games winning number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 t="str">
        <f>IFERROR(__xludf.DUMMYFUNCTION("""COMPUTED_VALUE"""),"numbers game winning number")</f>
        <v>numbers game winning number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 t="str">
        <f>IFERROR(__xludf.DUMMYFUNCTION("""COMPUTED_VALUE"""),"3 ball miami winning number")</f>
        <v>3 ball miami winning number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 t="str">
        <f>IFERROR(__xludf.DUMMYFUNCTION("""COMPUTED_VALUE"""),"3-ball miami winning number")</f>
        <v>3-ball miami winning number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 t="str">
        <f>IFERROR(__xludf.DUMMYFUNCTION("""COMPUTED_VALUE"""),"miami lottery winning number")</f>
        <v>miami lottery winning number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 t="str">
        <f>IFERROR(__xludf.DUMMYFUNCTION("""COMPUTED_VALUE"""),"lottery draw winning number")</f>
        <v>lottery draw winning number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 t="str">
        <f>IFERROR(__xludf.DUMMYFUNCTION("""COMPUTED_VALUE"""),"lottery ticket winning number")</f>
        <v>lottery ticket winning number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 t="str">
        <f>IFERROR(__xludf.DUMMYFUNCTION("""COMPUTED_VALUE"""),"lottery house winning number")</f>
        <v>lottery house winning number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 t="str">
        <f>IFERROR(__xludf.DUMMYFUNCTION("""COMPUTED_VALUE"""),"online lottery winning number")</f>
        <v>online lottery winning number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 t="str">
        <f>IFERROR(__xludf.DUMMYFUNCTION("""COMPUTED_VALUE"""),"lottery post today")</f>
        <v>lottery post today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 t="str">
        <f>IFERROR(__xludf.DUMMYFUNCTION("""COMPUTED_VALUE"""),"lotto games today")</f>
        <v>lotto games today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 t="str">
        <f>IFERROR(__xludf.DUMMYFUNCTION("""COMPUTED_VALUE"""),"numbers game today")</f>
        <v>numbers game today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 t="str">
        <f>IFERROR(__xludf.DUMMYFUNCTION("""COMPUTED_VALUE"""),"3 ball miami today")</f>
        <v>3 ball miami today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 t="str">
        <f>IFERROR(__xludf.DUMMYFUNCTION("""COMPUTED_VALUE"""),"3-ball miami today")</f>
        <v>3-ball miami today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 t="str">
        <f>IFERROR(__xludf.DUMMYFUNCTION("""COMPUTED_VALUE"""),"miami lottery today")</f>
        <v>miami lottery today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 t="str">
        <f>IFERROR(__xludf.DUMMYFUNCTION("""COMPUTED_VALUE"""),"lottery draw today")</f>
        <v>lottery draw today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 t="str">
        <f>IFERROR(__xludf.DUMMYFUNCTION("""COMPUTED_VALUE"""),"lottery ticket today")</f>
        <v>lottery ticket today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 t="str">
        <f>IFERROR(__xludf.DUMMYFUNCTION("""COMPUTED_VALUE"""),"lottery house today")</f>
        <v>lottery house today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 t="str">
        <f>IFERROR(__xludf.DUMMYFUNCTION("""COMPUTED_VALUE"""),"online lottery today")</f>
        <v>online lottery today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 t="str">
        <f>IFERROR(__xludf.DUMMYFUNCTION("""COMPUTED_VALUE"""),"lottery post tonight")</f>
        <v>lottery post tonight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 t="str">
        <f>IFERROR(__xludf.DUMMYFUNCTION("""COMPUTED_VALUE"""),"lotto games tonight")</f>
        <v>lotto games tonight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 t="str">
        <f>IFERROR(__xludf.DUMMYFUNCTION("""COMPUTED_VALUE"""),"numbers game tonight")</f>
        <v>numbers game tonight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 t="str">
        <f>IFERROR(__xludf.DUMMYFUNCTION("""COMPUTED_VALUE"""),"3 ball miami tonight")</f>
        <v>3 ball miami tonight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 t="str">
        <f>IFERROR(__xludf.DUMMYFUNCTION("""COMPUTED_VALUE"""),"3-ball miami tonight")</f>
        <v>3-ball miami tonight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 t="str">
        <f>IFERROR(__xludf.DUMMYFUNCTION("""COMPUTED_VALUE"""),"miami lottery tonight")</f>
        <v>miami lottery tonight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 t="str">
        <f>IFERROR(__xludf.DUMMYFUNCTION("""COMPUTED_VALUE"""),"lottery draw tonight")</f>
        <v>lottery draw tonight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 t="str">
        <f>IFERROR(__xludf.DUMMYFUNCTION("""COMPUTED_VALUE"""),"lottery ticket tonight")</f>
        <v>lottery ticket tonight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 t="str">
        <f>IFERROR(__xludf.DUMMYFUNCTION("""COMPUTED_VALUE"""),"lottery house tonight")</f>
        <v>lottery house tonight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 t="str">
        <f>IFERROR(__xludf.DUMMYFUNCTION("""COMPUTED_VALUE"""),"online lottery tonight")</f>
        <v>online lottery tonight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 t="str">
        <f>IFERROR(__xludf.DUMMYFUNCTION("""COMPUTED_VALUE"""),"lottery post draw time")</f>
        <v>lottery post draw time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 t="str">
        <f>IFERROR(__xludf.DUMMYFUNCTION("""COMPUTED_VALUE"""),"lotto games draw time")</f>
        <v>lotto games draw time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 t="str">
        <f>IFERROR(__xludf.DUMMYFUNCTION("""COMPUTED_VALUE"""),"numbers game draw time")</f>
        <v>numbers game draw time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 t="str">
        <f>IFERROR(__xludf.DUMMYFUNCTION("""COMPUTED_VALUE"""),"3 ball miami draw time")</f>
        <v>3 ball miami draw time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 t="str">
        <f>IFERROR(__xludf.DUMMYFUNCTION("""COMPUTED_VALUE"""),"3-ball miami draw time")</f>
        <v>3-ball miami draw time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 t="str">
        <f>IFERROR(__xludf.DUMMYFUNCTION("""COMPUTED_VALUE"""),"miami lottery draw time")</f>
        <v>miami lottery draw time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 t="str">
        <f>IFERROR(__xludf.DUMMYFUNCTION("""COMPUTED_VALUE"""),"lottery draw draw time")</f>
        <v>lottery draw draw time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 t="str">
        <f>IFERROR(__xludf.DUMMYFUNCTION("""COMPUTED_VALUE"""),"lottery ticket draw time")</f>
        <v>lottery ticket draw time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 t="str">
        <f>IFERROR(__xludf.DUMMYFUNCTION("""COMPUTED_VALUE"""),"lottery house draw time")</f>
        <v>lottery house draw time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 t="str">
        <f>IFERROR(__xludf.DUMMYFUNCTION("""COMPUTED_VALUE"""),"online lottery draw time")</f>
        <v>online lottery draw time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 t="str">
        <f>IFERROR(__xludf.DUMMYFUNCTION("""COMPUTED_VALUE"""),"lottery post ticket")</f>
        <v>lottery post ticket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 t="str">
        <f>IFERROR(__xludf.DUMMYFUNCTION("""COMPUTED_VALUE"""),"lotto games ticket")</f>
        <v>lotto games ticket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 t="str">
        <f>IFERROR(__xludf.DUMMYFUNCTION("""COMPUTED_VALUE"""),"numbers game ticket")</f>
        <v>numbers game ticket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 t="str">
        <f>IFERROR(__xludf.DUMMYFUNCTION("""COMPUTED_VALUE"""),"3 ball miami ticket")</f>
        <v>3 ball miami ticket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 t="str">
        <f>IFERROR(__xludf.DUMMYFUNCTION("""COMPUTED_VALUE"""),"3-ball miami ticket")</f>
        <v>3-ball miami ticket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 t="str">
        <f>IFERROR(__xludf.DUMMYFUNCTION("""COMPUTED_VALUE"""),"miami lottery ticket")</f>
        <v>miami lottery ticket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 t="str">
        <f>IFERROR(__xludf.DUMMYFUNCTION("""COMPUTED_VALUE"""),"lottery draw ticket")</f>
        <v>lottery draw ticket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 t="str">
        <f>IFERROR(__xludf.DUMMYFUNCTION("""COMPUTED_VALUE"""),"lottery ticket")</f>
        <v>lottery ticket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 t="str">
        <f>IFERROR(__xludf.DUMMYFUNCTION("""COMPUTED_VALUE"""),"lottery house ticket")</f>
        <v>lottery house ticket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 t="str">
        <f>IFERROR(__xludf.DUMMYFUNCTION("""COMPUTED_VALUE"""),"online lottery ticket")</f>
        <v>online lottery ticket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 t="str">
        <f>IFERROR(__xludf.DUMMYFUNCTION("""COMPUTED_VALUE"""),"lottery post tickets")</f>
        <v>lottery post tickets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 t="str">
        <f>IFERROR(__xludf.DUMMYFUNCTION("""COMPUTED_VALUE"""),"lotto games tickets")</f>
        <v>lotto games tickets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 t="str">
        <f>IFERROR(__xludf.DUMMYFUNCTION("""COMPUTED_VALUE"""),"numbers game tickets")</f>
        <v>numbers game tickets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 t="str">
        <f>IFERROR(__xludf.DUMMYFUNCTION("""COMPUTED_VALUE"""),"3 ball miami tickets")</f>
        <v>3 ball miami tickets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 t="str">
        <f>IFERROR(__xludf.DUMMYFUNCTION("""COMPUTED_VALUE"""),"3-ball miami tickets")</f>
        <v>3-ball miami tickets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 t="str">
        <f>IFERROR(__xludf.DUMMYFUNCTION("""COMPUTED_VALUE"""),"miami lottery tickets")</f>
        <v>miami lottery tickets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 t="str">
        <f>IFERROR(__xludf.DUMMYFUNCTION("""COMPUTED_VALUE"""),"lottery draw tickets")</f>
        <v>lottery draw tickets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 t="str">
        <f>IFERROR(__xludf.DUMMYFUNCTION("""COMPUTED_VALUE"""),"lottery ticket")</f>
        <v>lottery ticket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 t="str">
        <f>IFERROR(__xludf.DUMMYFUNCTION("""COMPUTED_VALUE"""),"lottery house tickets")</f>
        <v>lottery house tickets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 t="str">
        <f>IFERROR(__xludf.DUMMYFUNCTION("""COMPUTED_VALUE"""),"online lottery tickets")</f>
        <v>online lottery tickets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 t="str">
        <f>IFERROR(__xludf.DUMMYFUNCTION("""COMPUTED_VALUE"""),"lottery post bet")</f>
        <v>lottery post bet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 t="str">
        <f>IFERROR(__xludf.DUMMYFUNCTION("""COMPUTED_VALUE"""),"lotto games bet")</f>
        <v>lotto games bet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 t="str">
        <f>IFERROR(__xludf.DUMMYFUNCTION("""COMPUTED_VALUE"""),"numbers game bet")</f>
        <v>numbers game bet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 t="str">
        <f>IFERROR(__xludf.DUMMYFUNCTION("""COMPUTED_VALUE"""),"3 ball miami bet")</f>
        <v>3 ball miami bet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 t="str">
        <f>IFERROR(__xludf.DUMMYFUNCTION("""COMPUTED_VALUE"""),"3-ball miami bet")</f>
        <v>3-ball miami bet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 t="str">
        <f>IFERROR(__xludf.DUMMYFUNCTION("""COMPUTED_VALUE"""),"miami lottery bet")</f>
        <v>miami lottery bet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 t="str">
        <f>IFERROR(__xludf.DUMMYFUNCTION("""COMPUTED_VALUE"""),"lottery draw bet")</f>
        <v>lottery draw bet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 t="str">
        <f>IFERROR(__xludf.DUMMYFUNCTION("""COMPUTED_VALUE"""),"lottery ticket bet")</f>
        <v>lottery ticket bet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 t="str">
        <f>IFERROR(__xludf.DUMMYFUNCTION("""COMPUTED_VALUE"""),"lottery house bet")</f>
        <v>lottery house bet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 t="str">
        <f>IFERROR(__xludf.DUMMYFUNCTION("""COMPUTED_VALUE"""),"online lottery bet")</f>
        <v>online lottery bet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 t="str">
        <f>IFERROR(__xludf.DUMMYFUNCTION("""COMPUTED_VALUE"""),"lottery post bets")</f>
        <v>lottery post bets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 t="str">
        <f>IFERROR(__xludf.DUMMYFUNCTION("""COMPUTED_VALUE"""),"lotto games bets")</f>
        <v>lotto games bets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 t="str">
        <f>IFERROR(__xludf.DUMMYFUNCTION("""COMPUTED_VALUE"""),"numbers game bets")</f>
        <v>numbers game bets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 t="str">
        <f>IFERROR(__xludf.DUMMYFUNCTION("""COMPUTED_VALUE"""),"3 ball miami bets")</f>
        <v>3 ball miami bets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 t="str">
        <f>IFERROR(__xludf.DUMMYFUNCTION("""COMPUTED_VALUE"""),"3-ball miami bets")</f>
        <v>3-ball miami bets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 t="str">
        <f>IFERROR(__xludf.DUMMYFUNCTION("""COMPUTED_VALUE"""),"miami lottery bets")</f>
        <v>miami lottery bets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 t="str">
        <f>IFERROR(__xludf.DUMMYFUNCTION("""COMPUTED_VALUE"""),"lottery draw bets")</f>
        <v>lottery draw bets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 t="str">
        <f>IFERROR(__xludf.DUMMYFUNCTION("""COMPUTED_VALUE"""),"lottery ticket bets")</f>
        <v>lottery ticket bets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 t="str">
        <f>IFERROR(__xludf.DUMMYFUNCTION("""COMPUTED_VALUE"""),"lottery house bets")</f>
        <v>lottery house bets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 t="str">
        <f>IFERROR(__xludf.DUMMYFUNCTION("""COMPUTED_VALUE"""),"online lottery bets")</f>
        <v>online lottery bets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 t="str">
        <f>IFERROR(__xludf.DUMMYFUNCTION("""COMPUTED_VALUE"""),"lottery post betting")</f>
        <v>lottery post betting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 t="str">
        <f>IFERROR(__xludf.DUMMYFUNCTION("""COMPUTED_VALUE"""),"lotto games betting")</f>
        <v>lotto games betting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 t="str">
        <f>IFERROR(__xludf.DUMMYFUNCTION("""COMPUTED_VALUE"""),"numbers game betting")</f>
        <v>numbers game betting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 t="str">
        <f>IFERROR(__xludf.DUMMYFUNCTION("""COMPUTED_VALUE"""),"3 ball miami betting")</f>
        <v>3 ball miami betting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 t="str">
        <f>IFERROR(__xludf.DUMMYFUNCTION("""COMPUTED_VALUE"""),"3-ball miami betting")</f>
        <v>3-ball miami betting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 t="str">
        <f>IFERROR(__xludf.DUMMYFUNCTION("""COMPUTED_VALUE"""),"miami lottery betting")</f>
        <v>miami lottery betting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 t="str">
        <f>IFERROR(__xludf.DUMMYFUNCTION("""COMPUTED_VALUE"""),"lottery draw betting")</f>
        <v>lottery draw betting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 t="str">
        <f>IFERROR(__xludf.DUMMYFUNCTION("""COMPUTED_VALUE"""),"lottery ticket betting")</f>
        <v>lottery ticket betting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 t="str">
        <f>IFERROR(__xludf.DUMMYFUNCTION("""COMPUTED_VALUE"""),"lottery house betting")</f>
        <v>lottery house betting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 t="str">
        <f>IFERROR(__xludf.DUMMYFUNCTION("""COMPUTED_VALUE"""),"online lottery betting")</f>
        <v>online lottery betting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 t="str">
        <f>IFERROR(__xludf.DUMMYFUNCTION("""COMPUTED_VALUE"""),"lottery post app")</f>
        <v>lottery post app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 t="str">
        <f>IFERROR(__xludf.DUMMYFUNCTION("""COMPUTED_VALUE"""),"lotto games app")</f>
        <v>lotto games app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 t="str">
        <f>IFERROR(__xludf.DUMMYFUNCTION("""COMPUTED_VALUE"""),"numbers game app")</f>
        <v>numbers game app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 t="str">
        <f>IFERROR(__xludf.DUMMYFUNCTION("""COMPUTED_VALUE"""),"3 ball miami app")</f>
        <v>3 ball miami app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 t="str">
        <f>IFERROR(__xludf.DUMMYFUNCTION("""COMPUTED_VALUE"""),"3-ball miami app")</f>
        <v>3-ball miami app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 t="str">
        <f>IFERROR(__xludf.DUMMYFUNCTION("""COMPUTED_VALUE"""),"miami lottery app")</f>
        <v>miami lottery app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 t="str">
        <f>IFERROR(__xludf.DUMMYFUNCTION("""COMPUTED_VALUE"""),"lottery draw app")</f>
        <v>lottery draw app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 t="str">
        <f>IFERROR(__xludf.DUMMYFUNCTION("""COMPUTED_VALUE"""),"lottery ticket app")</f>
        <v>lottery ticket app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 t="str">
        <f>IFERROR(__xludf.DUMMYFUNCTION("""COMPUTED_VALUE"""),"lottery house app")</f>
        <v>lottery house app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 t="str">
        <f>IFERROR(__xludf.DUMMYFUNCTION("""COMPUTED_VALUE"""),"online lottery app")</f>
        <v>online lottery app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 t="str">
        <f>IFERROR(__xludf.DUMMYFUNCTION("""COMPUTED_VALUE"""),"lottery post mobile")</f>
        <v>lottery post mobile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 t="str">
        <f>IFERROR(__xludf.DUMMYFUNCTION("""COMPUTED_VALUE"""),"lotto games mobile")</f>
        <v>lotto games mobile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 t="str">
        <f>IFERROR(__xludf.DUMMYFUNCTION("""COMPUTED_VALUE"""),"numbers game mobile")</f>
        <v>numbers game mobile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 t="str">
        <f>IFERROR(__xludf.DUMMYFUNCTION("""COMPUTED_VALUE"""),"3 ball miami mobile")</f>
        <v>3 ball miami mobile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 t="str">
        <f>IFERROR(__xludf.DUMMYFUNCTION("""COMPUTED_VALUE"""),"3-ball miami mobile")</f>
        <v>3-ball miami mobile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 t="str">
        <f>IFERROR(__xludf.DUMMYFUNCTION("""COMPUTED_VALUE"""),"miami lottery mobile")</f>
        <v>miami lottery mobile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 t="str">
        <f>IFERROR(__xludf.DUMMYFUNCTION("""COMPUTED_VALUE"""),"lottery draw mobile")</f>
        <v>lottery draw mobile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 t="str">
        <f>IFERROR(__xludf.DUMMYFUNCTION("""COMPUTED_VALUE"""),"lottery ticket mobile")</f>
        <v>lottery ticket mobile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 t="str">
        <f>IFERROR(__xludf.DUMMYFUNCTION("""COMPUTED_VALUE"""),"lottery house mobile")</f>
        <v>lottery house mobile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 t="str">
        <f>IFERROR(__xludf.DUMMYFUNCTION("""COMPUTED_VALUE"""),"online lottery mobile")</f>
        <v>online lottery mobile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 t="str">
        <f>IFERROR(__xludf.DUMMYFUNCTION("""COMPUTED_VALUE"""),"lottery post login")</f>
        <v>lottery post login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 t="str">
        <f>IFERROR(__xludf.DUMMYFUNCTION("""COMPUTED_VALUE"""),"lotto games login")</f>
        <v>lotto games login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 t="str">
        <f>IFERROR(__xludf.DUMMYFUNCTION("""COMPUTED_VALUE"""),"numbers game login")</f>
        <v>numbers game login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 t="str">
        <f>IFERROR(__xludf.DUMMYFUNCTION("""COMPUTED_VALUE"""),"3 ball miami login")</f>
        <v>3 ball miami login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 t="str">
        <f>IFERROR(__xludf.DUMMYFUNCTION("""COMPUTED_VALUE"""),"3-ball miami login")</f>
        <v>3-ball miami login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 t="str">
        <f>IFERROR(__xludf.DUMMYFUNCTION("""COMPUTED_VALUE"""),"miami lottery login")</f>
        <v>miami lottery login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 t="str">
        <f>IFERROR(__xludf.DUMMYFUNCTION("""COMPUTED_VALUE"""),"lottery draw login")</f>
        <v>lottery draw login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 t="str">
        <f>IFERROR(__xludf.DUMMYFUNCTION("""COMPUTED_VALUE"""),"lottery ticket login")</f>
        <v>lottery ticket login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 t="str">
        <f>IFERROR(__xludf.DUMMYFUNCTION("""COMPUTED_VALUE"""),"lottery house login")</f>
        <v>lottery house login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 t="str">
        <f>IFERROR(__xludf.DUMMYFUNCTION("""COMPUTED_VALUE"""),"online lottery login")</f>
        <v>online lottery login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 t="str">
        <f>IFERROR(__xludf.DUMMYFUNCTION("""COMPUTED_VALUE"""),"lottery post deposit")</f>
        <v>lottery post deposit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 t="str">
        <f>IFERROR(__xludf.DUMMYFUNCTION("""COMPUTED_VALUE"""),"lotto games deposit")</f>
        <v>lotto games deposit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 t="str">
        <f>IFERROR(__xludf.DUMMYFUNCTION("""COMPUTED_VALUE"""),"numbers game deposit")</f>
        <v>numbers game deposit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 t="str">
        <f>IFERROR(__xludf.DUMMYFUNCTION("""COMPUTED_VALUE"""),"3 ball miami deposit")</f>
        <v>3 ball miami deposit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 t="str">
        <f>IFERROR(__xludf.DUMMYFUNCTION("""COMPUTED_VALUE"""),"3-ball miami deposit")</f>
        <v>3-ball miami deposit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 t="str">
        <f>IFERROR(__xludf.DUMMYFUNCTION("""COMPUTED_VALUE"""),"miami lottery deposit")</f>
        <v>miami lottery deposit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 t="str">
        <f>IFERROR(__xludf.DUMMYFUNCTION("""COMPUTED_VALUE"""),"lottery draw deposit")</f>
        <v>lottery draw deposit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 t="str">
        <f>IFERROR(__xludf.DUMMYFUNCTION("""COMPUTED_VALUE"""),"lottery ticket deposit")</f>
        <v>lottery ticket deposit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 t="str">
        <f>IFERROR(__xludf.DUMMYFUNCTION("""COMPUTED_VALUE"""),"lottery house deposit")</f>
        <v>lottery house deposit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 t="str">
        <f>IFERROR(__xludf.DUMMYFUNCTION("""COMPUTED_VALUE"""),"online lottery deposit")</f>
        <v>online lottery deposit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 t="str">
        <f>IFERROR(__xludf.DUMMYFUNCTION("""COMPUTED_VALUE"""),"lottery post withdrawal")</f>
        <v>lottery post withdrawal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 t="str">
        <f>IFERROR(__xludf.DUMMYFUNCTION("""COMPUTED_VALUE"""),"lotto games withdrawal")</f>
        <v>lotto games withdrawal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 t="str">
        <f>IFERROR(__xludf.DUMMYFUNCTION("""COMPUTED_VALUE"""),"numbers game withdrawal")</f>
        <v>numbers game withdrawal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 t="str">
        <f>IFERROR(__xludf.DUMMYFUNCTION("""COMPUTED_VALUE"""),"3 ball miami withdrawal")</f>
        <v>3 ball miami withdrawal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 t="str">
        <f>IFERROR(__xludf.DUMMYFUNCTION("""COMPUTED_VALUE"""),"3-ball miami withdrawal")</f>
        <v>3-ball miami withdrawal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 t="str">
        <f>IFERROR(__xludf.DUMMYFUNCTION("""COMPUTED_VALUE"""),"miami lottery withdrawal")</f>
        <v>miami lottery withdrawal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 t="str">
        <f>IFERROR(__xludf.DUMMYFUNCTION("""COMPUTED_VALUE"""),"lottery draw withdrawal")</f>
        <v>lottery draw withdrawal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 t="str">
        <f>IFERROR(__xludf.DUMMYFUNCTION("""COMPUTED_VALUE"""),"lottery ticket withdrawal")</f>
        <v>lottery ticket withdrawal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 t="str">
        <f>IFERROR(__xludf.DUMMYFUNCTION("""COMPUTED_VALUE"""),"lottery house withdrawal")</f>
        <v>lottery house withdrawal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 t="str">
        <f>IFERROR(__xludf.DUMMYFUNCTION("""COMPUTED_VALUE"""),"online lottery withdrawal")</f>
        <v>online lottery withdrawal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 t="str">
        <f>IFERROR(__xludf.DUMMYFUNCTION("""COMPUTED_VALUE"""),"lottery post stores")</f>
        <v>lottery post stores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 t="str">
        <f>IFERROR(__xludf.DUMMYFUNCTION("""COMPUTED_VALUE"""),"lotto games stores")</f>
        <v>lotto games stores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 t="str">
        <f>IFERROR(__xludf.DUMMYFUNCTION("""COMPUTED_VALUE"""),"numbers game stores")</f>
        <v>numbers game stores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 t="str">
        <f>IFERROR(__xludf.DUMMYFUNCTION("""COMPUTED_VALUE"""),"3 ball miami stores")</f>
        <v>3 ball miami stores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 t="str">
        <f>IFERROR(__xludf.DUMMYFUNCTION("""COMPUTED_VALUE"""),"3-ball miami stores")</f>
        <v>3-ball miami stores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 t="str">
        <f>IFERROR(__xludf.DUMMYFUNCTION("""COMPUTED_VALUE"""),"miami lottery stores")</f>
        <v>miami lottery stores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 t="str">
        <f>IFERROR(__xludf.DUMMYFUNCTION("""COMPUTED_VALUE"""),"lottery draw stores")</f>
        <v>lottery draw stores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 t="str">
        <f>IFERROR(__xludf.DUMMYFUNCTION("""COMPUTED_VALUE"""),"lottery ticket stores")</f>
        <v>lottery ticket stores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 t="str">
        <f>IFERROR(__xludf.DUMMYFUNCTION("""COMPUTED_VALUE"""),"lottery house stores")</f>
        <v>lottery house stores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 t="str">
        <f>IFERROR(__xludf.DUMMYFUNCTION("""COMPUTED_VALUE"""),"online lottery stores")</f>
        <v>online lottery stores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 t="str">
        <f>IFERROR(__xludf.DUMMYFUNCTION("""COMPUTED_VALUE"""),"lottery post locations")</f>
        <v>lottery post locations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 t="str">
        <f>IFERROR(__xludf.DUMMYFUNCTION("""COMPUTED_VALUE"""),"lotto games locations")</f>
        <v>lotto games locations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 t="str">
        <f>IFERROR(__xludf.DUMMYFUNCTION("""COMPUTED_VALUE"""),"numbers game locations")</f>
        <v>numbers game locations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 t="str">
        <f>IFERROR(__xludf.DUMMYFUNCTION("""COMPUTED_VALUE"""),"3 ball miami locations")</f>
        <v>3 ball miami locations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 t="str">
        <f>IFERROR(__xludf.DUMMYFUNCTION("""COMPUTED_VALUE"""),"3-ball miami locations")</f>
        <v>3-ball miami locations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 t="str">
        <f>IFERROR(__xludf.DUMMYFUNCTION("""COMPUTED_VALUE"""),"miami lottery locations")</f>
        <v>miami lottery locations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 t="str">
        <f>IFERROR(__xludf.DUMMYFUNCTION("""COMPUTED_VALUE"""),"lottery draw locations")</f>
        <v>lottery draw locations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 t="str">
        <f>IFERROR(__xludf.DUMMYFUNCTION("""COMPUTED_VALUE"""),"lottery ticket locations")</f>
        <v>lottery ticket locations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 t="str">
        <f>IFERROR(__xludf.DUMMYFUNCTION("""COMPUTED_VALUE"""),"lottery house locations")</f>
        <v>lottery house locations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 t="str">
        <f>IFERROR(__xludf.DUMMYFUNCTION("""COMPUTED_VALUE"""),"online lottery locations")</f>
        <v>online lottery locations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 t="str">
        <f>IFERROR(__xludf.DUMMYFUNCTION("""COMPUTED_VALUE"""),"lottery post paradise games")</f>
        <v>lottery post paradise games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 t="str">
        <f>IFERROR(__xludf.DUMMYFUNCTION("""COMPUTED_VALUE"""),"lotto games paradise games")</f>
        <v>lotto games paradise games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 t="str">
        <f>IFERROR(__xludf.DUMMYFUNCTION("""COMPUTED_VALUE"""),"numbers game paradise games")</f>
        <v>numbers game paradise games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 t="str">
        <f>IFERROR(__xludf.DUMMYFUNCTION("""COMPUTED_VALUE"""),"3 ball miami paradise games")</f>
        <v>3 ball miami paradise games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 t="str">
        <f>IFERROR(__xludf.DUMMYFUNCTION("""COMPUTED_VALUE"""),"3-ball miami paradise games")</f>
        <v>3-ball miami paradise games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 t="str">
        <f>IFERROR(__xludf.DUMMYFUNCTION("""COMPUTED_VALUE"""),"miami lottery paradise games")</f>
        <v>miami lottery paradise games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 t="str">
        <f>IFERROR(__xludf.DUMMYFUNCTION("""COMPUTED_VALUE"""),"lottery draw paradise games")</f>
        <v>lottery draw paradise games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 t="str">
        <f>IFERROR(__xludf.DUMMYFUNCTION("""COMPUTED_VALUE"""),"lottery ticket paradise games")</f>
        <v>lottery ticket paradise games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 t="str">
        <f>IFERROR(__xludf.DUMMYFUNCTION("""COMPUTED_VALUE"""),"lottery house paradise games")</f>
        <v>lottery house paradise games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 t="str">
        <f>IFERROR(__xludf.DUMMYFUNCTION("""COMPUTED_VALUE"""),"online lottery paradise games")</f>
        <v>online lottery paradise games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 t="str">
        <f>IFERROR(__xludf.DUMMYFUNCTION("""COMPUTED_VALUE"""),"lottery post pggames")</f>
        <v>lottery post pggames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 t="str">
        <f>IFERROR(__xludf.DUMMYFUNCTION("""COMPUTED_VALUE"""),"lotto games pggames")</f>
        <v>lotto games pggames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 t="str">
        <f>IFERROR(__xludf.DUMMYFUNCTION("""COMPUTED_VALUE"""),"numbers game pggames")</f>
        <v>numbers game pggames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 t="str">
        <f>IFERROR(__xludf.DUMMYFUNCTION("""COMPUTED_VALUE"""),"3 ball miami pggames")</f>
        <v>3 ball miami pggames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 t="str">
        <f>IFERROR(__xludf.DUMMYFUNCTION("""COMPUTED_VALUE"""),"3-ball miami pggames")</f>
        <v>3-ball miami pggames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 t="str">
        <f>IFERROR(__xludf.DUMMYFUNCTION("""COMPUTED_VALUE"""),"miami lottery pggames")</f>
        <v>miami lottery pggames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 t="str">
        <f>IFERROR(__xludf.DUMMYFUNCTION("""COMPUTED_VALUE"""),"lottery draw pggames")</f>
        <v>lottery draw pggames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 t="str">
        <f>IFERROR(__xludf.DUMMYFUNCTION("""COMPUTED_VALUE"""),"lottery ticket pggames")</f>
        <v>lottery ticket pggames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 t="str">
        <f>IFERROR(__xludf.DUMMYFUNCTION("""COMPUTED_VALUE"""),"lottery house pggames")</f>
        <v>lottery house pggames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 t="str">
        <f>IFERROR(__xludf.DUMMYFUNCTION("""COMPUTED_VALUE"""),"online lottery pggames")</f>
        <v>online lottery pggames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 t="str">
        <f>IFERROR(__xludf.DUMMYFUNCTION("""COMPUTED_VALUE"""),"lottery post island luck")</f>
        <v>lottery post island luck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 t="str">
        <f>IFERROR(__xludf.DUMMYFUNCTION("""COMPUTED_VALUE"""),"lotto games island luck")</f>
        <v>lotto games island luck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 t="str">
        <f>IFERROR(__xludf.DUMMYFUNCTION("""COMPUTED_VALUE"""),"numbers game island luck")</f>
        <v>numbers game island luck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 t="str">
        <f>IFERROR(__xludf.DUMMYFUNCTION("""COMPUTED_VALUE"""),"3 ball miami island luck")</f>
        <v>3 ball miami island luck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 t="str">
        <f>IFERROR(__xludf.DUMMYFUNCTION("""COMPUTED_VALUE"""),"3-ball miami island luck")</f>
        <v>3-ball miami island luck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 t="str">
        <f>IFERROR(__xludf.DUMMYFUNCTION("""COMPUTED_VALUE"""),"miami lottery island luck")</f>
        <v>miami lottery island luck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 t="str">
        <f>IFERROR(__xludf.DUMMYFUNCTION("""COMPUTED_VALUE"""),"lottery draw island luck")</f>
        <v>lottery draw island luck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 t="str">
        <f>IFERROR(__xludf.DUMMYFUNCTION("""COMPUTED_VALUE"""),"lottery ticket island luck")</f>
        <v>lottery ticket island luck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 t="str">
        <f>IFERROR(__xludf.DUMMYFUNCTION("""COMPUTED_VALUE"""),"lottery house island luck")</f>
        <v>lottery house island luck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 t="str">
        <f>IFERROR(__xludf.DUMMYFUNCTION("""COMPUTED_VALUE"""),"online lottery island luck")</f>
        <v>online lottery island luck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 t="str">
        <f>IFERROR(__xludf.DUMMYFUNCTION("""COMPUTED_VALUE"""),"lottery post chances")</f>
        <v>lottery post chances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 t="str">
        <f>IFERROR(__xludf.DUMMYFUNCTION("""COMPUTED_VALUE"""),"lotto games chances")</f>
        <v>lotto games chances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 t="str">
        <f>IFERROR(__xludf.DUMMYFUNCTION("""COMPUTED_VALUE"""),"numbers game chances")</f>
        <v>numbers game chances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 t="str">
        <f>IFERROR(__xludf.DUMMYFUNCTION("""COMPUTED_VALUE"""),"3 ball miami chances")</f>
        <v>3 ball miami chances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 t="str">
        <f>IFERROR(__xludf.DUMMYFUNCTION("""COMPUTED_VALUE"""),"3-ball miami chances")</f>
        <v>3-ball miami chances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 t="str">
        <f>IFERROR(__xludf.DUMMYFUNCTION("""COMPUTED_VALUE"""),"miami lottery chances")</f>
        <v>miami lottery chances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 t="str">
        <f>IFERROR(__xludf.DUMMYFUNCTION("""COMPUTED_VALUE"""),"lottery draw chances")</f>
        <v>lottery draw chances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 t="str">
        <f>IFERROR(__xludf.DUMMYFUNCTION("""COMPUTED_VALUE"""),"lottery ticket chances")</f>
        <v>lottery ticket chances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 t="str">
        <f>IFERROR(__xludf.DUMMYFUNCTION("""COMPUTED_VALUE"""),"lottery house chances")</f>
        <v>lottery house chances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 t="str">
        <f>IFERROR(__xludf.DUMMYFUNCTION("""COMPUTED_VALUE"""),"online lottery chances")</f>
        <v>online lottery chances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 t="str">
        <f>IFERROR(__xludf.DUMMYFUNCTION("""COMPUTED_VALUE"""),"lottery post ultra games")</f>
        <v>lottery post ultra games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 t="str">
        <f>IFERROR(__xludf.DUMMYFUNCTION("""COMPUTED_VALUE"""),"lotto games ultra games")</f>
        <v>lotto games ultra games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 t="str">
        <f>IFERROR(__xludf.DUMMYFUNCTION("""COMPUTED_VALUE"""),"numbers game ultra games")</f>
        <v>numbers game ultra games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 t="str">
        <f>IFERROR(__xludf.DUMMYFUNCTION("""COMPUTED_VALUE"""),"3 ball miami ultra games")</f>
        <v>3 ball miami ultra games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 t="str">
        <f>IFERROR(__xludf.DUMMYFUNCTION("""COMPUTED_VALUE"""),"3-ball miami ultra games")</f>
        <v>3-ball miami ultra games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 t="str">
        <f>IFERROR(__xludf.DUMMYFUNCTION("""COMPUTED_VALUE"""),"miami lottery ultra games")</f>
        <v>miami lottery ultra games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 t="str">
        <f>IFERROR(__xludf.DUMMYFUNCTION("""COMPUTED_VALUE"""),"lottery draw ultra games")</f>
        <v>lottery draw ultra games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 t="str">
        <f>IFERROR(__xludf.DUMMYFUNCTION("""COMPUTED_VALUE"""),"lottery ticket ultra games")</f>
        <v>lottery ticket ultra games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 t="str">
        <f>IFERROR(__xludf.DUMMYFUNCTION("""COMPUTED_VALUE"""),"lottery house ultra games")</f>
        <v>lottery house ultra games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 t="str">
        <f>IFERROR(__xludf.DUMMYFUNCTION("""COMPUTED_VALUE"""),"online lottery ultra games")</f>
        <v>online lottery ultra games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 t="str">
        <f>IFERROR(__xludf.DUMMYFUNCTION("""COMPUTED_VALUE"""),"lottery post asurewin")</f>
        <v>lottery post asurewin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 t="str">
        <f>IFERROR(__xludf.DUMMYFUNCTION("""COMPUTED_VALUE"""),"lotto games asurewin")</f>
        <v>lotto games asurewin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 t="str">
        <f>IFERROR(__xludf.DUMMYFUNCTION("""COMPUTED_VALUE"""),"numbers game asurewin")</f>
        <v>numbers game asurewin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 t="str">
        <f>IFERROR(__xludf.DUMMYFUNCTION("""COMPUTED_VALUE"""),"3 ball miami asurewin")</f>
        <v>3 ball miami asurewin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 t="str">
        <f>IFERROR(__xludf.DUMMYFUNCTION("""COMPUTED_VALUE"""),"3-ball miami asurewin")</f>
        <v>3-ball miami asurewin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 t="str">
        <f>IFERROR(__xludf.DUMMYFUNCTION("""COMPUTED_VALUE"""),"miami lottery asurewin")</f>
        <v>miami lottery asurewin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 t="str">
        <f>IFERROR(__xludf.DUMMYFUNCTION("""COMPUTED_VALUE"""),"lottery draw asurewin")</f>
        <v>lottery draw asurewin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 t="str">
        <f>IFERROR(__xludf.DUMMYFUNCTION("""COMPUTED_VALUE"""),"lottery ticket asurewin")</f>
        <v>lottery ticket asurewin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 t="str">
        <f>IFERROR(__xludf.DUMMYFUNCTION("""COMPUTED_VALUE"""),"lottery house asurewin")</f>
        <v>lottery house asurewin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 t="str">
        <f>IFERROR(__xludf.DUMMYFUNCTION("""COMPUTED_VALUE"""),"online lottery asurewin")</f>
        <v>online lottery asurewin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 t="str">
        <f>IFERROR(__xludf.DUMMYFUNCTION("""COMPUTED_VALUE"""),"lottery post caribbean")</f>
        <v>lottery post caribbean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 t="str">
        <f>IFERROR(__xludf.DUMMYFUNCTION("""COMPUTED_VALUE"""),"lotto games caribbean")</f>
        <v>lotto games caribbean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 t="str">
        <f>IFERROR(__xludf.DUMMYFUNCTION("""COMPUTED_VALUE"""),"numbers game caribbean")</f>
        <v>numbers game caribbean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 t="str">
        <f>IFERROR(__xludf.DUMMYFUNCTION("""COMPUTED_VALUE"""),"3 ball miami caribbean")</f>
        <v>3 ball miami caribbean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 t="str">
        <f>IFERROR(__xludf.DUMMYFUNCTION("""COMPUTED_VALUE"""),"3-ball miami caribbean")</f>
        <v>3-ball miami caribbean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 t="str">
        <f>IFERROR(__xludf.DUMMYFUNCTION("""COMPUTED_VALUE"""),"miami lottery caribbean")</f>
        <v>miami lottery caribbean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 t="str">
        <f>IFERROR(__xludf.DUMMYFUNCTION("""COMPUTED_VALUE"""),"lottery draw caribbean")</f>
        <v>lottery draw caribbean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 t="str">
        <f>IFERROR(__xludf.DUMMYFUNCTION("""COMPUTED_VALUE"""),"lottery ticket caribbean")</f>
        <v>lottery ticket caribbean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 t="str">
        <f>IFERROR(__xludf.DUMMYFUNCTION("""COMPUTED_VALUE"""),"lottery house caribbean")</f>
        <v>lottery house caribbean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 t="str">
        <f>IFERROR(__xludf.DUMMYFUNCTION("""COMPUTED_VALUE"""),"online lottery caribbean")</f>
        <v>online lottery caribbean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 t="str">
        <f>IFERROR(__xludf.DUMMYFUNCTION("""COMPUTED_VALUE"""),"lottery post")</f>
        <v>lottery post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 t="str">
        <f>IFERROR(__xludf.DUMMYFUNCTION("""COMPUTED_VALUE"""),"lotto games")</f>
        <v>lotto games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 t="str">
        <f>IFERROR(__xludf.DUMMYFUNCTION("""COMPUTED_VALUE"""),"numbers game")</f>
        <v>numbers game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 t="str">
        <f>IFERROR(__xludf.DUMMYFUNCTION("""COMPUTED_VALUE"""),"3 ball miami")</f>
        <v>3 ball miami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 t="str">
        <f>IFERROR(__xludf.DUMMYFUNCTION("""COMPUTED_VALUE"""),"3-ball miami")</f>
        <v>3-ball miami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 t="str">
        <f>IFERROR(__xludf.DUMMYFUNCTION("""COMPUTED_VALUE"""),"miami lottery")</f>
        <v>miami lottery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 t="str">
        <f>IFERROR(__xludf.DUMMYFUNCTION("""COMPUTED_VALUE"""),"lottery draw")</f>
        <v>lottery draw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 t="str">
        <f>IFERROR(__xludf.DUMMYFUNCTION("""COMPUTED_VALUE"""),"lottery ticket")</f>
        <v>lottery ticket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 t="str">
        <f>IFERROR(__xludf.DUMMYFUNCTION("""COMPUTED_VALUE"""),"lottery house")</f>
        <v>lottery house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 t="str">
        <f>IFERROR(__xludf.DUMMYFUNCTION("""COMPUTED_VALUE"""),"online lottery")</f>
        <v>online lottery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  <col customWidth="1" min="9" max="9" width="28.38"/>
  </cols>
  <sheetData>
    <row r="1">
      <c r="A1" s="1"/>
      <c r="B1" s="2" t="s">
        <v>1</v>
      </c>
      <c r="C1" s="2" t="s">
        <v>4</v>
      </c>
      <c r="D1" s="2" t="s">
        <v>7</v>
      </c>
      <c r="E1" s="2" t="s">
        <v>10</v>
      </c>
      <c r="F1" s="2" t="s">
        <v>13</v>
      </c>
      <c r="G1" s="2" t="s">
        <v>16</v>
      </c>
      <c r="H1" s="2" t="s">
        <v>19</v>
      </c>
      <c r="I1" s="3" t="s">
        <v>25</v>
      </c>
      <c r="J1" s="3" t="s">
        <v>29</v>
      </c>
      <c r="K1" s="3" t="s">
        <v>30</v>
      </c>
      <c r="L1" s="1"/>
      <c r="M1" s="5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9"/>
      <c r="J2" s="7"/>
      <c r="K2" s="7"/>
      <c r="L2" s="7"/>
      <c r="M2" s="1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""&amp;$A3))"),"online casino bahamas")</f>
        <v>online casino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""&amp;$A3))"),"casino online bahamas")</f>
        <v>casino online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""&amp;$A3))"),"online casinos bahamas")</f>
        <v>online casinos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""&amp;$A3))"),"casino games bahamas")</f>
        <v>casino games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""&amp;$A3))"),"online casino games bahamas")</f>
        <v>online casino games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""&amp;$A3))"),"casino app bahamas")</f>
        <v>casino app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""&amp;$A3))"),"gambling site bahamas")</f>
        <v>gambling site bahamas</v>
      </c>
      <c r="I3" s="9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""&amp;$A3))"),"online gambling bahamas")</f>
        <v>online gambling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""&amp;$A3))"),"live casino bahamas")</f>
        <v>live casino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""&amp;$A3))"),"real money casino bahamas")</f>
        <v>real money casino bahamas</v>
      </c>
      <c r="L3" s="13"/>
      <c r="M3" s="15" t="str">
        <f>IFERROR(__xludf.DUMMYFUNCTION("FLATTEN(B3:K37,B1:K1)"),"online casino bahamas")</f>
        <v>online casino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47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""&amp;$A4))"),"online casino bahamas online")</f>
        <v>online casino bahamas online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""&amp;$A4))"),"casino online bahamas online")</f>
        <v>casino online bahamas online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""&amp;$A4))"),"online casinos bahamas online")</f>
        <v>online casinos bahamas online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""&amp;$A4))"),"casino games bahamas online")</f>
        <v>casino games bahamas online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""&amp;$A4))"),"online casino games bahamas online")</f>
        <v>online casino games bahamas online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""&amp;$A4))"),"casino app bahamas online")</f>
        <v>casino app bahamas online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""&amp;$A4))"),"gambling site bahamas online")</f>
        <v>gambling site bahamas online</v>
      </c>
      <c r="I4" s="9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""&amp;$A4))"),"online gambling bahamas online")</f>
        <v>online gambling bahamas online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""&amp;$A4))"),"live casino bahamas online")</f>
        <v>live casino bahamas online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""&amp;$A4))"),"real money casino bahamas online")</f>
        <v>real money casino bahamas online</v>
      </c>
      <c r="L4" s="13"/>
      <c r="M4" s="15" t="str">
        <f>IFERROR(__xludf.DUMMYFUNCTION("""COMPUTED_VALUE"""),"casino online bahamas")</f>
        <v>casino online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54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""&amp;$A5))"),"online casino caribbean")</f>
        <v>online casino caribbean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""&amp;$A5))"),"casino online caribbean")</f>
        <v>casino online caribbean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""&amp;$A5))"),"online casinos caribbean")</f>
        <v>online casinos caribbean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""&amp;$A5))"),"casino games caribbean")</f>
        <v>casino games caribbean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""&amp;$A5))"),"online casino games caribbean")</f>
        <v>online casino games caribbean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""&amp;$A5))"),"casino app caribbean")</f>
        <v>casino app caribbean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""&amp;$A5))"),"gambling site caribbean")</f>
        <v>gambling site caribbean</v>
      </c>
      <c r="I5" s="9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""&amp;$A5))"),"online gambling caribbean")</f>
        <v>online gambling caribbean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""&amp;$A5))"),"live casino caribbean")</f>
        <v>live casino caribbean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""&amp;$A5))"),"real money casino caribbean")</f>
        <v>real money casino caribbean</v>
      </c>
      <c r="L5" s="13"/>
      <c r="M5" s="15" t="str">
        <f>IFERROR(__xludf.DUMMYFUNCTION("""COMPUTED_VALUE"""),"online casinos bahamas")</f>
        <v>online casinos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60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""&amp;$A6))"),"online casino real money")</f>
        <v>online casino real money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""&amp;$A6))"),"casino online real money")</f>
        <v>casino online real money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""&amp;$A6))"),"online casinos real money")</f>
        <v>online casinos real money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""&amp;$A6))"),"casino games real money")</f>
        <v>casino games real money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""&amp;$A6))"),"online casino games real money")</f>
        <v>online casino games real money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""&amp;$A6))"),"casino app real money")</f>
        <v>casino app real money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""&amp;$A6))"),"gambling site real money")</f>
        <v>gambling site real money</v>
      </c>
      <c r="I6" s="9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""&amp;$A6))"),"online gambling real money")</f>
        <v>online gambling real money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""&amp;$A6))"),"live casino real money")</f>
        <v>live casino real money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""&amp;$A6))"),"real money casino")</f>
        <v>real money casino</v>
      </c>
      <c r="L6" s="13"/>
      <c r="M6" s="15" t="str">
        <f>IFERROR(__xludf.DUMMYFUNCTION("""COMPUTED_VALUE"""),"casino games bahamas")</f>
        <v>casino games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63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""&amp;$A7))"),"online casino best")</f>
        <v>online casino best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""&amp;$A7))"),"casino online best")</f>
        <v>casino online best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""&amp;$A7))"),"online casinos best")</f>
        <v>online casinos best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""&amp;$A7))"),"casino games best")</f>
        <v>casino games best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""&amp;$A7))"),"online casino games best")</f>
        <v>online casino games best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""&amp;$A7))"),"casino app best")</f>
        <v>casino app best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""&amp;$A7))"),"gambling site best")</f>
        <v>gambling site best</v>
      </c>
      <c r="I7" s="9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""&amp;$A7))"),"online gambling best")</f>
        <v>online gambling best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""&amp;$A7))"),"live casino best")</f>
        <v>live casino best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""&amp;$A7))"),"real money casino best")</f>
        <v>real money casino best</v>
      </c>
      <c r="L7" s="13"/>
      <c r="M7" s="15" t="str">
        <f>IFERROR(__xludf.DUMMYFUNCTION("""COMPUTED_VALUE"""),"online casino games bahamas")</f>
        <v>online casino games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69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""&amp;$A8))"),"online casino top")</f>
        <v>online casino top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""&amp;$A8))"),"casino online top")</f>
        <v>casino online top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""&amp;$A8))"),"online casinos top")</f>
        <v>online casinos top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""&amp;$A8))"),"casino games top")</f>
        <v>casino games top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""&amp;$A8))"),"online casino games top")</f>
        <v>online casino games top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""&amp;$A8))"),"casino app top")</f>
        <v>casino app top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""&amp;$A8))"),"gambling site top")</f>
        <v>gambling site top</v>
      </c>
      <c r="I8" s="9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""&amp;$A8))"),"online gambling top")</f>
        <v>online gambling top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""&amp;$A8))"),"live casino top")</f>
        <v>live casino top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""&amp;$A8))"),"real money casino top")</f>
        <v>real money casino top</v>
      </c>
      <c r="L8" s="13"/>
      <c r="M8" s="15" t="str">
        <f>IFERROR(__xludf.DUMMYFUNCTION("""COMPUTED_VALUE"""),"casino app bahamas")</f>
        <v>casino app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76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""&amp;$A9))"),"online casino trusted")</f>
        <v>online casino trusted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""&amp;$A9))"),"casino online trusted")</f>
        <v>casino online trusted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""&amp;$A9))"),"online casinos trusted")</f>
        <v>online casinos trusted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""&amp;$A9))"),"casino games trusted")</f>
        <v>casino games trusted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""&amp;$A9))"),"online casino games trusted")</f>
        <v>online casino games trusted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""&amp;$A9))"),"casino app trusted")</f>
        <v>casino app trusted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""&amp;$A9))"),"gambling site trusted")</f>
        <v>gambling site trusted</v>
      </c>
      <c r="I9" s="9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""&amp;$A9))"),"online gambling trusted")</f>
        <v>online gambling trusted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""&amp;$A9))"),"live casino trusted")</f>
        <v>live casino trusted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""&amp;$A9))"),"real money casino trusted")</f>
        <v>real money casino trusted</v>
      </c>
      <c r="L9" s="13"/>
      <c r="M9" s="15" t="str">
        <f>IFERROR(__xludf.DUMMYFUNCTION("""COMPUTED_VALUE"""),"gambling site bahamas")</f>
        <v>gambling site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81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""&amp;$A10))"),"online casino safe")</f>
        <v>online casino safe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""&amp;$A10))"),"casino online safe")</f>
        <v>casino online safe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""&amp;$A10))"),"online casinos safe")</f>
        <v>online casinos safe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""&amp;$A10))"),"casino games safe")</f>
        <v>casino games safe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""&amp;$A10))"),"online casino games safe")</f>
        <v>online casino games safe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""&amp;$A10))"),"casino app safe")</f>
        <v>casino app safe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""&amp;$A10))"),"gambling site safe")</f>
        <v>gambling site safe</v>
      </c>
      <c r="I10" s="9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""&amp;$A10))"),"online gambling safe")</f>
        <v>online gambling safe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""&amp;$A10))"),"live casino safe")</f>
        <v>live casino safe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""&amp;$A10))"),"real money casino safe")</f>
        <v>real money casino safe</v>
      </c>
      <c r="L10" s="13"/>
      <c r="M10" s="15" t="str">
        <f>IFERROR(__xludf.DUMMYFUNCTION("""COMPUTED_VALUE"""),"online gambling bahamas")</f>
        <v>online gambling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87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""&amp;$A11))"),"online casino licensed")</f>
        <v>online casino licensed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""&amp;$A11))"),"casino online licensed")</f>
        <v>casino online licensed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""&amp;$A11))"),"online casinos licensed")</f>
        <v>online casinos licensed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""&amp;$A11))"),"casino games licensed")</f>
        <v>casino games licensed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""&amp;$A11))"),"online casino games licensed")</f>
        <v>online casino games licensed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""&amp;$A11))"),"casino app licensed")</f>
        <v>casino app licensed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""&amp;$A11))"),"gambling site licensed")</f>
        <v>gambling site licensed</v>
      </c>
      <c r="I11" s="9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""&amp;$A11))"),"online gambling licensed")</f>
        <v>online gambling licensed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""&amp;$A11))"),"live casino licensed")</f>
        <v>live casino licensed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""&amp;$A11))"),"real money casino licensed")</f>
        <v>real money casino licensed</v>
      </c>
      <c r="L11" s="13"/>
      <c r="M11" s="15" t="str">
        <f>IFERROR(__xludf.DUMMYFUNCTION("""COMPUTED_VALUE"""),"live casino bahamas")</f>
        <v>live casino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94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""&amp;$A12))"),"online casino mobile")</f>
        <v>online casino mobile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""&amp;$A12))"),"casino online mobile")</f>
        <v>casino online mobile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""&amp;$A12))"),"online casinos mobile")</f>
        <v>online casinos mobile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""&amp;$A12))"),"casino games mobile")</f>
        <v>casino games mobile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""&amp;$A12))"),"online casino games mobile")</f>
        <v>online casino games mobile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""&amp;$A12))"),"casino app mobile")</f>
        <v>casino app mobile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""&amp;$A12))"),"gambling site mobile")</f>
        <v>gambling site mobile</v>
      </c>
      <c r="I12" s="9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""&amp;$A12))"),"online gambling mobile")</f>
        <v>online gambling mobile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""&amp;$A12))"),"live casino mobile")</f>
        <v>live casino mobile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""&amp;$A12))"),"real money casino mobile")</f>
        <v>real money casino mobile</v>
      </c>
      <c r="L12" s="13"/>
      <c r="M12" s="15" t="str">
        <f>IFERROR(__xludf.DUMMYFUNCTION("""COMPUTED_VALUE"""),"real money casino bahamas")</f>
        <v>real money casino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101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""&amp;$A13))"),"online casino app")</f>
        <v>online casino app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""&amp;$A13))"),"casino online app")</f>
        <v>casino online app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""&amp;$A13))"),"online casinos app")</f>
        <v>online casinos app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""&amp;$A13))"),"casino games app")</f>
        <v>casino games app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""&amp;$A13))"),"online casino games app")</f>
        <v>online casino games app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""&amp;$A13))"),"casino app")</f>
        <v>casino app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""&amp;$A13))"),"gambling site app")</f>
        <v>gambling site app</v>
      </c>
      <c r="I13" s="9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""&amp;$A13))"),"online gambling app")</f>
        <v>online gambling app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""&amp;$A13))"),"live casino app")</f>
        <v>live casino app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""&amp;$A13))"),"real money casino app")</f>
        <v>real money casino app</v>
      </c>
      <c r="L13" s="13"/>
      <c r="M13" s="15" t="str">
        <f>IFERROR(__xludf.DUMMYFUNCTION("""COMPUTED_VALUE"""),"online casino bahamas online")</f>
        <v>online casino bahamas online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0" t="s">
        <v>48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""&amp;$A14))"),"online casino play online")</f>
        <v>online casino play online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""&amp;$A14))"),"casino online play online")</f>
        <v>casino online play online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""&amp;$A14))"),"online casinos play online")</f>
        <v>online casinos play online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""&amp;$A14))"),"casino games play online")</f>
        <v>casino games play online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""&amp;$A14))"),"online casino games play online")</f>
        <v>online casino games play online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""&amp;$A14))"),"casino app play online")</f>
        <v>casino app play online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""&amp;$A14))"),"gambling site play online")</f>
        <v>gambling site play online</v>
      </c>
      <c r="I14" s="9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""&amp;$A14))"),"online gambling play online")</f>
        <v>online gambling play online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""&amp;$A14))"),"live casino play online")</f>
        <v>live casino play online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""&amp;$A14))"),"real money casino play online")</f>
        <v>real money casino play online</v>
      </c>
      <c r="L14" s="13"/>
      <c r="M14" s="15" t="str">
        <f>IFERROR(__xludf.DUMMYFUNCTION("""COMPUTED_VALUE"""),"casino online bahamas online")</f>
        <v>casino online bahamas online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0" t="s">
        <v>120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""&amp;$A15))"),"online casino free demo")</f>
        <v>online casino free demo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""&amp;$A15))"),"casino online free demo")</f>
        <v>casino online free demo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""&amp;$A15))"),"online casinos free demo")</f>
        <v>online casinos free demo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""&amp;$A15))"),"casino games free demo")</f>
        <v>casino games free demo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""&amp;$A15))"),"online casino games free demo")</f>
        <v>online casino games free demo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""&amp;$A15))"),"casino app free demo")</f>
        <v>casino app free demo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""&amp;$A15))"),"gambling site free demo")</f>
        <v>gambling site free demo</v>
      </c>
      <c r="I15" s="9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""&amp;$A15))"),"online gambling free demo")</f>
        <v>online gambling free demo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""&amp;$A15))"),"live casino free demo")</f>
        <v>live casino free demo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""&amp;$A15))"),"real money casino free demo")</f>
        <v>real money casino free demo</v>
      </c>
      <c r="L15" s="13"/>
      <c r="M15" s="15" t="str">
        <f>IFERROR(__xludf.DUMMYFUNCTION("""COMPUTED_VALUE"""),"online casinos bahamas online")</f>
        <v>online casinos bahamas online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0" t="s">
        <v>130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""&amp;$A16))"),"online casino demo")</f>
        <v>online casino demo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""&amp;$A16))"),"casino online demo")</f>
        <v>casino online demo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""&amp;$A16))"),"online casinos demo")</f>
        <v>online casinos demo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""&amp;$A16))"),"casino games demo")</f>
        <v>casino games demo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""&amp;$A16))"),"online casino games demo")</f>
        <v>online casino games demo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""&amp;$A16))"),"casino app demo")</f>
        <v>casino app demo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""&amp;$A16))"),"gambling site demo")</f>
        <v>gambling site demo</v>
      </c>
      <c r="I16" s="9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""&amp;$A16))"),"online gambling demo")</f>
        <v>online gambling demo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""&amp;$A16))"),"live casino demo")</f>
        <v>live casino demo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""&amp;$A16))"),"real money casino demo")</f>
        <v>real money casino demo</v>
      </c>
      <c r="L16" s="13"/>
      <c r="M16" s="15" t="str">
        <f>IFERROR(__xludf.DUMMYFUNCTION("""COMPUTED_VALUE"""),"casino games bahamas online")</f>
        <v>casino games bahamas online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137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""&amp;$A17))"),"online casino bonus")</f>
        <v>online casino bonus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""&amp;$A17))"),"casino online bonus")</f>
        <v>casino online bonus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""&amp;$A17))"),"online casinos bonus")</f>
        <v>online casinos bonus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""&amp;$A17))"),"casino games bonus")</f>
        <v>casino games bonus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""&amp;$A17))"),"online casino games bonus")</f>
        <v>online casino games bonus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""&amp;$A17))"),"casino app bonus")</f>
        <v>casino app bonus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""&amp;$A17))"),"gambling site bonus")</f>
        <v>gambling site bonus</v>
      </c>
      <c r="I17" s="9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""&amp;$A17))"),"online gambling bonus")</f>
        <v>online gambling bonus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""&amp;$A17))"),"live casino bonus")</f>
        <v>live casino bonus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""&amp;$A17))"),"real money casino bonus")</f>
        <v>real money casino bonus</v>
      </c>
      <c r="L17" s="13"/>
      <c r="M17" s="15" t="str">
        <f>IFERROR(__xludf.DUMMYFUNCTION("""COMPUTED_VALUE"""),"online casino games bahamas online")</f>
        <v>online casino games bahamas online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144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""&amp;$A18))"),"online casino bonuses")</f>
        <v>online casino bonuses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""&amp;$A18))"),"casino online bonuses")</f>
        <v>casino online bonuses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""&amp;$A18))"),"online casinos bonuses")</f>
        <v>online casinos bonuses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""&amp;$A18))"),"casino games bonuses")</f>
        <v>casino games bonuses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""&amp;$A18))"),"online casino games bonuses")</f>
        <v>online casino games bonuses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""&amp;$A18))"),"casino app bonuses")</f>
        <v>casino app bonuses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""&amp;$A18))"),"gambling site bonuses")</f>
        <v>gambling site bonuses</v>
      </c>
      <c r="I18" s="9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""&amp;$A18))"),"online gambling bonuses")</f>
        <v>online gambling bonuses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""&amp;$A18))"),"live casino bonuses")</f>
        <v>live casino bonuses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""&amp;$A18))"),"real money casino bonuses")</f>
        <v>real money casino bonuses</v>
      </c>
      <c r="L18" s="13"/>
      <c r="M18" s="15" t="str">
        <f>IFERROR(__xludf.DUMMYFUNCTION("""COMPUTED_VALUE"""),"casino app bahamas online")</f>
        <v>casino app bahamas online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151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""&amp;$A19))"),"online casino free spins")</f>
        <v>online casino free spins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""&amp;$A19))"),"casino online free spins")</f>
        <v>casino online free spins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""&amp;$A19))"),"online casinos free spins")</f>
        <v>online casinos free spins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""&amp;$A19))"),"casino games free spins")</f>
        <v>casino games free spins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""&amp;$A19))"),"online casino games free spins")</f>
        <v>online casino games free spins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""&amp;$A19))"),"casino app free spins")</f>
        <v>casino app free spins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""&amp;$A19))"),"gambling site free spins")</f>
        <v>gambling site free spins</v>
      </c>
      <c r="I19" s="9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""&amp;$A19))"),"online gambling free spins")</f>
        <v>online gambling free spins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""&amp;$A19))"),"live casino free spins")</f>
        <v>live casino free spins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""&amp;$A19))"),"real money casino free spins")</f>
        <v>real money casino free spins</v>
      </c>
      <c r="L19" s="13"/>
      <c r="M19" s="15" t="str">
        <f>IFERROR(__xludf.DUMMYFUNCTION("""COMPUTED_VALUE"""),"gambling site bahamas online")</f>
        <v>gambling site bahamas online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156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""&amp;$A20))"),"online casino sign up bonus")</f>
        <v>online casino sign up bonus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""&amp;$A20))"),"casino online sign up bonus")</f>
        <v>casino online sign up bonus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""&amp;$A20))"),"online casinos sign up bonus")</f>
        <v>online casinos sign up bonus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""&amp;$A20))"),"casino games sign up bonus")</f>
        <v>casino games sign up bonus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""&amp;$A20))"),"online casino games sign up bonus")</f>
        <v>online casino games sign up bonus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""&amp;$A20))"),"casino app sign up bonus")</f>
        <v>casino app sign up bonus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""&amp;$A20))"),"gambling site sign up bonus")</f>
        <v>gambling site sign up bonus</v>
      </c>
      <c r="I20" s="9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""&amp;$A20))"),"online gambling sign up bonus")</f>
        <v>online gambling sign up bonus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""&amp;$A20))"),"live casino sign up bonus")</f>
        <v>live casino sign up bonus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""&amp;$A20))"),"real money casino sign up bonus")</f>
        <v>real money casino sign up bonus</v>
      </c>
      <c r="L20" s="13"/>
      <c r="M20" s="15" t="str">
        <f>IFERROR(__xludf.DUMMYFUNCTION("""COMPUTED_VALUE"""),"online gambling bahamas online")</f>
        <v>online gambling bahamas online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161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""&amp;$A21))"),"online casino no deposit bonus")</f>
        <v>online casino no deposit bonus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""&amp;$A21))"),"casino online no deposit bonus")</f>
        <v>casino online no deposit bonus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""&amp;$A21))"),"online casinos no deposit bonus")</f>
        <v>online casinos no deposit bonus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""&amp;$A21))"),"casino games no deposit bonus")</f>
        <v>casino games no deposit bonus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""&amp;$A21))"),"online casino games no deposit bonus")</f>
        <v>online casino games no deposit bonus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""&amp;$A21))"),"casino app no deposit bonus")</f>
        <v>casino app no deposit bonus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""&amp;$A21))"),"gambling site no deposit bonus")</f>
        <v>gambling site no deposit bonus</v>
      </c>
      <c r="I21" s="9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""&amp;$A21))"),"online gambling no deposit bonus")</f>
        <v>online gambling no deposit bonus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""&amp;$A21))"),"live casino no deposit bonus")</f>
        <v>live casino no deposit bonus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""&amp;$A21))"),"real money casino no deposit bonus")</f>
        <v>real money casino no deposit bonus</v>
      </c>
      <c r="L21" s="13"/>
      <c r="M21" s="15" t="str">
        <f>IFERROR(__xludf.DUMMYFUNCTION("""COMPUTED_VALUE"""),"live casino bahamas online")</f>
        <v>live casino bahamas online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168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""&amp;$A22))"),"online casino instant withdrawal")</f>
        <v>online casino instant withdrawal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""&amp;$A22))"),"casino online instant withdrawal")</f>
        <v>casino online instant withdrawal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""&amp;$A22))"),"online casinos instant withdrawal")</f>
        <v>online casinos instant withdrawal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""&amp;$A22))"),"casino games instant withdrawal")</f>
        <v>casino games instant withdrawal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""&amp;$A22))"),"online casino games instant withdrawal")</f>
        <v>online casino games instant withdrawal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""&amp;$A22))"),"casino app instant withdrawal")</f>
        <v>casino app instant withdrawal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""&amp;$A22))"),"gambling site instant withdrawal")</f>
        <v>gambling site instant withdrawal</v>
      </c>
      <c r="I22" s="9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""&amp;$A22))"),"online gambling instant withdrawal")</f>
        <v>online gambling instant withdrawal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""&amp;$A22))"),"live casino instant withdrawal")</f>
        <v>live casino instant withdrawal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""&amp;$A22))"),"real money casino instant withdrawal")</f>
        <v>real money casino instant withdrawal</v>
      </c>
      <c r="L22" s="13"/>
      <c r="M22" s="15" t="str">
        <f>IFERROR(__xludf.DUMMYFUNCTION("""COMPUTED_VALUE"""),"real money casino bahamas online")</f>
        <v>real money casino bahamas online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129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""&amp;$A23))"),"online casino deposit")</f>
        <v>online casino deposit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""&amp;$A23))"),"casino online deposit")</f>
        <v>casino online deposit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""&amp;$A23))"),"online casinos deposit")</f>
        <v>online casinos deposit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""&amp;$A23))"),"casino games deposit")</f>
        <v>casino games deposit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""&amp;$A23))"),"online casino games deposit")</f>
        <v>online casino games deposit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""&amp;$A23))"),"casino app deposit")</f>
        <v>casino app deposit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""&amp;$A23))"),"gambling site deposit")</f>
        <v>gambling site deposit</v>
      </c>
      <c r="I23" s="9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""&amp;$A23))"),"online gambling deposit")</f>
        <v>online gambling deposit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""&amp;$A23))"),"live casino deposit")</f>
        <v>live casino deposit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""&amp;$A23))"),"real money casino deposit")</f>
        <v>real money casino deposit</v>
      </c>
      <c r="L23" s="13"/>
      <c r="M23" s="15" t="str">
        <f>IFERROR(__xludf.DUMMYFUNCTION("""COMPUTED_VALUE"""),"online casino caribbean")</f>
        <v>online casino caribbean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133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""&amp;$A24))"),"online casino withdrawal")</f>
        <v>online casino withdrawal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""&amp;$A24))"),"casino online withdrawal")</f>
        <v>casino online withdrawal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""&amp;$A24))"),"online casinos withdrawal")</f>
        <v>online casinos withdrawal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""&amp;$A24))"),"casino games withdrawal")</f>
        <v>casino games withdrawal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""&amp;$A24))"),"online casino games withdrawal")</f>
        <v>online casino games withdrawal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""&amp;$A24))"),"casino app withdrawal")</f>
        <v>casino app withdrawal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""&amp;$A24))"),"gambling site withdrawal")</f>
        <v>gambling site withdrawal</v>
      </c>
      <c r="I24" s="9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""&amp;$A24))"),"online gambling withdrawal")</f>
        <v>online gambling withdrawal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""&amp;$A24))"),"live casino withdrawal")</f>
        <v>live casino withdrawal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""&amp;$A24))"),"real money casino withdrawal")</f>
        <v>real money casino withdrawal</v>
      </c>
      <c r="L24" s="13"/>
      <c r="M24" s="15" t="str">
        <f>IFERROR(__xludf.DUMMYFUNCTION("""COMPUTED_VALUE"""),"casino online caribbean")</f>
        <v>casino online caribbean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124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""&amp;$A25))"),"online casino login")</f>
        <v>online casino login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""&amp;$A25))"),"casino online login")</f>
        <v>casino online login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""&amp;$A25))"),"online casinos login")</f>
        <v>online casinos login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""&amp;$A25))"),"casino games login")</f>
        <v>casino games login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""&amp;$A25))"),"online casino games login")</f>
        <v>online casino games login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""&amp;$A25))"),"casino app login")</f>
        <v>casino app login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""&amp;$A25))"),"gambling site login")</f>
        <v>gambling site login</v>
      </c>
      <c r="I25" s="9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""&amp;$A25))"),"online gambling login")</f>
        <v>online gambling login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""&amp;$A25))"),"live casino login")</f>
        <v>live casino login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""&amp;$A25))"),"real money casino login")</f>
        <v>real money casino login</v>
      </c>
      <c r="L25" s="13"/>
      <c r="M25" s="15" t="str">
        <f>IFERROR(__xludf.DUMMYFUNCTION("""COMPUTED_VALUE"""),"online casinos caribbean")</f>
        <v>online casinos caribbean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173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""&amp;$A26))"),"online casino review")</f>
        <v>online casino review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""&amp;$A26))"),"casino online review")</f>
        <v>casino online review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""&amp;$A26))"),"online casinos review")</f>
        <v>online casinos review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""&amp;$A26))"),"casino games review")</f>
        <v>casino games review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""&amp;$A26))"),"online casino games review")</f>
        <v>online casino games review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""&amp;$A26))"),"casino app review")</f>
        <v>casino app review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""&amp;$A26))"),"gambling site review")</f>
        <v>gambling site review</v>
      </c>
      <c r="I26" s="9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""&amp;$A26))"),"online gambling review")</f>
        <v>online gambling review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""&amp;$A26))"),"live casino review")</f>
        <v>live casino review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""&amp;$A26))"),"real money casino review")</f>
        <v>real money casino review</v>
      </c>
      <c r="L26" s="13"/>
      <c r="M26" s="15" t="str">
        <f>IFERROR(__xludf.DUMMYFUNCTION("""COMPUTED_VALUE"""),"casino games caribbean")</f>
        <v>casino games caribbean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174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""&amp;$A27))"),"online casino reviews")</f>
        <v>online casino reviews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""&amp;$A27))"),"casino online reviews")</f>
        <v>casino online reviews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""&amp;$A27))"),"online casinos reviews")</f>
        <v>online casinos reviews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""&amp;$A27))"),"casino games reviews")</f>
        <v>casino games reviews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""&amp;$A27))"),"online casino games reviews")</f>
        <v>online casino games reviews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""&amp;$A27))"),"casino app reviews")</f>
        <v>casino app reviews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""&amp;$A27))"),"gambling site reviews")</f>
        <v>gambling site reviews</v>
      </c>
      <c r="I27" s="9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""&amp;$A27))"),"online gambling reviews")</f>
        <v>online gambling reviews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""&amp;$A27))"),"live casino reviews")</f>
        <v>live casino reviews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""&amp;$A27))"),"real money casino reviews")</f>
        <v>real money casino reviews</v>
      </c>
      <c r="L27" s="13"/>
      <c r="M27" s="15" t="str">
        <f>IFERROR(__xludf.DUMMYFUNCTION("""COMPUTED_VALUE"""),"online casino games caribbean")</f>
        <v>online casino games caribbean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175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""&amp;$A28))"),"online casino near me")</f>
        <v>online casino near me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""&amp;$A28))"),"casino online near me")</f>
        <v>casino online near me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""&amp;$A28))"),"online casinos near me")</f>
        <v>online casinos near me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""&amp;$A28))"),"casino games near me")</f>
        <v>casino games near me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""&amp;$A28))"),"online casino games near me")</f>
        <v>online casino games near me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""&amp;$A28))"),"casino app near me")</f>
        <v>casino app near me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""&amp;$A28))"),"gambling site near me")</f>
        <v>gambling site near me</v>
      </c>
      <c r="I28" s="9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""&amp;$A28))"),"online gambling near me")</f>
        <v>online gambling near me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""&amp;$A28))"),"live casino near me")</f>
        <v>live casino near me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""&amp;$A28))"),"real money casino near me")</f>
        <v>real money casino near me</v>
      </c>
      <c r="L28" s="13"/>
      <c r="M28" s="15" t="str">
        <f>IFERROR(__xludf.DUMMYFUNCTION("""COMPUTED_VALUE"""),"casino app caribbean")</f>
        <v>casino app caribbean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141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""&amp;$A29))"),"online casino nassau")</f>
        <v>online casino nassau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""&amp;$A29))"),"casino online nassau")</f>
        <v>casino online nassau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""&amp;$A29))"),"online casinos nassau")</f>
        <v>online casinos nassau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""&amp;$A29))"),"casino games nassau")</f>
        <v>casino games nassau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""&amp;$A29))"),"online casino games nassau")</f>
        <v>online casino games nassau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""&amp;$A29))"),"casino app nassau")</f>
        <v>casino app nassau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""&amp;$A29))"),"gambling site nassau")</f>
        <v>gambling site nassau</v>
      </c>
      <c r="I29" s="9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""&amp;$A29))"),"online gambling nassau")</f>
        <v>online gambling nassau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""&amp;$A29))"),"live casino nassau")</f>
        <v>live casino nassau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""&amp;$A29))"),"real money casino nassau")</f>
        <v>real money casino nassau</v>
      </c>
      <c r="L29" s="13"/>
      <c r="M29" s="15" t="str">
        <f>IFERROR(__xludf.DUMMYFUNCTION("""COMPUTED_VALUE"""),"gambling site caribbean")</f>
        <v>gambling site caribbean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147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""&amp;$A30))"),"online casino freeport")</f>
        <v>online casino freeport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""&amp;$A30))"),"casino online freeport")</f>
        <v>casino online freeport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""&amp;$A30))"),"online casinos freeport")</f>
        <v>online casinos freeport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""&amp;$A30))"),"casino games freeport")</f>
        <v>casino games freeport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""&amp;$A30))"),"online casino games freeport")</f>
        <v>online casino games freeport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""&amp;$A30))"),"casino app freeport")</f>
        <v>casino app freeport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""&amp;$A30))"),"gambling site freeport")</f>
        <v>gambling site freeport</v>
      </c>
      <c r="I30" s="9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""&amp;$A30))"),"online gambling freeport")</f>
        <v>online gambling freeport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""&amp;$A30))"),"live casino freeport")</f>
        <v>live casino freeport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""&amp;$A30))"),"real money casino freeport")</f>
        <v>real money casino freeport</v>
      </c>
      <c r="L30" s="13"/>
      <c r="M30" s="15" t="str">
        <f>IFERROR(__xludf.DUMMYFUNCTION("""COMPUTED_VALUE"""),"online gambling caribbean")</f>
        <v>online gambling caribbean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100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""&amp;$A31))"),"online casino paradise games")</f>
        <v>online casino paradise games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""&amp;$A31))"),"casino online paradise games")</f>
        <v>casino online paradise games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""&amp;$A31))"),"online casinos paradise games")</f>
        <v>online casinos paradise games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""&amp;$A31))"),"casino games paradise games")</f>
        <v>casino games paradise games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""&amp;$A31))"),"online casino games paradise games")</f>
        <v>online casino games paradise games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""&amp;$A31))"),"casino app paradise games")</f>
        <v>casino app paradise games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""&amp;$A31))"),"gambling site paradise games")</f>
        <v>gambling site paradise games</v>
      </c>
      <c r="I31" s="9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""&amp;$A31))"),"online gambling paradise games")</f>
        <v>online gambling paradise games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""&amp;$A31))"),"live casino paradise games")</f>
        <v>live casino paradise games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""&amp;$A31))"),"real money casino paradise games")</f>
        <v>real money casino paradise games</v>
      </c>
      <c r="L31" s="13"/>
      <c r="M31" s="15" t="str">
        <f>IFERROR(__xludf.DUMMYFUNCTION("""COMPUTED_VALUE"""),"live casino caribbean")</f>
        <v>live casino caribbean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79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""&amp;$A32))"),"online casino island luck")</f>
        <v>online casino island luck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""&amp;$A32))"),"casino online island luck")</f>
        <v>casino online island luck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""&amp;$A32))"),"online casinos island luck")</f>
        <v>online casinos island luck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""&amp;$A32))"),"casino games island luck")</f>
        <v>casino games island luck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""&amp;$A32))"),"online casino games island luck")</f>
        <v>online casino games island luck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""&amp;$A32))"),"casino app island luck")</f>
        <v>casino app island luck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""&amp;$A32))"),"gambling site island luck")</f>
        <v>gambling site island luck</v>
      </c>
      <c r="I32" s="9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""&amp;$A32))"),"online gambling island luck")</f>
        <v>online gambling island luck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""&amp;$A32))"),"live casino island luck")</f>
        <v>live casino island luck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""&amp;$A32))"),"real money casino island luck")</f>
        <v>real money casino island luck</v>
      </c>
      <c r="L32" s="13"/>
      <c r="M32" s="15" t="str">
        <f>IFERROR(__xludf.DUMMYFUNCTION("""COMPUTED_VALUE"""),"real money casino caribbean")</f>
        <v>real money casino caribbean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83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""&amp;$A33))"),"online casino chances")</f>
        <v>online casino chances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""&amp;$A33))"),"casino online chances")</f>
        <v>casino online chances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""&amp;$A33))"),"online casinos chances")</f>
        <v>online casinos chances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""&amp;$A33))"),"casino games chances")</f>
        <v>casino games chances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""&amp;$A33))"),"online casino games chances")</f>
        <v>online casino games chances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""&amp;$A33))"),"casino app chances")</f>
        <v>casino app chances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""&amp;$A33))"),"gambling site chances")</f>
        <v>gambling site chances</v>
      </c>
      <c r="I33" s="9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""&amp;$A33))"),"online gambling chances")</f>
        <v>online gambling chances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""&amp;$A33))"),"live casino chances")</f>
        <v>live casino chances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""&amp;$A33))"),"real money casino chances")</f>
        <v>real money casino chances</v>
      </c>
      <c r="L33" s="13"/>
      <c r="M33" s="15" t="str">
        <f>IFERROR(__xludf.DUMMYFUNCTION("""COMPUTED_VALUE"""),"online casino real money")</f>
        <v>online casino real money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86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""&amp;$A34))"),"online casino ultra games")</f>
        <v>online casino ultra games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""&amp;$A34))"),"casino online ultra games")</f>
        <v>casino online ultra games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""&amp;$A34))"),"online casinos ultra games")</f>
        <v>online casinos ultra games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""&amp;$A34))"),"casino games ultra games")</f>
        <v>casino games ultra games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""&amp;$A34))"),"online casino games ultra games")</f>
        <v>online casino games ultra games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""&amp;$A34))"),"casino app ultra games")</f>
        <v>casino app ultra games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""&amp;$A34))"),"gambling site ultra games")</f>
        <v>gambling site ultra games</v>
      </c>
      <c r="I34" s="9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""&amp;$A34))"),"online gambling ultra games")</f>
        <v>online gambling ultra games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""&amp;$A34))"),"live casino ultra games")</f>
        <v>live casino ultra games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""&amp;$A34))"),"real money casino ultra games")</f>
        <v>real money casino ultra games</v>
      </c>
      <c r="L34" s="13"/>
      <c r="M34" s="15" t="str">
        <f>IFERROR(__xludf.DUMMYFUNCTION("""COMPUTED_VALUE"""),"casino online real money")</f>
        <v>casino online real money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176</v>
      </c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""&amp;$A35))"),"online casino blackjack")</f>
        <v>online casino blackjack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""&amp;$A35))"),"casino online blackjack")</f>
        <v>casino online blackjack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""&amp;$A35))"),"online casinos blackjack")</f>
        <v>online casinos blackjack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""&amp;$A35))"),"casino games blackjack")</f>
        <v>casino games blackjack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""&amp;$A35))"),"online casino games blackjack")</f>
        <v>online casino games blackjack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""&amp;$A35))"),"casino app blackjack")</f>
        <v>casino app blackjack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""&amp;$A35))"),"gambling site blackjack")</f>
        <v>gambling site blackjack</v>
      </c>
      <c r="I35" s="9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""&amp;$A35))"),"online gambling blackjack")</f>
        <v>online gambling blackjack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""&amp;$A35))"),"live casino blackjack")</f>
        <v>live casino blackjack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""&amp;$A35))"),"real money casino blackjack")</f>
        <v>real money casino blackjack</v>
      </c>
      <c r="L35" s="13"/>
      <c r="M35" s="15" t="str">
        <f>IFERROR(__xludf.DUMMYFUNCTION("""COMPUTED_VALUE"""),"online casinos real money")</f>
        <v>online casinos real money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177</v>
      </c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""&amp;$A36))"),"online casino roulette")</f>
        <v>online casino roulette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""&amp;$A36))"),"casino online roulette")</f>
        <v>casino online roulette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""&amp;$A36))"),"online casinos roulette")</f>
        <v>online casinos roulette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""&amp;$A36))"),"casino games roulette")</f>
        <v>casino games roulette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""&amp;$A36))"),"online casino games roulette")</f>
        <v>online casino games roulette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""&amp;$A36))"),"casino app roulette")</f>
        <v>casino app roulette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""&amp;$A36))"),"gambling site roulette")</f>
        <v>gambling site roulette</v>
      </c>
      <c r="I36" s="9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""&amp;$A36))"),"online gambling roulette")</f>
        <v>online gambling roulette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""&amp;$A36))"),"live casino roulette")</f>
        <v>live casino roulette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""&amp;$A36))"),"real money casino roulette")</f>
        <v>real money casino roulette</v>
      </c>
      <c r="L36" s="13"/>
      <c r="M36" s="15" t="str">
        <f>IFERROR(__xludf.DUMMYFUNCTION("""COMPUTED_VALUE"""),"casino games real money")</f>
        <v>casino games real money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178</v>
      </c>
      <c r="B37" s="12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""&amp;$A37))"),"online casino slots")</f>
        <v>online casino slots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""&amp;$A37))"),"casino online slots")</f>
        <v>casino online slots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""&amp;$A37))"),"online casinos slots")</f>
        <v>online casinos slots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""&amp;$A37))"),"casino games slots")</f>
        <v>casino games slots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""&amp;$A37))"),"online casino games slots")</f>
        <v>online casino games slots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""&amp;$A37))"),"casino app slots")</f>
        <v>casino app slots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""&amp;$A37))"),"gambling site slots")</f>
        <v>gambling site slots</v>
      </c>
      <c r="I37" s="9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""&amp;$A37))"),"online gambling slots")</f>
        <v>online gambling slots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""&amp;$A37))"),"live casino slots")</f>
        <v>live casino slots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""&amp;$A37))"),"real money casino slots")</f>
        <v>real money casino slots</v>
      </c>
      <c r="L37" s="13"/>
      <c r="M37" s="15" t="str">
        <f>IFERROR(__xludf.DUMMYFUNCTION("""COMPUTED_VALUE"""),"online casino games real money")</f>
        <v>online casino games real money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9"/>
      <c r="J38" s="13"/>
      <c r="K38" s="13"/>
      <c r="L38" s="13"/>
      <c r="M38" s="15" t="str">
        <f>IFERROR(__xludf.DUMMYFUNCTION("""COMPUTED_VALUE"""),"casino app real money")</f>
        <v>casino app real money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9"/>
      <c r="J39" s="13"/>
      <c r="K39" s="13"/>
      <c r="L39" s="13"/>
      <c r="M39" s="15" t="str">
        <f>IFERROR(__xludf.DUMMYFUNCTION("""COMPUTED_VALUE"""),"gambling site real money")</f>
        <v>gambling site real money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9"/>
      <c r="J40" s="13"/>
      <c r="K40" s="13"/>
      <c r="L40" s="13"/>
      <c r="M40" s="15" t="str">
        <f>IFERROR(__xludf.DUMMYFUNCTION("""COMPUTED_VALUE"""),"online gambling real money")</f>
        <v>online gambling real money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9"/>
      <c r="J41" s="13"/>
      <c r="K41" s="13"/>
      <c r="L41" s="13"/>
      <c r="M41" s="15" t="str">
        <f>IFERROR(__xludf.DUMMYFUNCTION("""COMPUTED_VALUE"""),"live casino real money")</f>
        <v>live casino real money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9"/>
      <c r="J42" s="13"/>
      <c r="K42" s="13"/>
      <c r="L42" s="13"/>
      <c r="M42" s="15" t="str">
        <f>IFERROR(__xludf.DUMMYFUNCTION("""COMPUTED_VALUE"""),"real money casino")</f>
        <v>real money casino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9"/>
      <c r="J43" s="13"/>
      <c r="K43" s="13"/>
      <c r="L43" s="13"/>
      <c r="M43" s="15" t="str">
        <f>IFERROR(__xludf.DUMMYFUNCTION("""COMPUTED_VALUE"""),"online casino best")</f>
        <v>online casino best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9"/>
      <c r="J44" s="13"/>
      <c r="K44" s="13"/>
      <c r="L44" s="13"/>
      <c r="M44" s="15" t="str">
        <f>IFERROR(__xludf.DUMMYFUNCTION("""COMPUTED_VALUE"""),"casino online best")</f>
        <v>casino online best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9"/>
      <c r="J45" s="13"/>
      <c r="K45" s="13"/>
      <c r="L45" s="13"/>
      <c r="M45" s="15" t="str">
        <f>IFERROR(__xludf.DUMMYFUNCTION("""COMPUTED_VALUE"""),"online casinos best")</f>
        <v>online casinos best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9"/>
      <c r="J46" s="13"/>
      <c r="K46" s="13"/>
      <c r="L46" s="13"/>
      <c r="M46" s="15" t="str">
        <f>IFERROR(__xludf.DUMMYFUNCTION("""COMPUTED_VALUE"""),"casino games best")</f>
        <v>casino games best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9"/>
      <c r="J47" s="13"/>
      <c r="K47" s="13"/>
      <c r="L47" s="13"/>
      <c r="M47" s="15" t="str">
        <f>IFERROR(__xludf.DUMMYFUNCTION("""COMPUTED_VALUE"""),"online casino games best")</f>
        <v>online casino games best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9"/>
      <c r="J48" s="13"/>
      <c r="K48" s="13"/>
      <c r="L48" s="13"/>
      <c r="M48" s="15" t="str">
        <f>IFERROR(__xludf.DUMMYFUNCTION("""COMPUTED_VALUE"""),"casino app best")</f>
        <v>casino app best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9"/>
      <c r="J49" s="13"/>
      <c r="K49" s="13"/>
      <c r="L49" s="13"/>
      <c r="M49" s="15" t="str">
        <f>IFERROR(__xludf.DUMMYFUNCTION("""COMPUTED_VALUE"""),"gambling site best")</f>
        <v>gambling site best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9"/>
      <c r="J50" s="13"/>
      <c r="K50" s="13"/>
      <c r="L50" s="13"/>
      <c r="M50" s="15" t="str">
        <f>IFERROR(__xludf.DUMMYFUNCTION("""COMPUTED_VALUE"""),"online gambling best")</f>
        <v>online gambling best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9"/>
      <c r="J51" s="13"/>
      <c r="K51" s="13"/>
      <c r="L51" s="13"/>
      <c r="M51" s="15" t="str">
        <f>IFERROR(__xludf.DUMMYFUNCTION("""COMPUTED_VALUE"""),"live casino best")</f>
        <v>live casino best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9"/>
      <c r="J52" s="13"/>
      <c r="K52" s="13"/>
      <c r="L52" s="13"/>
      <c r="M52" s="15" t="str">
        <f>IFERROR(__xludf.DUMMYFUNCTION("""COMPUTED_VALUE"""),"real money casino best")</f>
        <v>real money casino best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9"/>
      <c r="J53" s="13"/>
      <c r="K53" s="13"/>
      <c r="L53" s="13"/>
      <c r="M53" s="15" t="str">
        <f>IFERROR(__xludf.DUMMYFUNCTION("""COMPUTED_VALUE"""),"online casino top")</f>
        <v>online casino top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9"/>
      <c r="J54" s="13"/>
      <c r="K54" s="13"/>
      <c r="L54" s="13"/>
      <c r="M54" s="15" t="str">
        <f>IFERROR(__xludf.DUMMYFUNCTION("""COMPUTED_VALUE"""),"casino online top")</f>
        <v>casino online top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9"/>
      <c r="J55" s="13"/>
      <c r="K55" s="13"/>
      <c r="L55" s="13"/>
      <c r="M55" s="15" t="str">
        <f>IFERROR(__xludf.DUMMYFUNCTION("""COMPUTED_VALUE"""),"online casinos top")</f>
        <v>online casinos top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9"/>
      <c r="J56" s="13"/>
      <c r="K56" s="13"/>
      <c r="L56" s="13"/>
      <c r="M56" s="15" t="str">
        <f>IFERROR(__xludf.DUMMYFUNCTION("""COMPUTED_VALUE"""),"casino games top")</f>
        <v>casino games top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9"/>
      <c r="J57" s="13"/>
      <c r="K57" s="13"/>
      <c r="L57" s="13"/>
      <c r="M57" s="15" t="str">
        <f>IFERROR(__xludf.DUMMYFUNCTION("""COMPUTED_VALUE"""),"online casino games top")</f>
        <v>online casino games top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9"/>
      <c r="J58" s="13"/>
      <c r="K58" s="13"/>
      <c r="L58" s="13"/>
      <c r="M58" s="15" t="str">
        <f>IFERROR(__xludf.DUMMYFUNCTION("""COMPUTED_VALUE"""),"casino app top")</f>
        <v>casino app top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9"/>
      <c r="J59" s="13"/>
      <c r="K59" s="13"/>
      <c r="L59" s="13"/>
      <c r="M59" s="15" t="str">
        <f>IFERROR(__xludf.DUMMYFUNCTION("""COMPUTED_VALUE"""),"gambling site top")</f>
        <v>gambling site top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9"/>
      <c r="J60" s="13"/>
      <c r="K60" s="13"/>
      <c r="L60" s="13"/>
      <c r="M60" s="15" t="str">
        <f>IFERROR(__xludf.DUMMYFUNCTION("""COMPUTED_VALUE"""),"online gambling top")</f>
        <v>online gambling top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9"/>
      <c r="J61" s="13"/>
      <c r="K61" s="13"/>
      <c r="L61" s="13"/>
      <c r="M61" s="15" t="str">
        <f>IFERROR(__xludf.DUMMYFUNCTION("""COMPUTED_VALUE"""),"live casino top")</f>
        <v>live casino top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9"/>
      <c r="J62" s="13"/>
      <c r="K62" s="13"/>
      <c r="L62" s="13"/>
      <c r="M62" s="15" t="str">
        <f>IFERROR(__xludf.DUMMYFUNCTION("""COMPUTED_VALUE"""),"real money casino top")</f>
        <v>real money casino top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9"/>
      <c r="J63" s="13"/>
      <c r="K63" s="13"/>
      <c r="L63" s="13"/>
      <c r="M63" s="15" t="str">
        <f>IFERROR(__xludf.DUMMYFUNCTION("""COMPUTED_VALUE"""),"online casino trusted")</f>
        <v>online casino trusted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9"/>
      <c r="J64" s="13"/>
      <c r="K64" s="13"/>
      <c r="L64" s="13"/>
      <c r="M64" s="15" t="str">
        <f>IFERROR(__xludf.DUMMYFUNCTION("""COMPUTED_VALUE"""),"casino online trusted")</f>
        <v>casino online trusted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9"/>
      <c r="J65" s="13"/>
      <c r="K65" s="13"/>
      <c r="L65" s="13"/>
      <c r="M65" s="15" t="str">
        <f>IFERROR(__xludf.DUMMYFUNCTION("""COMPUTED_VALUE"""),"online casinos trusted")</f>
        <v>online casinos trusted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9"/>
      <c r="J66" s="13"/>
      <c r="K66" s="13"/>
      <c r="L66" s="13"/>
      <c r="M66" s="15" t="str">
        <f>IFERROR(__xludf.DUMMYFUNCTION("""COMPUTED_VALUE"""),"casino games trusted")</f>
        <v>casino games trusted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9"/>
      <c r="J67" s="13"/>
      <c r="K67" s="13"/>
      <c r="L67" s="13"/>
      <c r="M67" s="15" t="str">
        <f>IFERROR(__xludf.DUMMYFUNCTION("""COMPUTED_VALUE"""),"online casino games trusted")</f>
        <v>online casino games trusted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9"/>
      <c r="J68" s="13"/>
      <c r="K68" s="13"/>
      <c r="L68" s="13"/>
      <c r="M68" s="15" t="str">
        <f>IFERROR(__xludf.DUMMYFUNCTION("""COMPUTED_VALUE"""),"casino app trusted")</f>
        <v>casino app trusted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9"/>
      <c r="J69" s="13"/>
      <c r="K69" s="13"/>
      <c r="L69" s="13"/>
      <c r="M69" s="15" t="str">
        <f>IFERROR(__xludf.DUMMYFUNCTION("""COMPUTED_VALUE"""),"gambling site trusted")</f>
        <v>gambling site trusted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9"/>
      <c r="J70" s="13"/>
      <c r="K70" s="13"/>
      <c r="L70" s="13"/>
      <c r="M70" s="15" t="str">
        <f>IFERROR(__xludf.DUMMYFUNCTION("""COMPUTED_VALUE"""),"online gambling trusted")</f>
        <v>online gambling trusted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9"/>
      <c r="J71" s="13"/>
      <c r="K71" s="13"/>
      <c r="L71" s="13"/>
      <c r="M71" s="15" t="str">
        <f>IFERROR(__xludf.DUMMYFUNCTION("""COMPUTED_VALUE"""),"live casino trusted")</f>
        <v>live casino trusted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9"/>
      <c r="J72" s="13"/>
      <c r="K72" s="13"/>
      <c r="L72" s="13"/>
      <c r="M72" s="15" t="str">
        <f>IFERROR(__xludf.DUMMYFUNCTION("""COMPUTED_VALUE"""),"real money casino trusted")</f>
        <v>real money casino trusted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9"/>
      <c r="J73" s="13"/>
      <c r="K73" s="13"/>
      <c r="L73" s="13"/>
      <c r="M73" s="15" t="str">
        <f>IFERROR(__xludf.DUMMYFUNCTION("""COMPUTED_VALUE"""),"online casino safe")</f>
        <v>online casino safe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9"/>
      <c r="J74" s="13"/>
      <c r="K74" s="13"/>
      <c r="L74" s="13"/>
      <c r="M74" s="15" t="str">
        <f>IFERROR(__xludf.DUMMYFUNCTION("""COMPUTED_VALUE"""),"casino online safe")</f>
        <v>casino online safe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9"/>
      <c r="J75" s="13"/>
      <c r="K75" s="13"/>
      <c r="L75" s="13"/>
      <c r="M75" s="15" t="str">
        <f>IFERROR(__xludf.DUMMYFUNCTION("""COMPUTED_VALUE"""),"online casinos safe")</f>
        <v>online casinos safe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9"/>
      <c r="J76" s="13"/>
      <c r="K76" s="13"/>
      <c r="L76" s="13"/>
      <c r="M76" s="15" t="str">
        <f>IFERROR(__xludf.DUMMYFUNCTION("""COMPUTED_VALUE"""),"casino games safe")</f>
        <v>casino games safe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9"/>
      <c r="J77" s="17"/>
      <c r="K77" s="17"/>
      <c r="L77" s="17"/>
      <c r="M77" s="20" t="str">
        <f>IFERROR(__xludf.DUMMYFUNCTION("""COMPUTED_VALUE"""),"online casino games safe")</f>
        <v>online casino games safe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9"/>
      <c r="J78" s="13"/>
      <c r="K78" s="13"/>
      <c r="L78" s="13"/>
      <c r="M78" s="15" t="str">
        <f>IFERROR(__xludf.DUMMYFUNCTION("""COMPUTED_VALUE"""),"casino app safe")</f>
        <v>casino app safe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9"/>
      <c r="J79" s="13"/>
      <c r="K79" s="13"/>
      <c r="L79" s="13"/>
      <c r="M79" s="15" t="str">
        <f>IFERROR(__xludf.DUMMYFUNCTION("""COMPUTED_VALUE"""),"gambling site safe")</f>
        <v>gambling site safe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9"/>
      <c r="J80" s="13"/>
      <c r="K80" s="13"/>
      <c r="L80" s="13"/>
      <c r="M80" s="15" t="str">
        <f>IFERROR(__xludf.DUMMYFUNCTION("""COMPUTED_VALUE"""),"online gambling safe")</f>
        <v>online gambling safe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9"/>
      <c r="J81" s="13"/>
      <c r="K81" s="13"/>
      <c r="L81" s="13"/>
      <c r="M81" s="15" t="str">
        <f>IFERROR(__xludf.DUMMYFUNCTION("""COMPUTED_VALUE"""),"live casino safe")</f>
        <v>live casino safe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9"/>
      <c r="J82" s="13"/>
      <c r="K82" s="13"/>
      <c r="L82" s="13"/>
      <c r="M82" s="15" t="str">
        <f>IFERROR(__xludf.DUMMYFUNCTION("""COMPUTED_VALUE"""),"real money casino safe")</f>
        <v>real money casino safe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9"/>
      <c r="J83" s="13"/>
      <c r="K83" s="13"/>
      <c r="L83" s="13"/>
      <c r="M83" s="15" t="str">
        <f>IFERROR(__xludf.DUMMYFUNCTION("""COMPUTED_VALUE"""),"online casino licensed")</f>
        <v>online casino licensed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9"/>
      <c r="J84" s="13"/>
      <c r="K84" s="13"/>
      <c r="L84" s="13"/>
      <c r="M84" s="15" t="str">
        <f>IFERROR(__xludf.DUMMYFUNCTION("""COMPUTED_VALUE"""),"casino online licensed")</f>
        <v>casino online licensed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9"/>
      <c r="J85" s="13"/>
      <c r="K85" s="13"/>
      <c r="L85" s="13"/>
      <c r="M85" s="15" t="str">
        <f>IFERROR(__xludf.DUMMYFUNCTION("""COMPUTED_VALUE"""),"online casinos licensed")</f>
        <v>online casinos licensed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9"/>
      <c r="J86" s="13"/>
      <c r="K86" s="13"/>
      <c r="L86" s="13"/>
      <c r="M86" s="15" t="str">
        <f>IFERROR(__xludf.DUMMYFUNCTION("""COMPUTED_VALUE"""),"casino games licensed")</f>
        <v>casino games licensed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9"/>
      <c r="J87" s="13"/>
      <c r="K87" s="13"/>
      <c r="L87" s="13"/>
      <c r="M87" s="15" t="str">
        <f>IFERROR(__xludf.DUMMYFUNCTION("""COMPUTED_VALUE"""),"online casino games licensed")</f>
        <v>online casino games licensed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9"/>
      <c r="J88" s="13"/>
      <c r="K88" s="13"/>
      <c r="L88" s="13"/>
      <c r="M88" s="15" t="str">
        <f>IFERROR(__xludf.DUMMYFUNCTION("""COMPUTED_VALUE"""),"casino app licensed")</f>
        <v>casino app licensed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9"/>
      <c r="J89" s="13"/>
      <c r="K89" s="13"/>
      <c r="L89" s="13"/>
      <c r="M89" s="15" t="str">
        <f>IFERROR(__xludf.DUMMYFUNCTION("""COMPUTED_VALUE"""),"gambling site licensed")</f>
        <v>gambling site licensed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9"/>
      <c r="J90" s="13"/>
      <c r="K90" s="13"/>
      <c r="L90" s="13"/>
      <c r="M90" s="15" t="str">
        <f>IFERROR(__xludf.DUMMYFUNCTION("""COMPUTED_VALUE"""),"online gambling licensed")</f>
        <v>online gambling licensed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9"/>
      <c r="J91" s="13"/>
      <c r="K91" s="13"/>
      <c r="L91" s="13"/>
      <c r="M91" s="15" t="str">
        <f>IFERROR(__xludf.DUMMYFUNCTION("""COMPUTED_VALUE"""),"live casino licensed")</f>
        <v>live casino licensed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9"/>
      <c r="J92" s="13"/>
      <c r="K92" s="13"/>
      <c r="L92" s="13"/>
      <c r="M92" s="15" t="str">
        <f>IFERROR(__xludf.DUMMYFUNCTION("""COMPUTED_VALUE"""),"real money casino licensed")</f>
        <v>real money casino licensed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9"/>
      <c r="J93" s="13"/>
      <c r="K93" s="13"/>
      <c r="L93" s="13"/>
      <c r="M93" s="15" t="str">
        <f>IFERROR(__xludf.DUMMYFUNCTION("""COMPUTED_VALUE"""),"online casino mobile")</f>
        <v>online casino mobile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9"/>
      <c r="J94" s="13"/>
      <c r="K94" s="13"/>
      <c r="L94" s="13"/>
      <c r="M94" s="15" t="str">
        <f>IFERROR(__xludf.DUMMYFUNCTION("""COMPUTED_VALUE"""),"casino online mobile")</f>
        <v>casino online mobile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9"/>
      <c r="J95" s="13"/>
      <c r="K95" s="13"/>
      <c r="L95" s="13"/>
      <c r="M95" s="15" t="str">
        <f>IFERROR(__xludf.DUMMYFUNCTION("""COMPUTED_VALUE"""),"online casinos mobile")</f>
        <v>online casinos mobile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9"/>
      <c r="J96" s="13"/>
      <c r="K96" s="13"/>
      <c r="L96" s="13"/>
      <c r="M96" s="15" t="str">
        <f>IFERROR(__xludf.DUMMYFUNCTION("""COMPUTED_VALUE"""),"casino games mobile")</f>
        <v>casino games mobile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9"/>
      <c r="J97" s="13"/>
      <c r="K97" s="13"/>
      <c r="L97" s="13"/>
      <c r="M97" s="15" t="str">
        <f>IFERROR(__xludf.DUMMYFUNCTION("""COMPUTED_VALUE"""),"online casino games mobile")</f>
        <v>online casino games mobile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9"/>
      <c r="J98" s="13"/>
      <c r="K98" s="13"/>
      <c r="L98" s="13"/>
      <c r="M98" s="15" t="str">
        <f>IFERROR(__xludf.DUMMYFUNCTION("""COMPUTED_VALUE"""),"casino app mobile")</f>
        <v>casino app mobile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9"/>
      <c r="J99" s="13"/>
      <c r="K99" s="13"/>
      <c r="L99" s="13"/>
      <c r="M99" s="15" t="str">
        <f>IFERROR(__xludf.DUMMYFUNCTION("""COMPUTED_VALUE"""),"gambling site mobile")</f>
        <v>gambling site mobile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9"/>
      <c r="J100" s="13"/>
      <c r="K100" s="13"/>
      <c r="L100" s="13"/>
      <c r="M100" s="15" t="str">
        <f>IFERROR(__xludf.DUMMYFUNCTION("""COMPUTED_VALUE"""),"online gambling mobile")</f>
        <v>online gambling mobile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9"/>
      <c r="J101" s="13"/>
      <c r="K101" s="13"/>
      <c r="L101" s="13"/>
      <c r="M101" s="15" t="str">
        <f>IFERROR(__xludf.DUMMYFUNCTION("""COMPUTED_VALUE"""),"live casino mobile")</f>
        <v>live casino mobile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9"/>
      <c r="J102" s="13"/>
      <c r="K102" s="13"/>
      <c r="L102" s="13"/>
      <c r="M102" s="15" t="str">
        <f>IFERROR(__xludf.DUMMYFUNCTION("""COMPUTED_VALUE"""),"real money casino mobile")</f>
        <v>real money casino mobile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9"/>
      <c r="J103" s="13"/>
      <c r="K103" s="13"/>
      <c r="L103" s="13"/>
      <c r="M103" s="15" t="str">
        <f>IFERROR(__xludf.DUMMYFUNCTION("""COMPUTED_VALUE"""),"online casino app")</f>
        <v>online casino app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9"/>
      <c r="J104" s="13"/>
      <c r="K104" s="13"/>
      <c r="L104" s="13"/>
      <c r="M104" s="15" t="str">
        <f>IFERROR(__xludf.DUMMYFUNCTION("""COMPUTED_VALUE"""),"casino online app")</f>
        <v>casino online app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9"/>
      <c r="J105" s="13"/>
      <c r="K105" s="13"/>
      <c r="L105" s="13"/>
      <c r="M105" s="15" t="str">
        <f>IFERROR(__xludf.DUMMYFUNCTION("""COMPUTED_VALUE"""),"online casinos app")</f>
        <v>online casinos app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9"/>
      <c r="J106" s="13"/>
      <c r="K106" s="13"/>
      <c r="L106" s="13"/>
      <c r="M106" s="15" t="str">
        <f>IFERROR(__xludf.DUMMYFUNCTION("""COMPUTED_VALUE"""),"casino games app")</f>
        <v>casino games app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9"/>
      <c r="J107" s="13"/>
      <c r="K107" s="13"/>
      <c r="L107" s="13"/>
      <c r="M107" s="15" t="str">
        <f>IFERROR(__xludf.DUMMYFUNCTION("""COMPUTED_VALUE"""),"online casino games app")</f>
        <v>online casino games app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9"/>
      <c r="J108" s="13"/>
      <c r="K108" s="13"/>
      <c r="L108" s="13"/>
      <c r="M108" s="15" t="str">
        <f>IFERROR(__xludf.DUMMYFUNCTION("""COMPUTED_VALUE"""),"casino app")</f>
        <v>casino app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9"/>
      <c r="J109" s="13"/>
      <c r="K109" s="13"/>
      <c r="L109" s="13"/>
      <c r="M109" s="15" t="str">
        <f>IFERROR(__xludf.DUMMYFUNCTION("""COMPUTED_VALUE"""),"gambling site app")</f>
        <v>gambling site app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9"/>
      <c r="J110" s="13"/>
      <c r="K110" s="13"/>
      <c r="L110" s="13"/>
      <c r="M110" s="15" t="str">
        <f>IFERROR(__xludf.DUMMYFUNCTION("""COMPUTED_VALUE"""),"online gambling app")</f>
        <v>online gambling app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9"/>
      <c r="J111" s="13"/>
      <c r="K111" s="13"/>
      <c r="L111" s="13"/>
      <c r="M111" s="15" t="str">
        <f>IFERROR(__xludf.DUMMYFUNCTION("""COMPUTED_VALUE"""),"live casino app")</f>
        <v>live casino app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9"/>
      <c r="J112" s="13"/>
      <c r="K112" s="13"/>
      <c r="L112" s="13"/>
      <c r="M112" s="15" t="str">
        <f>IFERROR(__xludf.DUMMYFUNCTION("""COMPUTED_VALUE"""),"real money casino app")</f>
        <v>real money casino app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9"/>
      <c r="J113" s="13"/>
      <c r="K113" s="13"/>
      <c r="L113" s="13"/>
      <c r="M113" s="15" t="str">
        <f>IFERROR(__xludf.DUMMYFUNCTION("""COMPUTED_VALUE"""),"online casino play online")</f>
        <v>online casino play online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9"/>
      <c r="J114" s="13"/>
      <c r="K114" s="13"/>
      <c r="L114" s="13"/>
      <c r="M114" s="15" t="str">
        <f>IFERROR(__xludf.DUMMYFUNCTION("""COMPUTED_VALUE"""),"casino online play online")</f>
        <v>casino online play online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9"/>
      <c r="J115" s="13"/>
      <c r="K115" s="13"/>
      <c r="L115" s="13"/>
      <c r="M115" s="15" t="str">
        <f>IFERROR(__xludf.DUMMYFUNCTION("""COMPUTED_VALUE"""),"online casinos play online")</f>
        <v>online casinos play online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9"/>
      <c r="J116" s="13"/>
      <c r="K116" s="13"/>
      <c r="L116" s="13"/>
      <c r="M116" s="15" t="str">
        <f>IFERROR(__xludf.DUMMYFUNCTION("""COMPUTED_VALUE"""),"casino games play online")</f>
        <v>casino games play online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9"/>
      <c r="J117" s="13"/>
      <c r="K117" s="13"/>
      <c r="L117" s="13"/>
      <c r="M117" s="15" t="str">
        <f>IFERROR(__xludf.DUMMYFUNCTION("""COMPUTED_VALUE"""),"online casino games play online")</f>
        <v>online casino games play online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9"/>
      <c r="J118" s="13"/>
      <c r="K118" s="13"/>
      <c r="L118" s="13"/>
      <c r="M118" s="15" t="str">
        <f>IFERROR(__xludf.DUMMYFUNCTION("""COMPUTED_VALUE"""),"casino app play online")</f>
        <v>casino app play online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9"/>
      <c r="J119" s="13"/>
      <c r="K119" s="13"/>
      <c r="L119" s="13"/>
      <c r="M119" s="15" t="str">
        <f>IFERROR(__xludf.DUMMYFUNCTION("""COMPUTED_VALUE"""),"gambling site play online")</f>
        <v>gambling site play online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9"/>
      <c r="J120" s="13"/>
      <c r="K120" s="13"/>
      <c r="L120" s="13"/>
      <c r="M120" s="15" t="str">
        <f>IFERROR(__xludf.DUMMYFUNCTION("""COMPUTED_VALUE"""),"online gambling play online")</f>
        <v>online gambling play online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9"/>
      <c r="J121" s="13"/>
      <c r="K121" s="13"/>
      <c r="L121" s="13"/>
      <c r="M121" s="15" t="str">
        <f>IFERROR(__xludf.DUMMYFUNCTION("""COMPUTED_VALUE"""),"live casino play online")</f>
        <v>live casino play online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9"/>
      <c r="J122" s="13"/>
      <c r="K122" s="13"/>
      <c r="L122" s="13"/>
      <c r="M122" s="15" t="str">
        <f>IFERROR(__xludf.DUMMYFUNCTION("""COMPUTED_VALUE"""),"real money casino play online")</f>
        <v>real money casino play online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9"/>
      <c r="J123" s="13"/>
      <c r="K123" s="13"/>
      <c r="L123" s="13"/>
      <c r="M123" s="15" t="str">
        <f>IFERROR(__xludf.DUMMYFUNCTION("""COMPUTED_VALUE"""),"online casino free demo")</f>
        <v>online casino free demo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9"/>
      <c r="J124" s="13"/>
      <c r="K124" s="13"/>
      <c r="L124" s="13"/>
      <c r="M124" s="15" t="str">
        <f>IFERROR(__xludf.DUMMYFUNCTION("""COMPUTED_VALUE"""),"casino online free demo")</f>
        <v>casino online free demo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9"/>
      <c r="J125" s="13"/>
      <c r="K125" s="13"/>
      <c r="L125" s="13"/>
      <c r="M125" s="15" t="str">
        <f>IFERROR(__xludf.DUMMYFUNCTION("""COMPUTED_VALUE"""),"online casinos free demo")</f>
        <v>online casinos free demo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9"/>
      <c r="J126" s="13"/>
      <c r="K126" s="13"/>
      <c r="L126" s="13"/>
      <c r="M126" s="15" t="str">
        <f>IFERROR(__xludf.DUMMYFUNCTION("""COMPUTED_VALUE"""),"casino games free demo")</f>
        <v>casino games free demo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9"/>
      <c r="J127" s="13"/>
      <c r="K127" s="13"/>
      <c r="L127" s="13"/>
      <c r="M127" s="15" t="str">
        <f>IFERROR(__xludf.DUMMYFUNCTION("""COMPUTED_VALUE"""),"online casino games free demo")</f>
        <v>online casino games free demo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9"/>
      <c r="J128" s="13"/>
      <c r="K128" s="13"/>
      <c r="L128" s="13"/>
      <c r="M128" s="15" t="str">
        <f>IFERROR(__xludf.DUMMYFUNCTION("""COMPUTED_VALUE"""),"casino app free demo")</f>
        <v>casino app free demo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9"/>
      <c r="J129" s="13"/>
      <c r="K129" s="13"/>
      <c r="L129" s="13"/>
      <c r="M129" s="15" t="str">
        <f>IFERROR(__xludf.DUMMYFUNCTION("""COMPUTED_VALUE"""),"gambling site free demo")</f>
        <v>gambling site free demo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9"/>
      <c r="J130" s="13"/>
      <c r="K130" s="13"/>
      <c r="L130" s="13"/>
      <c r="M130" s="15" t="str">
        <f>IFERROR(__xludf.DUMMYFUNCTION("""COMPUTED_VALUE"""),"online gambling free demo")</f>
        <v>online gambling free demo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9"/>
      <c r="J131" s="13"/>
      <c r="K131" s="13"/>
      <c r="L131" s="13"/>
      <c r="M131" s="15" t="str">
        <f>IFERROR(__xludf.DUMMYFUNCTION("""COMPUTED_VALUE"""),"live casino free demo")</f>
        <v>live casino free demo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9"/>
      <c r="J132" s="13"/>
      <c r="K132" s="13"/>
      <c r="L132" s="13"/>
      <c r="M132" s="15" t="str">
        <f>IFERROR(__xludf.DUMMYFUNCTION("""COMPUTED_VALUE"""),"real money casino free demo")</f>
        <v>real money casino free demo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9"/>
      <c r="J133" s="13"/>
      <c r="K133" s="13"/>
      <c r="L133" s="13"/>
      <c r="M133" s="15" t="str">
        <f>IFERROR(__xludf.DUMMYFUNCTION("""COMPUTED_VALUE"""),"online casino demo")</f>
        <v>online casino demo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9"/>
      <c r="J134" s="13"/>
      <c r="K134" s="13"/>
      <c r="L134" s="13"/>
      <c r="M134" s="15" t="str">
        <f>IFERROR(__xludf.DUMMYFUNCTION("""COMPUTED_VALUE"""),"casino online demo")</f>
        <v>casino online demo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9"/>
      <c r="J135" s="13"/>
      <c r="K135" s="13"/>
      <c r="L135" s="13"/>
      <c r="M135" s="15" t="str">
        <f>IFERROR(__xludf.DUMMYFUNCTION("""COMPUTED_VALUE"""),"online casinos demo")</f>
        <v>online casinos demo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9"/>
      <c r="J136" s="13"/>
      <c r="K136" s="13"/>
      <c r="L136" s="13"/>
      <c r="M136" s="15" t="str">
        <f>IFERROR(__xludf.DUMMYFUNCTION("""COMPUTED_VALUE"""),"casino games demo")</f>
        <v>casino games demo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9"/>
      <c r="J137" s="13"/>
      <c r="K137" s="13"/>
      <c r="L137" s="13"/>
      <c r="M137" s="15" t="str">
        <f>IFERROR(__xludf.DUMMYFUNCTION("""COMPUTED_VALUE"""),"online casino games demo")</f>
        <v>online casino games demo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9"/>
      <c r="J138" s="13"/>
      <c r="K138" s="13"/>
      <c r="L138" s="13"/>
      <c r="M138" s="15" t="str">
        <f>IFERROR(__xludf.DUMMYFUNCTION("""COMPUTED_VALUE"""),"casino app demo")</f>
        <v>casino app demo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9"/>
      <c r="J139" s="13"/>
      <c r="K139" s="13"/>
      <c r="L139" s="13"/>
      <c r="M139" s="15" t="str">
        <f>IFERROR(__xludf.DUMMYFUNCTION("""COMPUTED_VALUE"""),"gambling site demo")</f>
        <v>gambling site demo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9"/>
      <c r="J140" s="13"/>
      <c r="K140" s="13"/>
      <c r="L140" s="13"/>
      <c r="M140" s="15" t="str">
        <f>IFERROR(__xludf.DUMMYFUNCTION("""COMPUTED_VALUE"""),"online gambling demo")</f>
        <v>online gambling demo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9"/>
      <c r="J141" s="13"/>
      <c r="K141" s="13"/>
      <c r="L141" s="13"/>
      <c r="M141" s="15" t="str">
        <f>IFERROR(__xludf.DUMMYFUNCTION("""COMPUTED_VALUE"""),"live casino demo")</f>
        <v>live casino demo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9"/>
      <c r="J142" s="13"/>
      <c r="K142" s="13"/>
      <c r="L142" s="13"/>
      <c r="M142" s="15" t="str">
        <f>IFERROR(__xludf.DUMMYFUNCTION("""COMPUTED_VALUE"""),"real money casino demo")</f>
        <v>real money casino demo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9"/>
      <c r="J143" s="13"/>
      <c r="K143" s="13"/>
      <c r="L143" s="13"/>
      <c r="M143" s="15" t="str">
        <f>IFERROR(__xludf.DUMMYFUNCTION("""COMPUTED_VALUE"""),"online casino bonus")</f>
        <v>online casino bonus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9"/>
      <c r="J144" s="13"/>
      <c r="K144" s="13"/>
      <c r="L144" s="13"/>
      <c r="M144" s="15" t="str">
        <f>IFERROR(__xludf.DUMMYFUNCTION("""COMPUTED_VALUE"""),"casino online bonus")</f>
        <v>casino online bonus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9"/>
      <c r="J145" s="13"/>
      <c r="K145" s="13"/>
      <c r="L145" s="13"/>
      <c r="M145" s="15" t="str">
        <f>IFERROR(__xludf.DUMMYFUNCTION("""COMPUTED_VALUE"""),"online casinos bonus")</f>
        <v>online casinos bonus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9"/>
      <c r="J146" s="13"/>
      <c r="K146" s="13"/>
      <c r="L146" s="13"/>
      <c r="M146" s="15" t="str">
        <f>IFERROR(__xludf.DUMMYFUNCTION("""COMPUTED_VALUE"""),"casino games bonus")</f>
        <v>casino games bonus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9"/>
      <c r="J147" s="13"/>
      <c r="K147" s="13"/>
      <c r="L147" s="13"/>
      <c r="M147" s="15" t="str">
        <f>IFERROR(__xludf.DUMMYFUNCTION("""COMPUTED_VALUE"""),"online casino games bonus")</f>
        <v>online casino games bonus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9"/>
      <c r="J148" s="13"/>
      <c r="K148" s="13"/>
      <c r="L148" s="13"/>
      <c r="M148" s="15" t="str">
        <f>IFERROR(__xludf.DUMMYFUNCTION("""COMPUTED_VALUE"""),"casino app bonus")</f>
        <v>casino app bonus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9"/>
      <c r="J149" s="13"/>
      <c r="K149" s="13"/>
      <c r="L149" s="13"/>
      <c r="M149" s="15" t="str">
        <f>IFERROR(__xludf.DUMMYFUNCTION("""COMPUTED_VALUE"""),"gambling site bonus")</f>
        <v>gambling site bonus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9"/>
      <c r="J150" s="13"/>
      <c r="K150" s="13"/>
      <c r="L150" s="13"/>
      <c r="M150" s="15" t="str">
        <f>IFERROR(__xludf.DUMMYFUNCTION("""COMPUTED_VALUE"""),"online gambling bonus")</f>
        <v>online gambling bonus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9"/>
      <c r="J151" s="13"/>
      <c r="K151" s="13"/>
      <c r="L151" s="13"/>
      <c r="M151" s="15" t="str">
        <f>IFERROR(__xludf.DUMMYFUNCTION("""COMPUTED_VALUE"""),"live casino bonus")</f>
        <v>live casino bonus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9"/>
      <c r="J152" s="13"/>
      <c r="K152" s="13"/>
      <c r="L152" s="13"/>
      <c r="M152" s="15" t="str">
        <f>IFERROR(__xludf.DUMMYFUNCTION("""COMPUTED_VALUE"""),"real money casino bonus")</f>
        <v>real money casino bonus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9"/>
      <c r="J153" s="13"/>
      <c r="K153" s="13"/>
      <c r="L153" s="13"/>
      <c r="M153" s="15" t="str">
        <f>IFERROR(__xludf.DUMMYFUNCTION("""COMPUTED_VALUE"""),"online casino bonuses")</f>
        <v>online casino bonuses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9"/>
      <c r="J154" s="13"/>
      <c r="K154" s="13"/>
      <c r="L154" s="13"/>
      <c r="M154" s="15" t="str">
        <f>IFERROR(__xludf.DUMMYFUNCTION("""COMPUTED_VALUE"""),"casino online bonuses")</f>
        <v>casino online bonuses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9"/>
      <c r="J155" s="13"/>
      <c r="K155" s="13"/>
      <c r="L155" s="13"/>
      <c r="M155" s="15" t="str">
        <f>IFERROR(__xludf.DUMMYFUNCTION("""COMPUTED_VALUE"""),"online casinos bonuses")</f>
        <v>online casinos bonuses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9"/>
      <c r="J156" s="13"/>
      <c r="K156" s="13"/>
      <c r="L156" s="13"/>
      <c r="M156" s="15" t="str">
        <f>IFERROR(__xludf.DUMMYFUNCTION("""COMPUTED_VALUE"""),"casino games bonuses")</f>
        <v>casino games bonuses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9"/>
      <c r="J157" s="13"/>
      <c r="K157" s="13"/>
      <c r="L157" s="13"/>
      <c r="M157" s="15" t="str">
        <f>IFERROR(__xludf.DUMMYFUNCTION("""COMPUTED_VALUE"""),"online casino games bonuses")</f>
        <v>online casino games bonuses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9"/>
      <c r="J158" s="13"/>
      <c r="K158" s="13"/>
      <c r="L158" s="13"/>
      <c r="M158" s="15" t="str">
        <f>IFERROR(__xludf.DUMMYFUNCTION("""COMPUTED_VALUE"""),"casino app bonuses")</f>
        <v>casino app bonuses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9"/>
      <c r="J159" s="13"/>
      <c r="K159" s="13"/>
      <c r="L159" s="13"/>
      <c r="M159" s="15" t="str">
        <f>IFERROR(__xludf.DUMMYFUNCTION("""COMPUTED_VALUE"""),"gambling site bonuses")</f>
        <v>gambling site bonuses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9"/>
      <c r="J160" s="13"/>
      <c r="K160" s="13"/>
      <c r="L160" s="13"/>
      <c r="M160" s="15" t="str">
        <f>IFERROR(__xludf.DUMMYFUNCTION("""COMPUTED_VALUE"""),"online gambling bonuses")</f>
        <v>online gambling bonuses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9"/>
      <c r="J161" s="13"/>
      <c r="K161" s="13"/>
      <c r="L161" s="13"/>
      <c r="M161" s="15" t="str">
        <f>IFERROR(__xludf.DUMMYFUNCTION("""COMPUTED_VALUE"""),"live casino bonuses")</f>
        <v>live casino bonuses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9"/>
      <c r="J162" s="13"/>
      <c r="K162" s="13"/>
      <c r="L162" s="13"/>
      <c r="M162" s="15" t="str">
        <f>IFERROR(__xludf.DUMMYFUNCTION("""COMPUTED_VALUE"""),"real money casino bonuses")</f>
        <v>real money casino bonuses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9"/>
      <c r="J163" s="13"/>
      <c r="K163" s="13"/>
      <c r="L163" s="13"/>
      <c r="M163" s="15" t="str">
        <f>IFERROR(__xludf.DUMMYFUNCTION("""COMPUTED_VALUE"""),"online casino free spins")</f>
        <v>online casino free spins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9"/>
      <c r="J164" s="13"/>
      <c r="K164" s="13"/>
      <c r="L164" s="13"/>
      <c r="M164" s="15" t="str">
        <f>IFERROR(__xludf.DUMMYFUNCTION("""COMPUTED_VALUE"""),"casino online free spins")</f>
        <v>casino online free spins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9"/>
      <c r="J165" s="13"/>
      <c r="K165" s="13"/>
      <c r="L165" s="13"/>
      <c r="M165" s="15" t="str">
        <f>IFERROR(__xludf.DUMMYFUNCTION("""COMPUTED_VALUE"""),"online casinos free spins")</f>
        <v>online casinos free spins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9"/>
      <c r="J166" s="13"/>
      <c r="K166" s="13"/>
      <c r="L166" s="13"/>
      <c r="M166" s="15" t="str">
        <f>IFERROR(__xludf.DUMMYFUNCTION("""COMPUTED_VALUE"""),"casino games free spins")</f>
        <v>casino games free spins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9"/>
      <c r="J167" s="13"/>
      <c r="K167" s="13"/>
      <c r="L167" s="13"/>
      <c r="M167" s="15" t="str">
        <f>IFERROR(__xludf.DUMMYFUNCTION("""COMPUTED_VALUE"""),"online casino games free spins")</f>
        <v>online casino games free spins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9"/>
      <c r="J168" s="13"/>
      <c r="K168" s="13"/>
      <c r="L168" s="13"/>
      <c r="M168" s="15" t="str">
        <f>IFERROR(__xludf.DUMMYFUNCTION("""COMPUTED_VALUE"""),"casino app free spins")</f>
        <v>casino app free spins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9"/>
      <c r="J169" s="13"/>
      <c r="K169" s="13"/>
      <c r="L169" s="13"/>
      <c r="M169" s="15" t="str">
        <f>IFERROR(__xludf.DUMMYFUNCTION("""COMPUTED_VALUE"""),"gambling site free spins")</f>
        <v>gambling site free spins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9"/>
      <c r="J170" s="13"/>
      <c r="K170" s="13"/>
      <c r="L170" s="13"/>
      <c r="M170" s="15" t="str">
        <f>IFERROR(__xludf.DUMMYFUNCTION("""COMPUTED_VALUE"""),"online gambling free spins")</f>
        <v>online gambling free spins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9"/>
      <c r="J171" s="13"/>
      <c r="K171" s="13"/>
      <c r="L171" s="13"/>
      <c r="M171" s="15" t="str">
        <f>IFERROR(__xludf.DUMMYFUNCTION("""COMPUTED_VALUE"""),"live casino free spins")</f>
        <v>live casino free spins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9"/>
      <c r="J172" s="13"/>
      <c r="K172" s="13"/>
      <c r="L172" s="13"/>
      <c r="M172" s="15" t="str">
        <f>IFERROR(__xludf.DUMMYFUNCTION("""COMPUTED_VALUE"""),"real money casino free spins")</f>
        <v>real money casino free spins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9"/>
      <c r="J173" s="13"/>
      <c r="K173" s="13"/>
      <c r="L173" s="13"/>
      <c r="M173" s="15" t="str">
        <f>IFERROR(__xludf.DUMMYFUNCTION("""COMPUTED_VALUE"""),"online casino sign up bonus")</f>
        <v>online casino sign up bonus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9"/>
      <c r="J174" s="13"/>
      <c r="K174" s="13"/>
      <c r="L174" s="13"/>
      <c r="M174" s="15" t="str">
        <f>IFERROR(__xludf.DUMMYFUNCTION("""COMPUTED_VALUE"""),"casino online sign up bonus")</f>
        <v>casino online sign up bonus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9"/>
      <c r="J175" s="13"/>
      <c r="K175" s="13"/>
      <c r="L175" s="13"/>
      <c r="M175" s="15" t="str">
        <f>IFERROR(__xludf.DUMMYFUNCTION("""COMPUTED_VALUE"""),"online casinos sign up bonus")</f>
        <v>online casinos sign up bonus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9"/>
      <c r="J176" s="13"/>
      <c r="K176" s="13"/>
      <c r="L176" s="13"/>
      <c r="M176" s="15" t="str">
        <f>IFERROR(__xludf.DUMMYFUNCTION("""COMPUTED_VALUE"""),"casino games sign up bonus")</f>
        <v>casino games sign up bonus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9"/>
      <c r="J177" s="13"/>
      <c r="K177" s="13"/>
      <c r="L177" s="13"/>
      <c r="M177" s="15" t="str">
        <f>IFERROR(__xludf.DUMMYFUNCTION("""COMPUTED_VALUE"""),"online casino games sign up bonus")</f>
        <v>online casino games sign up bonus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9"/>
      <c r="J178" s="13"/>
      <c r="K178" s="13"/>
      <c r="L178" s="13"/>
      <c r="M178" s="15" t="str">
        <f>IFERROR(__xludf.DUMMYFUNCTION("""COMPUTED_VALUE"""),"casino app sign up bonus")</f>
        <v>casino app sign up bonus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9"/>
      <c r="J179" s="13"/>
      <c r="K179" s="13"/>
      <c r="L179" s="13"/>
      <c r="M179" s="15" t="str">
        <f>IFERROR(__xludf.DUMMYFUNCTION("""COMPUTED_VALUE"""),"gambling site sign up bonus")</f>
        <v>gambling site sign up bonus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9"/>
      <c r="J180" s="13"/>
      <c r="K180" s="13"/>
      <c r="L180" s="13"/>
      <c r="M180" s="15" t="str">
        <f>IFERROR(__xludf.DUMMYFUNCTION("""COMPUTED_VALUE"""),"online gambling sign up bonus")</f>
        <v>online gambling sign up bonus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9"/>
      <c r="J181" s="13"/>
      <c r="K181" s="13"/>
      <c r="L181" s="13"/>
      <c r="M181" s="15" t="str">
        <f>IFERROR(__xludf.DUMMYFUNCTION("""COMPUTED_VALUE"""),"live casino sign up bonus")</f>
        <v>live casino sign up bonus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9"/>
      <c r="J182" s="13"/>
      <c r="K182" s="13"/>
      <c r="L182" s="13"/>
      <c r="M182" s="15" t="str">
        <f>IFERROR(__xludf.DUMMYFUNCTION("""COMPUTED_VALUE"""),"real money casino sign up bonus")</f>
        <v>real money casino sign up bonus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9"/>
      <c r="J183" s="13"/>
      <c r="K183" s="13"/>
      <c r="L183" s="13"/>
      <c r="M183" s="15" t="str">
        <f>IFERROR(__xludf.DUMMYFUNCTION("""COMPUTED_VALUE"""),"online casino no deposit bonus")</f>
        <v>online casino no deposit bonus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9"/>
      <c r="J184" s="13"/>
      <c r="K184" s="13"/>
      <c r="L184" s="13"/>
      <c r="M184" s="15" t="str">
        <f>IFERROR(__xludf.DUMMYFUNCTION("""COMPUTED_VALUE"""),"casino online no deposit bonus")</f>
        <v>casino online no deposit bonus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9"/>
      <c r="J185" s="13"/>
      <c r="K185" s="13"/>
      <c r="L185" s="13"/>
      <c r="M185" s="15" t="str">
        <f>IFERROR(__xludf.DUMMYFUNCTION("""COMPUTED_VALUE"""),"online casinos no deposit bonus")</f>
        <v>online casinos no deposit bonus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9"/>
      <c r="J186" s="13"/>
      <c r="K186" s="13"/>
      <c r="L186" s="13"/>
      <c r="M186" s="15" t="str">
        <f>IFERROR(__xludf.DUMMYFUNCTION("""COMPUTED_VALUE"""),"casino games no deposit bonus")</f>
        <v>casino games no deposit bonus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9"/>
      <c r="J187" s="13"/>
      <c r="K187" s="13"/>
      <c r="L187" s="13"/>
      <c r="M187" s="15" t="str">
        <f>IFERROR(__xludf.DUMMYFUNCTION("""COMPUTED_VALUE"""),"online casino games no deposit bonus")</f>
        <v>online casino games no deposit bonus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9"/>
      <c r="J188" s="13"/>
      <c r="K188" s="13"/>
      <c r="L188" s="13"/>
      <c r="M188" s="15" t="str">
        <f>IFERROR(__xludf.DUMMYFUNCTION("""COMPUTED_VALUE"""),"casino app no deposit bonus")</f>
        <v>casino app no deposit bonus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9"/>
      <c r="J189" s="13"/>
      <c r="K189" s="13"/>
      <c r="L189" s="13"/>
      <c r="M189" s="15" t="str">
        <f>IFERROR(__xludf.DUMMYFUNCTION("""COMPUTED_VALUE"""),"gambling site no deposit bonus")</f>
        <v>gambling site no deposit bonus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9"/>
      <c r="J190" s="13"/>
      <c r="K190" s="13"/>
      <c r="L190" s="13"/>
      <c r="M190" s="15" t="str">
        <f>IFERROR(__xludf.DUMMYFUNCTION("""COMPUTED_VALUE"""),"online gambling no deposit bonus")</f>
        <v>online gambling no deposit bonus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9"/>
      <c r="J191" s="13"/>
      <c r="K191" s="13"/>
      <c r="L191" s="13"/>
      <c r="M191" s="15" t="str">
        <f>IFERROR(__xludf.DUMMYFUNCTION("""COMPUTED_VALUE"""),"live casino no deposit bonus")</f>
        <v>live casino no deposit bonus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9"/>
      <c r="J192" s="13"/>
      <c r="K192" s="13"/>
      <c r="L192" s="13"/>
      <c r="M192" s="15" t="str">
        <f>IFERROR(__xludf.DUMMYFUNCTION("""COMPUTED_VALUE"""),"real money casino no deposit bonus")</f>
        <v>real money casino no deposit bonus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9"/>
      <c r="J193" s="13"/>
      <c r="K193" s="13"/>
      <c r="L193" s="13"/>
      <c r="M193" s="15" t="str">
        <f>IFERROR(__xludf.DUMMYFUNCTION("""COMPUTED_VALUE"""),"online casino instant withdrawal")</f>
        <v>online casino instant withdrawal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9"/>
      <c r="J194" s="13"/>
      <c r="K194" s="13"/>
      <c r="L194" s="13"/>
      <c r="M194" s="15" t="str">
        <f>IFERROR(__xludf.DUMMYFUNCTION("""COMPUTED_VALUE"""),"casino online instant withdrawal")</f>
        <v>casino online instant withdrawal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9"/>
      <c r="J195" s="13"/>
      <c r="K195" s="13"/>
      <c r="L195" s="13"/>
      <c r="M195" s="15" t="str">
        <f>IFERROR(__xludf.DUMMYFUNCTION("""COMPUTED_VALUE"""),"online casinos instant withdrawal")</f>
        <v>online casinos instant withdrawal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9"/>
      <c r="J196" s="13"/>
      <c r="K196" s="13"/>
      <c r="L196" s="13"/>
      <c r="M196" s="15" t="str">
        <f>IFERROR(__xludf.DUMMYFUNCTION("""COMPUTED_VALUE"""),"casino games instant withdrawal")</f>
        <v>casino games instant withdrawal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9"/>
      <c r="J197" s="13"/>
      <c r="K197" s="13"/>
      <c r="L197" s="13"/>
      <c r="M197" s="15" t="str">
        <f>IFERROR(__xludf.DUMMYFUNCTION("""COMPUTED_VALUE"""),"online casino games instant withdrawal")</f>
        <v>online casino games instant withdrawal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9"/>
      <c r="J198" s="13"/>
      <c r="K198" s="13"/>
      <c r="L198" s="13"/>
      <c r="M198" s="15" t="str">
        <f>IFERROR(__xludf.DUMMYFUNCTION("""COMPUTED_VALUE"""),"casino app instant withdrawal")</f>
        <v>casino app instant withdrawal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9"/>
      <c r="J199" s="13"/>
      <c r="K199" s="13"/>
      <c r="L199" s="13"/>
      <c r="M199" s="15" t="str">
        <f>IFERROR(__xludf.DUMMYFUNCTION("""COMPUTED_VALUE"""),"gambling site instant withdrawal")</f>
        <v>gambling site instant withdrawal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9"/>
      <c r="J200" s="13"/>
      <c r="K200" s="13"/>
      <c r="L200" s="13"/>
      <c r="M200" s="15" t="str">
        <f>IFERROR(__xludf.DUMMYFUNCTION("""COMPUTED_VALUE"""),"online gambling instant withdrawal")</f>
        <v>online gambling instant withdrawal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9"/>
      <c r="J201" s="13"/>
      <c r="K201" s="13"/>
      <c r="L201" s="13"/>
      <c r="M201" s="15" t="str">
        <f>IFERROR(__xludf.DUMMYFUNCTION("""COMPUTED_VALUE"""),"live casino instant withdrawal")</f>
        <v>live casino instant withdrawal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9"/>
      <c r="J202" s="13"/>
      <c r="K202" s="13"/>
      <c r="L202" s="13"/>
      <c r="M202" s="15" t="str">
        <f>IFERROR(__xludf.DUMMYFUNCTION("""COMPUTED_VALUE"""),"real money casino instant withdrawal")</f>
        <v>real money casino instant withdrawal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9"/>
      <c r="J203" s="13"/>
      <c r="K203" s="13"/>
      <c r="L203" s="13"/>
      <c r="M203" s="15" t="str">
        <f>IFERROR(__xludf.DUMMYFUNCTION("""COMPUTED_VALUE"""),"online casino deposit")</f>
        <v>online casino deposit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9"/>
      <c r="J204" s="13"/>
      <c r="K204" s="13"/>
      <c r="L204" s="13"/>
      <c r="M204" s="15" t="str">
        <f>IFERROR(__xludf.DUMMYFUNCTION("""COMPUTED_VALUE"""),"casino online deposit")</f>
        <v>casino online deposit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9"/>
      <c r="J205" s="13"/>
      <c r="K205" s="13"/>
      <c r="L205" s="13"/>
      <c r="M205" s="15" t="str">
        <f>IFERROR(__xludf.DUMMYFUNCTION("""COMPUTED_VALUE"""),"online casinos deposit")</f>
        <v>online casinos deposit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9"/>
      <c r="J206" s="13"/>
      <c r="K206" s="13"/>
      <c r="L206" s="13"/>
      <c r="M206" s="15" t="str">
        <f>IFERROR(__xludf.DUMMYFUNCTION("""COMPUTED_VALUE"""),"casino games deposit")</f>
        <v>casino games deposit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9"/>
      <c r="J207" s="13"/>
      <c r="K207" s="13"/>
      <c r="L207" s="13"/>
      <c r="M207" s="15" t="str">
        <f>IFERROR(__xludf.DUMMYFUNCTION("""COMPUTED_VALUE"""),"online casino games deposit")</f>
        <v>online casino games deposit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9"/>
      <c r="J208" s="13"/>
      <c r="K208" s="13"/>
      <c r="L208" s="13"/>
      <c r="M208" s="15" t="str">
        <f>IFERROR(__xludf.DUMMYFUNCTION("""COMPUTED_VALUE"""),"casino app deposit")</f>
        <v>casino app deposit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9"/>
      <c r="J209" s="13"/>
      <c r="K209" s="13"/>
      <c r="L209" s="13"/>
      <c r="M209" s="15" t="str">
        <f>IFERROR(__xludf.DUMMYFUNCTION("""COMPUTED_VALUE"""),"gambling site deposit")</f>
        <v>gambling site deposit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9"/>
      <c r="J210" s="13"/>
      <c r="K210" s="13"/>
      <c r="L210" s="13"/>
      <c r="M210" s="15" t="str">
        <f>IFERROR(__xludf.DUMMYFUNCTION("""COMPUTED_VALUE"""),"online gambling deposit")</f>
        <v>online gambling deposit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9"/>
      <c r="J211" s="13"/>
      <c r="K211" s="13"/>
      <c r="L211" s="13"/>
      <c r="M211" s="15" t="str">
        <f>IFERROR(__xludf.DUMMYFUNCTION("""COMPUTED_VALUE"""),"live casino deposit")</f>
        <v>live casino deposit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9"/>
      <c r="J212" s="13"/>
      <c r="K212" s="13"/>
      <c r="L212" s="13"/>
      <c r="M212" s="15" t="str">
        <f>IFERROR(__xludf.DUMMYFUNCTION("""COMPUTED_VALUE"""),"real money casino deposit")</f>
        <v>real money casino deposit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9"/>
      <c r="J213" s="13"/>
      <c r="K213" s="13"/>
      <c r="L213" s="13"/>
      <c r="M213" s="15" t="str">
        <f>IFERROR(__xludf.DUMMYFUNCTION("""COMPUTED_VALUE"""),"online casino withdrawal")</f>
        <v>online casino withdrawal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9"/>
      <c r="J214" s="13"/>
      <c r="K214" s="13"/>
      <c r="L214" s="13"/>
      <c r="M214" s="15" t="str">
        <f>IFERROR(__xludf.DUMMYFUNCTION("""COMPUTED_VALUE"""),"casino online withdrawal")</f>
        <v>casino online withdrawal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9"/>
      <c r="J215" s="13"/>
      <c r="K215" s="13"/>
      <c r="L215" s="13"/>
      <c r="M215" s="15" t="str">
        <f>IFERROR(__xludf.DUMMYFUNCTION("""COMPUTED_VALUE"""),"online casinos withdrawal")</f>
        <v>online casinos withdrawal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9"/>
      <c r="J216" s="13"/>
      <c r="K216" s="13"/>
      <c r="L216" s="13"/>
      <c r="M216" s="15" t="str">
        <f>IFERROR(__xludf.DUMMYFUNCTION("""COMPUTED_VALUE"""),"casino games withdrawal")</f>
        <v>casino games withdrawal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9"/>
      <c r="J217" s="13"/>
      <c r="K217" s="13"/>
      <c r="L217" s="13"/>
      <c r="M217" s="15" t="str">
        <f>IFERROR(__xludf.DUMMYFUNCTION("""COMPUTED_VALUE"""),"online casino games withdrawal")</f>
        <v>online casino games withdrawal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9"/>
      <c r="J218" s="13"/>
      <c r="K218" s="13"/>
      <c r="L218" s="13"/>
      <c r="M218" s="15" t="str">
        <f>IFERROR(__xludf.DUMMYFUNCTION("""COMPUTED_VALUE"""),"casino app withdrawal")</f>
        <v>casino app withdrawal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9"/>
      <c r="J219" s="13"/>
      <c r="K219" s="13"/>
      <c r="L219" s="13"/>
      <c r="M219" s="15" t="str">
        <f>IFERROR(__xludf.DUMMYFUNCTION("""COMPUTED_VALUE"""),"gambling site withdrawal")</f>
        <v>gambling site withdrawal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9"/>
      <c r="J220" s="13"/>
      <c r="K220" s="13"/>
      <c r="L220" s="13"/>
      <c r="M220" s="15" t="str">
        <f>IFERROR(__xludf.DUMMYFUNCTION("""COMPUTED_VALUE"""),"online gambling withdrawal")</f>
        <v>online gambling withdrawal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9"/>
      <c r="J221" s="13"/>
      <c r="K221" s="13"/>
      <c r="L221" s="13"/>
      <c r="M221" s="15" t="str">
        <f>IFERROR(__xludf.DUMMYFUNCTION("""COMPUTED_VALUE"""),"live casino withdrawal")</f>
        <v>live casino withdrawal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9"/>
      <c r="J222" s="13"/>
      <c r="K222" s="13"/>
      <c r="L222" s="13"/>
      <c r="M222" s="15" t="str">
        <f>IFERROR(__xludf.DUMMYFUNCTION("""COMPUTED_VALUE"""),"real money casino withdrawal")</f>
        <v>real money casino withdrawal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9"/>
      <c r="J223" s="13"/>
      <c r="K223" s="13"/>
      <c r="L223" s="13"/>
      <c r="M223" s="15" t="str">
        <f>IFERROR(__xludf.DUMMYFUNCTION("""COMPUTED_VALUE"""),"online casino login")</f>
        <v>online casino login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9"/>
      <c r="J224" s="13"/>
      <c r="K224" s="13"/>
      <c r="L224" s="13"/>
      <c r="M224" s="15" t="str">
        <f>IFERROR(__xludf.DUMMYFUNCTION("""COMPUTED_VALUE"""),"casino online login")</f>
        <v>casino online login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9"/>
      <c r="J225" s="13"/>
      <c r="K225" s="13"/>
      <c r="L225" s="13"/>
      <c r="M225" s="15" t="str">
        <f>IFERROR(__xludf.DUMMYFUNCTION("""COMPUTED_VALUE"""),"online casinos login")</f>
        <v>online casinos login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9"/>
      <c r="J226" s="13"/>
      <c r="K226" s="13"/>
      <c r="L226" s="13"/>
      <c r="M226" s="15" t="str">
        <f>IFERROR(__xludf.DUMMYFUNCTION("""COMPUTED_VALUE"""),"casino games login")</f>
        <v>casino games login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9"/>
      <c r="J227" s="13"/>
      <c r="K227" s="13"/>
      <c r="L227" s="13"/>
      <c r="M227" s="15" t="str">
        <f>IFERROR(__xludf.DUMMYFUNCTION("""COMPUTED_VALUE"""),"online casino games login")</f>
        <v>online casino games login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9"/>
      <c r="J228" s="13"/>
      <c r="K228" s="13"/>
      <c r="L228" s="13"/>
      <c r="M228" s="15" t="str">
        <f>IFERROR(__xludf.DUMMYFUNCTION("""COMPUTED_VALUE"""),"casino app login")</f>
        <v>casino app login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9"/>
      <c r="J229" s="13"/>
      <c r="K229" s="13"/>
      <c r="L229" s="13"/>
      <c r="M229" s="15" t="str">
        <f>IFERROR(__xludf.DUMMYFUNCTION("""COMPUTED_VALUE"""),"gambling site login")</f>
        <v>gambling site login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9"/>
      <c r="J230" s="13"/>
      <c r="K230" s="13"/>
      <c r="L230" s="13"/>
      <c r="M230" s="15" t="str">
        <f>IFERROR(__xludf.DUMMYFUNCTION("""COMPUTED_VALUE"""),"online gambling login")</f>
        <v>online gambling login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9"/>
      <c r="J231" s="13"/>
      <c r="K231" s="13"/>
      <c r="L231" s="13"/>
      <c r="M231" s="15" t="str">
        <f>IFERROR(__xludf.DUMMYFUNCTION("""COMPUTED_VALUE"""),"live casino login")</f>
        <v>live casino login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9"/>
      <c r="J232" s="13"/>
      <c r="K232" s="13"/>
      <c r="L232" s="13"/>
      <c r="M232" s="15" t="str">
        <f>IFERROR(__xludf.DUMMYFUNCTION("""COMPUTED_VALUE"""),"real money casino login")</f>
        <v>real money casino login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9"/>
      <c r="J233" s="13"/>
      <c r="K233" s="13"/>
      <c r="L233" s="13"/>
      <c r="M233" s="15" t="str">
        <f>IFERROR(__xludf.DUMMYFUNCTION("""COMPUTED_VALUE"""),"online casino review")</f>
        <v>online casino review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9"/>
      <c r="J234" s="13"/>
      <c r="K234" s="13"/>
      <c r="L234" s="13"/>
      <c r="M234" s="15" t="str">
        <f>IFERROR(__xludf.DUMMYFUNCTION("""COMPUTED_VALUE"""),"casino online review")</f>
        <v>casino online review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9"/>
      <c r="J235" s="13"/>
      <c r="K235" s="13"/>
      <c r="L235" s="13"/>
      <c r="M235" s="15" t="str">
        <f>IFERROR(__xludf.DUMMYFUNCTION("""COMPUTED_VALUE"""),"online casinos review")</f>
        <v>online casinos review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9"/>
      <c r="J236" s="13"/>
      <c r="K236" s="13"/>
      <c r="L236" s="13"/>
      <c r="M236" s="15" t="str">
        <f>IFERROR(__xludf.DUMMYFUNCTION("""COMPUTED_VALUE"""),"casino games review")</f>
        <v>casino games review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9"/>
      <c r="J237" s="13"/>
      <c r="K237" s="13"/>
      <c r="L237" s="13"/>
      <c r="M237" s="15" t="str">
        <f>IFERROR(__xludf.DUMMYFUNCTION("""COMPUTED_VALUE"""),"online casino games review")</f>
        <v>online casino games review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9"/>
      <c r="J238" s="13"/>
      <c r="K238" s="13"/>
      <c r="L238" s="13"/>
      <c r="M238" s="15" t="str">
        <f>IFERROR(__xludf.DUMMYFUNCTION("""COMPUTED_VALUE"""),"casino app review")</f>
        <v>casino app review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9"/>
      <c r="J239" s="13"/>
      <c r="K239" s="13"/>
      <c r="L239" s="13"/>
      <c r="M239" s="15" t="str">
        <f>IFERROR(__xludf.DUMMYFUNCTION("""COMPUTED_VALUE"""),"gambling site review")</f>
        <v>gambling site review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9"/>
      <c r="J240" s="13"/>
      <c r="K240" s="13"/>
      <c r="L240" s="13"/>
      <c r="M240" s="15" t="str">
        <f>IFERROR(__xludf.DUMMYFUNCTION("""COMPUTED_VALUE"""),"online gambling review")</f>
        <v>online gambling review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9"/>
      <c r="J241" s="13"/>
      <c r="K241" s="13"/>
      <c r="L241" s="13"/>
      <c r="M241" s="15" t="str">
        <f>IFERROR(__xludf.DUMMYFUNCTION("""COMPUTED_VALUE"""),"live casino review")</f>
        <v>live casino review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9"/>
      <c r="J242" s="13"/>
      <c r="K242" s="13"/>
      <c r="L242" s="13"/>
      <c r="M242" s="15" t="str">
        <f>IFERROR(__xludf.DUMMYFUNCTION("""COMPUTED_VALUE"""),"real money casino review")</f>
        <v>real money casino review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9"/>
      <c r="J243" s="13"/>
      <c r="K243" s="13"/>
      <c r="L243" s="13"/>
      <c r="M243" s="15" t="str">
        <f>IFERROR(__xludf.DUMMYFUNCTION("""COMPUTED_VALUE"""),"online casino reviews")</f>
        <v>online casino reviews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9"/>
      <c r="J244" s="13"/>
      <c r="K244" s="13"/>
      <c r="L244" s="13"/>
      <c r="M244" s="15" t="str">
        <f>IFERROR(__xludf.DUMMYFUNCTION("""COMPUTED_VALUE"""),"casino online reviews")</f>
        <v>casino online reviews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9"/>
      <c r="J245" s="13"/>
      <c r="K245" s="13"/>
      <c r="L245" s="13"/>
      <c r="M245" s="15" t="str">
        <f>IFERROR(__xludf.DUMMYFUNCTION("""COMPUTED_VALUE"""),"online casinos reviews")</f>
        <v>online casinos reviews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9"/>
      <c r="J246" s="13"/>
      <c r="K246" s="13"/>
      <c r="L246" s="13"/>
      <c r="M246" s="15" t="str">
        <f>IFERROR(__xludf.DUMMYFUNCTION("""COMPUTED_VALUE"""),"casino games reviews")</f>
        <v>casino games reviews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9"/>
      <c r="J247" s="13"/>
      <c r="K247" s="13"/>
      <c r="L247" s="13"/>
      <c r="M247" s="15" t="str">
        <f>IFERROR(__xludf.DUMMYFUNCTION("""COMPUTED_VALUE"""),"online casino games reviews")</f>
        <v>online casino games reviews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9"/>
      <c r="J248" s="13"/>
      <c r="K248" s="13"/>
      <c r="L248" s="13"/>
      <c r="M248" s="15" t="str">
        <f>IFERROR(__xludf.DUMMYFUNCTION("""COMPUTED_VALUE"""),"casino app reviews")</f>
        <v>casino app reviews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9"/>
      <c r="J249" s="13"/>
      <c r="K249" s="13"/>
      <c r="L249" s="13"/>
      <c r="M249" s="15" t="str">
        <f>IFERROR(__xludf.DUMMYFUNCTION("""COMPUTED_VALUE"""),"gambling site reviews")</f>
        <v>gambling site reviews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9"/>
      <c r="J250" s="13"/>
      <c r="K250" s="13"/>
      <c r="L250" s="13"/>
      <c r="M250" s="15" t="str">
        <f>IFERROR(__xludf.DUMMYFUNCTION("""COMPUTED_VALUE"""),"online gambling reviews")</f>
        <v>online gambling reviews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9"/>
      <c r="J251" s="13"/>
      <c r="K251" s="13"/>
      <c r="L251" s="13"/>
      <c r="M251" s="15" t="str">
        <f>IFERROR(__xludf.DUMMYFUNCTION("""COMPUTED_VALUE"""),"live casino reviews")</f>
        <v>live casino reviews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9"/>
      <c r="J252" s="13"/>
      <c r="K252" s="13"/>
      <c r="L252" s="13"/>
      <c r="M252" s="15" t="str">
        <f>IFERROR(__xludf.DUMMYFUNCTION("""COMPUTED_VALUE"""),"real money casino reviews")</f>
        <v>real money casino reviews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9"/>
      <c r="J253" s="13"/>
      <c r="K253" s="13"/>
      <c r="L253" s="13"/>
      <c r="M253" s="15" t="str">
        <f>IFERROR(__xludf.DUMMYFUNCTION("""COMPUTED_VALUE"""),"online casino near me")</f>
        <v>online casino near me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9"/>
      <c r="J254" s="13"/>
      <c r="K254" s="13"/>
      <c r="L254" s="13"/>
      <c r="M254" s="15" t="str">
        <f>IFERROR(__xludf.DUMMYFUNCTION("""COMPUTED_VALUE"""),"casino online near me")</f>
        <v>casino online near me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9"/>
      <c r="J255" s="13"/>
      <c r="K255" s="13"/>
      <c r="L255" s="13"/>
      <c r="M255" s="15" t="str">
        <f>IFERROR(__xludf.DUMMYFUNCTION("""COMPUTED_VALUE"""),"online casinos near me")</f>
        <v>online casinos near me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9"/>
      <c r="J256" s="13"/>
      <c r="K256" s="13"/>
      <c r="L256" s="13"/>
      <c r="M256" s="15" t="str">
        <f>IFERROR(__xludf.DUMMYFUNCTION("""COMPUTED_VALUE"""),"casino games near me")</f>
        <v>casino games near me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9"/>
      <c r="J257" s="13"/>
      <c r="K257" s="13"/>
      <c r="L257" s="13"/>
      <c r="M257" s="15" t="str">
        <f>IFERROR(__xludf.DUMMYFUNCTION("""COMPUTED_VALUE"""),"online casino games near me")</f>
        <v>online casino games near me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9"/>
      <c r="J258" s="13"/>
      <c r="K258" s="13"/>
      <c r="L258" s="13"/>
      <c r="M258" s="15" t="str">
        <f>IFERROR(__xludf.DUMMYFUNCTION("""COMPUTED_VALUE"""),"casino app near me")</f>
        <v>casino app near me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9"/>
      <c r="J259" s="13"/>
      <c r="K259" s="13"/>
      <c r="L259" s="13"/>
      <c r="M259" s="15" t="str">
        <f>IFERROR(__xludf.DUMMYFUNCTION("""COMPUTED_VALUE"""),"gambling site near me")</f>
        <v>gambling site near me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9"/>
      <c r="J260" s="13"/>
      <c r="K260" s="13"/>
      <c r="L260" s="13"/>
      <c r="M260" s="15" t="str">
        <f>IFERROR(__xludf.DUMMYFUNCTION("""COMPUTED_VALUE"""),"online gambling near me")</f>
        <v>online gambling near me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9"/>
      <c r="J261" s="13"/>
      <c r="K261" s="13"/>
      <c r="L261" s="13"/>
      <c r="M261" s="15" t="str">
        <f>IFERROR(__xludf.DUMMYFUNCTION("""COMPUTED_VALUE"""),"live casino near me")</f>
        <v>live casino near me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9"/>
      <c r="J262" s="13"/>
      <c r="K262" s="13"/>
      <c r="L262" s="13"/>
      <c r="M262" s="15" t="str">
        <f>IFERROR(__xludf.DUMMYFUNCTION("""COMPUTED_VALUE"""),"real money casino near me")</f>
        <v>real money casino near me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9"/>
      <c r="J263" s="13"/>
      <c r="K263" s="13"/>
      <c r="L263" s="13"/>
      <c r="M263" s="15" t="str">
        <f>IFERROR(__xludf.DUMMYFUNCTION("""COMPUTED_VALUE"""),"online casino nassau")</f>
        <v>online casino nassau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9"/>
      <c r="J264" s="13"/>
      <c r="K264" s="13"/>
      <c r="L264" s="13"/>
      <c r="M264" s="15" t="str">
        <f>IFERROR(__xludf.DUMMYFUNCTION("""COMPUTED_VALUE"""),"casino online nassau")</f>
        <v>casino online nassau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9"/>
      <c r="J265" s="13"/>
      <c r="K265" s="13"/>
      <c r="L265" s="13"/>
      <c r="M265" s="15" t="str">
        <f>IFERROR(__xludf.DUMMYFUNCTION("""COMPUTED_VALUE"""),"online casinos nassau")</f>
        <v>online casinos nassau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9"/>
      <c r="J266" s="13"/>
      <c r="K266" s="13"/>
      <c r="L266" s="13"/>
      <c r="M266" s="15" t="str">
        <f>IFERROR(__xludf.DUMMYFUNCTION("""COMPUTED_VALUE"""),"casino games nassau")</f>
        <v>casino games nassau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9"/>
      <c r="J267" s="13"/>
      <c r="K267" s="13"/>
      <c r="L267" s="13"/>
      <c r="M267" s="15" t="str">
        <f>IFERROR(__xludf.DUMMYFUNCTION("""COMPUTED_VALUE"""),"online casino games nassau")</f>
        <v>online casino games nassau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9"/>
      <c r="J268" s="13"/>
      <c r="K268" s="13"/>
      <c r="L268" s="13"/>
      <c r="M268" s="15" t="str">
        <f>IFERROR(__xludf.DUMMYFUNCTION("""COMPUTED_VALUE"""),"casino app nassau")</f>
        <v>casino app nassau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9"/>
      <c r="J269" s="13"/>
      <c r="K269" s="13"/>
      <c r="L269" s="13"/>
      <c r="M269" s="15" t="str">
        <f>IFERROR(__xludf.DUMMYFUNCTION("""COMPUTED_VALUE"""),"gambling site nassau")</f>
        <v>gambling site nassau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9"/>
      <c r="J270" s="13"/>
      <c r="K270" s="13"/>
      <c r="L270" s="13"/>
      <c r="M270" s="15" t="str">
        <f>IFERROR(__xludf.DUMMYFUNCTION("""COMPUTED_VALUE"""),"online gambling nassau")</f>
        <v>online gambling nassau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9"/>
      <c r="J271" s="13"/>
      <c r="K271" s="13"/>
      <c r="L271" s="13"/>
      <c r="M271" s="15" t="str">
        <f>IFERROR(__xludf.DUMMYFUNCTION("""COMPUTED_VALUE"""),"live casino nassau")</f>
        <v>live casino nassau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9"/>
      <c r="J272" s="13"/>
      <c r="K272" s="13"/>
      <c r="L272" s="13"/>
      <c r="M272" s="15" t="str">
        <f>IFERROR(__xludf.DUMMYFUNCTION("""COMPUTED_VALUE"""),"real money casino nassau")</f>
        <v>real money casino nassau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9"/>
      <c r="J273" s="13"/>
      <c r="K273" s="13"/>
      <c r="L273" s="13"/>
      <c r="M273" s="15" t="str">
        <f>IFERROR(__xludf.DUMMYFUNCTION("""COMPUTED_VALUE"""),"online casino freeport")</f>
        <v>online casino freeport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9"/>
      <c r="J274" s="13"/>
      <c r="K274" s="13"/>
      <c r="L274" s="13"/>
      <c r="M274" s="15" t="str">
        <f>IFERROR(__xludf.DUMMYFUNCTION("""COMPUTED_VALUE"""),"casino online freeport")</f>
        <v>casino online freeport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9"/>
      <c r="J275" s="13"/>
      <c r="K275" s="13"/>
      <c r="L275" s="13"/>
      <c r="M275" s="15" t="str">
        <f>IFERROR(__xludf.DUMMYFUNCTION("""COMPUTED_VALUE"""),"online casinos freeport")</f>
        <v>online casinos freeport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9"/>
      <c r="J276" s="13"/>
      <c r="K276" s="13"/>
      <c r="L276" s="13"/>
      <c r="M276" s="15" t="str">
        <f>IFERROR(__xludf.DUMMYFUNCTION("""COMPUTED_VALUE"""),"casino games freeport")</f>
        <v>casino games freeport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9"/>
      <c r="J277" s="13"/>
      <c r="K277" s="13"/>
      <c r="L277" s="13"/>
      <c r="M277" s="15" t="str">
        <f>IFERROR(__xludf.DUMMYFUNCTION("""COMPUTED_VALUE"""),"online casino games freeport")</f>
        <v>online casino games freeport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9"/>
      <c r="J278" s="13"/>
      <c r="K278" s="13"/>
      <c r="L278" s="13"/>
      <c r="M278" s="15" t="str">
        <f>IFERROR(__xludf.DUMMYFUNCTION("""COMPUTED_VALUE"""),"casino app freeport")</f>
        <v>casino app freeport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9"/>
      <c r="J279" s="13"/>
      <c r="K279" s="13"/>
      <c r="L279" s="13"/>
      <c r="M279" s="15" t="str">
        <f>IFERROR(__xludf.DUMMYFUNCTION("""COMPUTED_VALUE"""),"gambling site freeport")</f>
        <v>gambling site freeport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9"/>
      <c r="J280" s="13"/>
      <c r="K280" s="13"/>
      <c r="L280" s="13"/>
      <c r="M280" s="15" t="str">
        <f>IFERROR(__xludf.DUMMYFUNCTION("""COMPUTED_VALUE"""),"online gambling freeport")</f>
        <v>online gambling freeport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9"/>
      <c r="J281" s="13"/>
      <c r="K281" s="13"/>
      <c r="L281" s="13"/>
      <c r="M281" s="15" t="str">
        <f>IFERROR(__xludf.DUMMYFUNCTION("""COMPUTED_VALUE"""),"live casino freeport")</f>
        <v>live casino freeport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9"/>
      <c r="J282" s="13"/>
      <c r="K282" s="13"/>
      <c r="L282" s="13"/>
      <c r="M282" s="15" t="str">
        <f>IFERROR(__xludf.DUMMYFUNCTION("""COMPUTED_VALUE"""),"real money casino freeport")</f>
        <v>real money casino freeport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9"/>
      <c r="J283" s="13"/>
      <c r="K283" s="13"/>
      <c r="L283" s="13"/>
      <c r="M283" s="15" t="str">
        <f>IFERROR(__xludf.DUMMYFUNCTION("""COMPUTED_VALUE"""),"online casino paradise games")</f>
        <v>online casino paradise games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9"/>
      <c r="J284" s="13"/>
      <c r="K284" s="13"/>
      <c r="L284" s="13"/>
      <c r="M284" s="15" t="str">
        <f>IFERROR(__xludf.DUMMYFUNCTION("""COMPUTED_VALUE"""),"casino online paradise games")</f>
        <v>casino online paradise games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9"/>
      <c r="J285" s="13"/>
      <c r="K285" s="13"/>
      <c r="L285" s="13"/>
      <c r="M285" s="15" t="str">
        <f>IFERROR(__xludf.DUMMYFUNCTION("""COMPUTED_VALUE"""),"online casinos paradise games")</f>
        <v>online casinos paradise games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9"/>
      <c r="J286" s="13"/>
      <c r="K286" s="13"/>
      <c r="L286" s="13"/>
      <c r="M286" s="15" t="str">
        <f>IFERROR(__xludf.DUMMYFUNCTION("""COMPUTED_VALUE"""),"casino games paradise games")</f>
        <v>casino games paradise games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9"/>
      <c r="J287" s="13"/>
      <c r="K287" s="13"/>
      <c r="L287" s="13"/>
      <c r="M287" s="15" t="str">
        <f>IFERROR(__xludf.DUMMYFUNCTION("""COMPUTED_VALUE"""),"online casino games paradise games")</f>
        <v>online casino games paradise games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9"/>
      <c r="J288" s="13"/>
      <c r="K288" s="13"/>
      <c r="L288" s="13"/>
      <c r="M288" s="15" t="str">
        <f>IFERROR(__xludf.DUMMYFUNCTION("""COMPUTED_VALUE"""),"casino app paradise games")</f>
        <v>casino app paradise games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9"/>
      <c r="J289" s="13"/>
      <c r="K289" s="13"/>
      <c r="L289" s="13"/>
      <c r="M289" s="15" t="str">
        <f>IFERROR(__xludf.DUMMYFUNCTION("""COMPUTED_VALUE"""),"gambling site paradise games")</f>
        <v>gambling site paradise games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9"/>
      <c r="J290" s="13"/>
      <c r="K290" s="13"/>
      <c r="L290" s="13"/>
      <c r="M290" s="15" t="str">
        <f>IFERROR(__xludf.DUMMYFUNCTION("""COMPUTED_VALUE"""),"online gambling paradise games")</f>
        <v>online gambling paradise games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9"/>
      <c r="J291" s="13"/>
      <c r="K291" s="13"/>
      <c r="L291" s="13"/>
      <c r="M291" s="15" t="str">
        <f>IFERROR(__xludf.DUMMYFUNCTION("""COMPUTED_VALUE"""),"live casino paradise games")</f>
        <v>live casino paradise games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9"/>
      <c r="J292" s="13"/>
      <c r="K292" s="13"/>
      <c r="L292" s="13"/>
      <c r="M292" s="15" t="str">
        <f>IFERROR(__xludf.DUMMYFUNCTION("""COMPUTED_VALUE"""),"real money casino paradise games")</f>
        <v>real money casino paradise games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9"/>
      <c r="J293" s="13"/>
      <c r="K293" s="13"/>
      <c r="L293" s="13"/>
      <c r="M293" s="15" t="str">
        <f>IFERROR(__xludf.DUMMYFUNCTION("""COMPUTED_VALUE"""),"online casino island luck")</f>
        <v>online casino island luck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9"/>
      <c r="J294" s="13"/>
      <c r="K294" s="13"/>
      <c r="L294" s="13"/>
      <c r="M294" s="15" t="str">
        <f>IFERROR(__xludf.DUMMYFUNCTION("""COMPUTED_VALUE"""),"casino online island luck")</f>
        <v>casino online island luck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9"/>
      <c r="J295" s="13"/>
      <c r="K295" s="13"/>
      <c r="L295" s="13"/>
      <c r="M295" s="15" t="str">
        <f>IFERROR(__xludf.DUMMYFUNCTION("""COMPUTED_VALUE"""),"online casinos island luck")</f>
        <v>online casinos island luck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9"/>
      <c r="J296" s="13"/>
      <c r="K296" s="13"/>
      <c r="L296" s="13"/>
      <c r="M296" s="15" t="str">
        <f>IFERROR(__xludf.DUMMYFUNCTION("""COMPUTED_VALUE"""),"casino games island luck")</f>
        <v>casino games island luck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9"/>
      <c r="J297" s="13"/>
      <c r="K297" s="13"/>
      <c r="L297" s="13"/>
      <c r="M297" s="15" t="str">
        <f>IFERROR(__xludf.DUMMYFUNCTION("""COMPUTED_VALUE"""),"online casino games island luck")</f>
        <v>online casino games island luck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9"/>
      <c r="J298" s="13"/>
      <c r="K298" s="13"/>
      <c r="L298" s="13"/>
      <c r="M298" s="15" t="str">
        <f>IFERROR(__xludf.DUMMYFUNCTION("""COMPUTED_VALUE"""),"casino app island luck")</f>
        <v>casino app island luck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9"/>
      <c r="J299" s="13"/>
      <c r="K299" s="13"/>
      <c r="L299" s="13"/>
      <c r="M299" s="15" t="str">
        <f>IFERROR(__xludf.DUMMYFUNCTION("""COMPUTED_VALUE"""),"gambling site island luck")</f>
        <v>gambling site island luck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9"/>
      <c r="J300" s="13"/>
      <c r="K300" s="13"/>
      <c r="L300" s="13"/>
      <c r="M300" s="15" t="str">
        <f>IFERROR(__xludf.DUMMYFUNCTION("""COMPUTED_VALUE"""),"online gambling island luck")</f>
        <v>online gambling island luck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9"/>
      <c r="J301" s="13"/>
      <c r="K301" s="13"/>
      <c r="L301" s="13"/>
      <c r="M301" s="15" t="str">
        <f>IFERROR(__xludf.DUMMYFUNCTION("""COMPUTED_VALUE"""),"live casino island luck")</f>
        <v>live casino island luck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9"/>
      <c r="J302" s="13"/>
      <c r="K302" s="13"/>
      <c r="L302" s="13"/>
      <c r="M302" s="15" t="str">
        <f>IFERROR(__xludf.DUMMYFUNCTION("""COMPUTED_VALUE"""),"real money casino island luck")</f>
        <v>real money casino island luck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9"/>
      <c r="J303" s="13"/>
      <c r="K303" s="13"/>
      <c r="L303" s="13"/>
      <c r="M303" s="15" t="str">
        <f>IFERROR(__xludf.DUMMYFUNCTION("""COMPUTED_VALUE"""),"online casino chances")</f>
        <v>online casino chances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9"/>
      <c r="J304" s="13"/>
      <c r="K304" s="13"/>
      <c r="L304" s="13"/>
      <c r="M304" s="15" t="str">
        <f>IFERROR(__xludf.DUMMYFUNCTION("""COMPUTED_VALUE"""),"casino online chances")</f>
        <v>casino online chances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9"/>
      <c r="J305" s="13"/>
      <c r="K305" s="13"/>
      <c r="L305" s="13"/>
      <c r="M305" s="15" t="str">
        <f>IFERROR(__xludf.DUMMYFUNCTION("""COMPUTED_VALUE"""),"online casinos chances")</f>
        <v>online casinos chances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9"/>
      <c r="J306" s="13"/>
      <c r="K306" s="13"/>
      <c r="L306" s="13"/>
      <c r="M306" s="15" t="str">
        <f>IFERROR(__xludf.DUMMYFUNCTION("""COMPUTED_VALUE"""),"casino games chances")</f>
        <v>casino games chances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9"/>
      <c r="J307" s="13"/>
      <c r="K307" s="13"/>
      <c r="L307" s="13"/>
      <c r="M307" s="15" t="str">
        <f>IFERROR(__xludf.DUMMYFUNCTION("""COMPUTED_VALUE"""),"online casino games chances")</f>
        <v>online casino games chances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9"/>
      <c r="J308" s="13"/>
      <c r="K308" s="13"/>
      <c r="L308" s="13"/>
      <c r="M308" s="15" t="str">
        <f>IFERROR(__xludf.DUMMYFUNCTION("""COMPUTED_VALUE"""),"casino app chances")</f>
        <v>casino app chances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9"/>
      <c r="J309" s="13"/>
      <c r="K309" s="13"/>
      <c r="L309" s="13"/>
      <c r="M309" s="15" t="str">
        <f>IFERROR(__xludf.DUMMYFUNCTION("""COMPUTED_VALUE"""),"gambling site chances")</f>
        <v>gambling site chances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9"/>
      <c r="J310" s="13"/>
      <c r="K310" s="13"/>
      <c r="L310" s="13"/>
      <c r="M310" s="15" t="str">
        <f>IFERROR(__xludf.DUMMYFUNCTION("""COMPUTED_VALUE"""),"online gambling chances")</f>
        <v>online gambling chances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9"/>
      <c r="J311" s="13"/>
      <c r="K311" s="13"/>
      <c r="L311" s="13"/>
      <c r="M311" s="15" t="str">
        <f>IFERROR(__xludf.DUMMYFUNCTION("""COMPUTED_VALUE"""),"live casino chances")</f>
        <v>live casino chances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9"/>
      <c r="J312" s="13"/>
      <c r="K312" s="13"/>
      <c r="L312" s="13"/>
      <c r="M312" s="15" t="str">
        <f>IFERROR(__xludf.DUMMYFUNCTION("""COMPUTED_VALUE"""),"real money casino chances")</f>
        <v>real money casino chances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9"/>
      <c r="J313" s="13"/>
      <c r="K313" s="13"/>
      <c r="L313" s="13"/>
      <c r="M313" s="15" t="str">
        <f>IFERROR(__xludf.DUMMYFUNCTION("""COMPUTED_VALUE"""),"online casino ultra games")</f>
        <v>online casino ultra games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9"/>
      <c r="J314" s="13"/>
      <c r="K314" s="13"/>
      <c r="L314" s="13"/>
      <c r="M314" s="15" t="str">
        <f>IFERROR(__xludf.DUMMYFUNCTION("""COMPUTED_VALUE"""),"casino online ultra games")</f>
        <v>casino online ultra games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9"/>
      <c r="J315" s="13"/>
      <c r="K315" s="13"/>
      <c r="L315" s="13"/>
      <c r="M315" s="15" t="str">
        <f>IFERROR(__xludf.DUMMYFUNCTION("""COMPUTED_VALUE"""),"online casinos ultra games")</f>
        <v>online casinos ultra games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9"/>
      <c r="J316" s="13"/>
      <c r="K316" s="13"/>
      <c r="L316" s="13"/>
      <c r="M316" s="15" t="str">
        <f>IFERROR(__xludf.DUMMYFUNCTION("""COMPUTED_VALUE"""),"casino games ultra games")</f>
        <v>casino games ultra games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9"/>
      <c r="J317" s="13"/>
      <c r="K317" s="13"/>
      <c r="L317" s="13"/>
      <c r="M317" s="15" t="str">
        <f>IFERROR(__xludf.DUMMYFUNCTION("""COMPUTED_VALUE"""),"online casino games ultra games")</f>
        <v>online casino games ultra games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9"/>
      <c r="J318" s="13"/>
      <c r="K318" s="13"/>
      <c r="L318" s="13"/>
      <c r="M318" s="15" t="str">
        <f>IFERROR(__xludf.DUMMYFUNCTION("""COMPUTED_VALUE"""),"casino app ultra games")</f>
        <v>casino app ultra games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9"/>
      <c r="J319" s="13"/>
      <c r="K319" s="13"/>
      <c r="L319" s="13"/>
      <c r="M319" s="15" t="str">
        <f>IFERROR(__xludf.DUMMYFUNCTION("""COMPUTED_VALUE"""),"gambling site ultra games")</f>
        <v>gambling site ultra games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9"/>
      <c r="J320" s="13"/>
      <c r="K320" s="13"/>
      <c r="L320" s="13"/>
      <c r="M320" s="15" t="str">
        <f>IFERROR(__xludf.DUMMYFUNCTION("""COMPUTED_VALUE"""),"online gambling ultra games")</f>
        <v>online gambling ultra games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9"/>
      <c r="J321" s="13"/>
      <c r="K321" s="13"/>
      <c r="L321" s="13"/>
      <c r="M321" s="15" t="str">
        <f>IFERROR(__xludf.DUMMYFUNCTION("""COMPUTED_VALUE"""),"live casino ultra games")</f>
        <v>live casino ultra games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9"/>
      <c r="J322" s="13"/>
      <c r="K322" s="13"/>
      <c r="L322" s="13"/>
      <c r="M322" s="15" t="str">
        <f>IFERROR(__xludf.DUMMYFUNCTION("""COMPUTED_VALUE"""),"real money casino ultra games")</f>
        <v>real money casino ultra games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9"/>
      <c r="J323" s="13"/>
      <c r="K323" s="13"/>
      <c r="L323" s="13"/>
      <c r="M323" s="15" t="str">
        <f>IFERROR(__xludf.DUMMYFUNCTION("""COMPUTED_VALUE"""),"online casino blackjack")</f>
        <v>online casino blackjack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9"/>
      <c r="J324" s="13"/>
      <c r="K324" s="13"/>
      <c r="L324" s="13"/>
      <c r="M324" s="15" t="str">
        <f>IFERROR(__xludf.DUMMYFUNCTION("""COMPUTED_VALUE"""),"casino online blackjack")</f>
        <v>casino online blackjack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9"/>
      <c r="J325" s="13"/>
      <c r="K325" s="13"/>
      <c r="L325" s="13"/>
      <c r="M325" s="15" t="str">
        <f>IFERROR(__xludf.DUMMYFUNCTION("""COMPUTED_VALUE"""),"online casinos blackjack")</f>
        <v>online casinos blackjack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9"/>
      <c r="J326" s="13"/>
      <c r="K326" s="13"/>
      <c r="L326" s="13"/>
      <c r="M326" s="15" t="str">
        <f>IFERROR(__xludf.DUMMYFUNCTION("""COMPUTED_VALUE"""),"casino games blackjack")</f>
        <v>casino games blackjack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9"/>
      <c r="J327" s="13"/>
      <c r="K327" s="13"/>
      <c r="L327" s="13"/>
      <c r="M327" s="15" t="str">
        <f>IFERROR(__xludf.DUMMYFUNCTION("""COMPUTED_VALUE"""),"online casino games blackjack")</f>
        <v>online casino games blackjack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9"/>
      <c r="J328" s="13"/>
      <c r="K328" s="13"/>
      <c r="L328" s="13"/>
      <c r="M328" s="15" t="str">
        <f>IFERROR(__xludf.DUMMYFUNCTION("""COMPUTED_VALUE"""),"casino app blackjack")</f>
        <v>casino app blackjack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9"/>
      <c r="J329" s="13"/>
      <c r="K329" s="13"/>
      <c r="L329" s="13"/>
      <c r="M329" s="15" t="str">
        <f>IFERROR(__xludf.DUMMYFUNCTION("""COMPUTED_VALUE"""),"gambling site blackjack")</f>
        <v>gambling site blackjack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9"/>
      <c r="J330" s="13"/>
      <c r="K330" s="13"/>
      <c r="L330" s="13"/>
      <c r="M330" s="15" t="str">
        <f>IFERROR(__xludf.DUMMYFUNCTION("""COMPUTED_VALUE"""),"online gambling blackjack")</f>
        <v>online gambling blackjack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9"/>
      <c r="J331" s="13"/>
      <c r="K331" s="13"/>
      <c r="L331" s="13"/>
      <c r="M331" s="15" t="str">
        <f>IFERROR(__xludf.DUMMYFUNCTION("""COMPUTED_VALUE"""),"live casino blackjack")</f>
        <v>live casino blackjack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9"/>
      <c r="J332" s="13"/>
      <c r="K332" s="13"/>
      <c r="L332" s="13"/>
      <c r="M332" s="15" t="str">
        <f>IFERROR(__xludf.DUMMYFUNCTION("""COMPUTED_VALUE"""),"real money casino blackjack")</f>
        <v>real money casino blackjack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9"/>
      <c r="J333" s="13"/>
      <c r="K333" s="13"/>
      <c r="L333" s="13"/>
      <c r="M333" s="15" t="str">
        <f>IFERROR(__xludf.DUMMYFUNCTION("""COMPUTED_VALUE"""),"online casino roulette")</f>
        <v>online casino roulette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9"/>
      <c r="J334" s="13"/>
      <c r="K334" s="13"/>
      <c r="L334" s="13"/>
      <c r="M334" s="15" t="str">
        <f>IFERROR(__xludf.DUMMYFUNCTION("""COMPUTED_VALUE"""),"casino online roulette")</f>
        <v>casino online roulette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9"/>
      <c r="J335" s="13"/>
      <c r="K335" s="13"/>
      <c r="L335" s="13"/>
      <c r="M335" s="15" t="str">
        <f>IFERROR(__xludf.DUMMYFUNCTION("""COMPUTED_VALUE"""),"online casinos roulette")</f>
        <v>online casinos roulette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9"/>
      <c r="J336" s="13"/>
      <c r="K336" s="13"/>
      <c r="L336" s="13"/>
      <c r="M336" s="15" t="str">
        <f>IFERROR(__xludf.DUMMYFUNCTION("""COMPUTED_VALUE"""),"casino games roulette")</f>
        <v>casino games roulette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9"/>
      <c r="J337" s="13"/>
      <c r="K337" s="13"/>
      <c r="L337" s="13"/>
      <c r="M337" s="15" t="str">
        <f>IFERROR(__xludf.DUMMYFUNCTION("""COMPUTED_VALUE"""),"online casino games roulette")</f>
        <v>online casino games roulette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9"/>
      <c r="J338" s="13"/>
      <c r="K338" s="13"/>
      <c r="L338" s="13"/>
      <c r="M338" s="15" t="str">
        <f>IFERROR(__xludf.DUMMYFUNCTION("""COMPUTED_VALUE"""),"casino app roulette")</f>
        <v>casino app roulette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9"/>
      <c r="J339" s="13"/>
      <c r="K339" s="13"/>
      <c r="L339" s="13"/>
      <c r="M339" s="15" t="str">
        <f>IFERROR(__xludf.DUMMYFUNCTION("""COMPUTED_VALUE"""),"gambling site roulette")</f>
        <v>gambling site roulette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9"/>
      <c r="J340" s="13"/>
      <c r="K340" s="13"/>
      <c r="L340" s="13"/>
      <c r="M340" s="15" t="str">
        <f>IFERROR(__xludf.DUMMYFUNCTION("""COMPUTED_VALUE"""),"online gambling roulette")</f>
        <v>online gambling roulette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9"/>
      <c r="J341" s="13"/>
      <c r="K341" s="13"/>
      <c r="L341" s="13"/>
      <c r="M341" s="15" t="str">
        <f>IFERROR(__xludf.DUMMYFUNCTION("""COMPUTED_VALUE"""),"live casino roulette")</f>
        <v>live casino roulette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9"/>
      <c r="J342" s="13"/>
      <c r="K342" s="13"/>
      <c r="L342" s="13"/>
      <c r="M342" s="15" t="str">
        <f>IFERROR(__xludf.DUMMYFUNCTION("""COMPUTED_VALUE"""),"real money casino roulette")</f>
        <v>real money casino roulette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9"/>
      <c r="J343" s="13"/>
      <c r="K343" s="13"/>
      <c r="L343" s="13"/>
      <c r="M343" s="15" t="str">
        <f>IFERROR(__xludf.DUMMYFUNCTION("""COMPUTED_VALUE"""),"online casino slots")</f>
        <v>online casino slots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9"/>
      <c r="J344" s="13"/>
      <c r="K344" s="13"/>
      <c r="L344" s="13"/>
      <c r="M344" s="15" t="str">
        <f>IFERROR(__xludf.DUMMYFUNCTION("""COMPUTED_VALUE"""),"casino online slots")</f>
        <v>casino online slots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9"/>
      <c r="J345" s="13"/>
      <c r="K345" s="13"/>
      <c r="L345" s="13"/>
      <c r="M345" s="15" t="str">
        <f>IFERROR(__xludf.DUMMYFUNCTION("""COMPUTED_VALUE"""),"online casinos slots")</f>
        <v>online casinos slots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9"/>
      <c r="J346" s="13"/>
      <c r="K346" s="13"/>
      <c r="L346" s="13"/>
      <c r="M346" s="15" t="str">
        <f>IFERROR(__xludf.DUMMYFUNCTION("""COMPUTED_VALUE"""),"casino games slots")</f>
        <v>casino games slots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9"/>
      <c r="J347" s="13"/>
      <c r="K347" s="13"/>
      <c r="L347" s="13"/>
      <c r="M347" s="15" t="str">
        <f>IFERROR(__xludf.DUMMYFUNCTION("""COMPUTED_VALUE"""),"online casino games slots")</f>
        <v>online casino games slots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9"/>
      <c r="J348" s="13"/>
      <c r="K348" s="13"/>
      <c r="L348" s="13"/>
      <c r="M348" s="15" t="str">
        <f>IFERROR(__xludf.DUMMYFUNCTION("""COMPUTED_VALUE"""),"casino app slots")</f>
        <v>casino app slots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9"/>
      <c r="J349" s="13"/>
      <c r="K349" s="13"/>
      <c r="L349" s="13"/>
      <c r="M349" s="15" t="str">
        <f>IFERROR(__xludf.DUMMYFUNCTION("""COMPUTED_VALUE"""),"gambling site slots")</f>
        <v>gambling site slots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9"/>
      <c r="J350" s="13"/>
      <c r="K350" s="13"/>
      <c r="L350" s="13"/>
      <c r="M350" s="15" t="str">
        <f>IFERROR(__xludf.DUMMYFUNCTION("""COMPUTED_VALUE"""),"online gambling slots")</f>
        <v>online gambling slots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9"/>
      <c r="J351" s="13"/>
      <c r="K351" s="13"/>
      <c r="L351" s="13"/>
      <c r="M351" s="15" t="str">
        <f>IFERROR(__xludf.DUMMYFUNCTION("""COMPUTED_VALUE"""),"live casino slots")</f>
        <v>live casino slots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9"/>
      <c r="J352" s="13"/>
      <c r="K352" s="13"/>
      <c r="L352" s="13"/>
      <c r="M352" s="15" t="str">
        <f>IFERROR(__xludf.DUMMYFUNCTION("""COMPUTED_VALUE"""),"real money casino slots")</f>
        <v>real money casino slots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9"/>
      <c r="J353" s="13"/>
      <c r="K353" s="13"/>
      <c r="L353" s="13"/>
      <c r="M353" s="15" t="str">
        <f>IFERROR(__xludf.DUMMYFUNCTION("""COMPUTED_VALUE"""),"online casino")</f>
        <v>online casino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9"/>
      <c r="J354" s="13"/>
      <c r="K354" s="13"/>
      <c r="L354" s="13"/>
      <c r="M354" s="15" t="str">
        <f>IFERROR(__xludf.DUMMYFUNCTION("""COMPUTED_VALUE"""),"casino online")</f>
        <v>casino online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9"/>
      <c r="J355" s="13"/>
      <c r="K355" s="13"/>
      <c r="L355" s="13"/>
      <c r="M355" s="15" t="str">
        <f>IFERROR(__xludf.DUMMYFUNCTION("""COMPUTED_VALUE"""),"online casinos")</f>
        <v>online casinos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9"/>
      <c r="J356" s="13"/>
      <c r="K356" s="13"/>
      <c r="L356" s="13"/>
      <c r="M356" s="15" t="str">
        <f>IFERROR(__xludf.DUMMYFUNCTION("""COMPUTED_VALUE"""),"casino games")</f>
        <v>casino games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9"/>
      <c r="J357" s="13"/>
      <c r="K357" s="13"/>
      <c r="L357" s="13"/>
      <c r="M357" s="15" t="str">
        <f>IFERROR(__xludf.DUMMYFUNCTION("""COMPUTED_VALUE"""),"online casino games")</f>
        <v>online casino games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9"/>
      <c r="J358" s="13"/>
      <c r="K358" s="13"/>
      <c r="L358" s="13"/>
      <c r="M358" s="15" t="str">
        <f>IFERROR(__xludf.DUMMYFUNCTION("""COMPUTED_VALUE"""),"casino app")</f>
        <v>casino app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9"/>
      <c r="J359" s="13"/>
      <c r="K359" s="13"/>
      <c r="L359" s="13"/>
      <c r="M359" s="15" t="str">
        <f>IFERROR(__xludf.DUMMYFUNCTION("""COMPUTED_VALUE"""),"gambling site")</f>
        <v>gambling site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9"/>
      <c r="J360" s="13"/>
      <c r="K360" s="13"/>
      <c r="L360" s="13"/>
      <c r="M360" s="15" t="str">
        <f>IFERROR(__xludf.DUMMYFUNCTION("""COMPUTED_VALUE"""),"online gambling")</f>
        <v>online gambling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9"/>
      <c r="J361" s="13"/>
      <c r="K361" s="13"/>
      <c r="L361" s="13"/>
      <c r="M361" s="15" t="str">
        <f>IFERROR(__xludf.DUMMYFUNCTION("""COMPUTED_VALUE"""),"live casino")</f>
        <v>live casino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9"/>
      <c r="J362" s="13"/>
      <c r="K362" s="13"/>
      <c r="L362" s="13"/>
      <c r="M362" s="15" t="str">
        <f>IFERROR(__xludf.DUMMYFUNCTION("""COMPUTED_VALUE"""),"real money casino")</f>
        <v>real money casino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9"/>
      <c r="J363" s="13"/>
      <c r="K363" s="13"/>
      <c r="L363" s="13"/>
      <c r="M363" s="15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9"/>
      <c r="J364" s="13"/>
      <c r="K364" s="13"/>
      <c r="L364" s="13"/>
      <c r="M364" s="15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9"/>
      <c r="J365" s="13"/>
      <c r="K365" s="13"/>
      <c r="L365" s="13"/>
      <c r="M365" s="15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9"/>
      <c r="J366" s="13"/>
      <c r="K366" s="13"/>
      <c r="L366" s="13"/>
      <c r="M366" s="15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9"/>
      <c r="J367" s="13"/>
      <c r="K367" s="13"/>
      <c r="L367" s="13"/>
      <c r="M367" s="15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9"/>
      <c r="J368" s="13"/>
      <c r="K368" s="13"/>
      <c r="L368" s="13"/>
      <c r="M368" s="15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9"/>
      <c r="J369" s="13"/>
      <c r="K369" s="13"/>
      <c r="L369" s="13"/>
      <c r="M369" s="15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9"/>
      <c r="J370" s="13"/>
      <c r="K370" s="13"/>
      <c r="L370" s="13"/>
      <c r="M370" s="15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9"/>
      <c r="J371" s="13"/>
      <c r="K371" s="13"/>
      <c r="L371" s="13"/>
      <c r="M371" s="15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9"/>
      <c r="J372" s="13"/>
      <c r="K372" s="13"/>
      <c r="L372" s="13"/>
      <c r="M372" s="15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9"/>
      <c r="J373" s="13"/>
      <c r="K373" s="13"/>
      <c r="L373" s="13"/>
      <c r="M373" s="15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9"/>
      <c r="J374" s="13"/>
      <c r="K374" s="13"/>
      <c r="L374" s="13"/>
      <c r="M374" s="15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9"/>
      <c r="J375" s="13"/>
      <c r="K375" s="13"/>
      <c r="L375" s="13"/>
      <c r="M375" s="15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9"/>
      <c r="J376" s="13"/>
      <c r="K376" s="13"/>
      <c r="L376" s="13"/>
      <c r="M376" s="15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9"/>
      <c r="J377" s="13"/>
      <c r="K377" s="13"/>
      <c r="L377" s="13"/>
      <c r="M377" s="15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9"/>
      <c r="J378" s="13"/>
      <c r="K378" s="13"/>
      <c r="L378" s="13"/>
      <c r="M378" s="15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9"/>
      <c r="J379" s="13"/>
      <c r="K379" s="13"/>
      <c r="L379" s="13"/>
      <c r="M379" s="15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9"/>
      <c r="J380" s="13"/>
      <c r="K380" s="13"/>
      <c r="L380" s="13"/>
      <c r="M380" s="15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9"/>
      <c r="J381" s="13"/>
      <c r="K381" s="13"/>
      <c r="L381" s="13"/>
      <c r="M381" s="15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9"/>
      <c r="J382" s="13"/>
      <c r="K382" s="13"/>
      <c r="L382" s="13"/>
      <c r="M382" s="15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9"/>
      <c r="J383" s="13"/>
      <c r="K383" s="13"/>
      <c r="L383" s="13"/>
      <c r="M383" s="15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9"/>
      <c r="J384" s="13"/>
      <c r="K384" s="13"/>
      <c r="L384" s="13"/>
      <c r="M384" s="15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9"/>
      <c r="J385" s="13"/>
      <c r="K385" s="13"/>
      <c r="L385" s="13"/>
      <c r="M385" s="1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9"/>
      <c r="J386" s="13"/>
      <c r="K386" s="13"/>
      <c r="L386" s="13"/>
      <c r="M386" s="15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9"/>
      <c r="J387" s="13"/>
      <c r="K387" s="13"/>
      <c r="L387" s="13"/>
      <c r="M387" s="1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9"/>
      <c r="J388" s="13"/>
      <c r="K388" s="13"/>
      <c r="L388" s="13"/>
      <c r="M388" s="1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9"/>
      <c r="J389" s="13"/>
      <c r="K389" s="13"/>
      <c r="L389" s="13"/>
      <c r="M389" s="15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9"/>
      <c r="J390" s="13"/>
      <c r="K390" s="13"/>
      <c r="L390" s="13"/>
      <c r="M390" s="15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9"/>
      <c r="J391" s="13"/>
      <c r="K391" s="13"/>
      <c r="L391" s="13"/>
      <c r="M391" s="15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9"/>
      <c r="J392" s="13"/>
      <c r="K392" s="13"/>
      <c r="L392" s="13"/>
      <c r="M392" s="15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9"/>
      <c r="J393" s="13"/>
      <c r="K393" s="13"/>
      <c r="L393" s="13"/>
      <c r="M393" s="15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9"/>
      <c r="J394" s="13"/>
      <c r="K394" s="13"/>
      <c r="L394" s="13"/>
      <c r="M394" s="15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9"/>
      <c r="J395" s="13"/>
      <c r="K395" s="13"/>
      <c r="L395" s="13"/>
      <c r="M395" s="15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9"/>
      <c r="J396" s="13"/>
      <c r="K396" s="13"/>
      <c r="L396" s="13"/>
      <c r="M396" s="15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9"/>
      <c r="J397" s="13"/>
      <c r="K397" s="13"/>
      <c r="L397" s="13"/>
      <c r="M397" s="15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9"/>
      <c r="J398" s="13"/>
      <c r="K398" s="13"/>
      <c r="L398" s="13"/>
      <c r="M398" s="1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9"/>
      <c r="J399" s="13"/>
      <c r="K399" s="13"/>
      <c r="L399" s="13"/>
      <c r="M399" s="15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9"/>
      <c r="J400" s="13"/>
      <c r="K400" s="13"/>
      <c r="L400" s="13"/>
      <c r="M400" s="1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9"/>
      <c r="J401" s="13"/>
      <c r="K401" s="13"/>
      <c r="L401" s="13"/>
      <c r="M401" s="15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9"/>
      <c r="J402" s="13"/>
      <c r="K402" s="13"/>
      <c r="L402" s="13"/>
      <c r="M402" s="15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9"/>
      <c r="J403" s="13"/>
      <c r="K403" s="13"/>
      <c r="L403" s="13"/>
      <c r="M403" s="15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9"/>
      <c r="J404" s="13"/>
      <c r="K404" s="13"/>
      <c r="L404" s="13"/>
      <c r="M404" s="15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9"/>
      <c r="J405" s="13"/>
      <c r="K405" s="13"/>
      <c r="L405" s="13"/>
      <c r="M405" s="15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9"/>
      <c r="J406" s="13"/>
      <c r="K406" s="13"/>
      <c r="L406" s="13"/>
      <c r="M406" s="15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9"/>
      <c r="J407" s="13"/>
      <c r="K407" s="13"/>
      <c r="L407" s="13"/>
      <c r="M407" s="15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9"/>
      <c r="J408" s="13"/>
      <c r="K408" s="13"/>
      <c r="L408" s="13"/>
      <c r="M408" s="15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9"/>
      <c r="J409" s="13"/>
      <c r="K409" s="13"/>
      <c r="L409" s="13"/>
      <c r="M409" s="15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9"/>
      <c r="J410" s="13"/>
      <c r="K410" s="13"/>
      <c r="L410" s="13"/>
      <c r="M410" s="15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9"/>
      <c r="J411" s="13"/>
      <c r="K411" s="13"/>
      <c r="L411" s="13"/>
      <c r="M411" s="15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9"/>
      <c r="J412" s="13"/>
      <c r="K412" s="13"/>
      <c r="L412" s="13"/>
      <c r="M412" s="15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9"/>
      <c r="J413" s="13"/>
      <c r="K413" s="13"/>
      <c r="L413" s="13"/>
      <c r="M413" s="15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9"/>
      <c r="J414" s="13"/>
      <c r="K414" s="13"/>
      <c r="L414" s="13"/>
      <c r="M414" s="15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9"/>
      <c r="J415" s="13"/>
      <c r="K415" s="13"/>
      <c r="L415" s="13"/>
      <c r="M415" s="15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9"/>
      <c r="J416" s="13"/>
      <c r="K416" s="13"/>
      <c r="L416" s="13"/>
      <c r="M416" s="15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9"/>
      <c r="J417" s="13"/>
      <c r="K417" s="13"/>
      <c r="L417" s="13"/>
      <c r="M417" s="15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9"/>
      <c r="J418" s="13"/>
      <c r="K418" s="13"/>
      <c r="L418" s="13"/>
      <c r="M418" s="15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9"/>
      <c r="J419" s="13"/>
      <c r="K419" s="13"/>
      <c r="L419" s="13"/>
      <c r="M419" s="15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9"/>
      <c r="J420" s="13"/>
      <c r="K420" s="13"/>
      <c r="L420" s="13"/>
      <c r="M420" s="15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9"/>
      <c r="J421" s="13"/>
      <c r="K421" s="13"/>
      <c r="L421" s="13"/>
      <c r="M421" s="15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9"/>
      <c r="J422" s="13"/>
      <c r="K422" s="13"/>
      <c r="L422" s="13"/>
      <c r="M422" s="15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9"/>
      <c r="J423" s="13"/>
      <c r="K423" s="13"/>
      <c r="L423" s="13"/>
      <c r="M423" s="15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9"/>
      <c r="J424" s="13"/>
      <c r="K424" s="13"/>
      <c r="L424" s="13"/>
      <c r="M424" s="15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9"/>
      <c r="J425" s="13"/>
      <c r="K425" s="13"/>
      <c r="L425" s="13"/>
      <c r="M425" s="15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9"/>
      <c r="J426" s="13"/>
      <c r="K426" s="13"/>
      <c r="L426" s="13"/>
      <c r="M426" s="15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9"/>
      <c r="J427" s="13"/>
      <c r="K427" s="13"/>
      <c r="L427" s="13"/>
      <c r="M427" s="15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9"/>
      <c r="J428" s="13"/>
      <c r="K428" s="13"/>
      <c r="L428" s="13"/>
      <c r="M428" s="15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9"/>
      <c r="J429" s="13"/>
      <c r="K429" s="13"/>
      <c r="L429" s="13"/>
      <c r="M429" s="15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9"/>
      <c r="J430" s="13"/>
      <c r="K430" s="13"/>
      <c r="L430" s="13"/>
      <c r="M430" s="15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9"/>
      <c r="J431" s="13"/>
      <c r="K431" s="13"/>
      <c r="L431" s="13"/>
      <c r="M431" s="15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9"/>
      <c r="J432" s="13"/>
      <c r="K432" s="13"/>
      <c r="L432" s="13"/>
      <c r="M432" s="15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9"/>
      <c r="J433" s="13"/>
      <c r="K433" s="13"/>
      <c r="L433" s="13"/>
      <c r="M433" s="15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9"/>
      <c r="J434" s="13"/>
      <c r="K434" s="13"/>
      <c r="L434" s="13"/>
      <c r="M434" s="15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9"/>
      <c r="J435" s="13"/>
      <c r="K435" s="13"/>
      <c r="L435" s="13"/>
      <c r="M435" s="15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9"/>
      <c r="J436" s="13"/>
      <c r="K436" s="13"/>
      <c r="L436" s="13"/>
      <c r="M436" s="15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9"/>
      <c r="J437" s="13"/>
      <c r="K437" s="13"/>
      <c r="L437" s="13"/>
      <c r="M437" s="15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9"/>
      <c r="J438" s="13"/>
      <c r="K438" s="13"/>
      <c r="L438" s="13"/>
      <c r="M438" s="15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9"/>
      <c r="J439" s="13"/>
      <c r="K439" s="13"/>
      <c r="L439" s="13"/>
      <c r="M439" s="15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9"/>
      <c r="J440" s="13"/>
      <c r="K440" s="13"/>
      <c r="L440" s="13"/>
      <c r="M440" s="15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9"/>
      <c r="J441" s="13"/>
      <c r="K441" s="13"/>
      <c r="L441" s="13"/>
      <c r="M441" s="15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9"/>
      <c r="J442" s="13"/>
      <c r="K442" s="13"/>
      <c r="L442" s="13"/>
      <c r="M442" s="15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9"/>
      <c r="J443" s="13"/>
      <c r="K443" s="13"/>
      <c r="L443" s="13"/>
      <c r="M443" s="15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9"/>
      <c r="J444" s="13"/>
      <c r="K444" s="13"/>
      <c r="L444" s="13"/>
      <c r="M444" s="15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9"/>
      <c r="J445" s="13"/>
      <c r="K445" s="13"/>
      <c r="L445" s="13"/>
      <c r="M445" s="15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9"/>
      <c r="J446" s="13"/>
      <c r="K446" s="13"/>
      <c r="L446" s="13"/>
      <c r="M446" s="15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9"/>
      <c r="J447" s="13"/>
      <c r="K447" s="13"/>
      <c r="L447" s="13"/>
      <c r="M447" s="15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9"/>
      <c r="J448" s="13"/>
      <c r="K448" s="13"/>
      <c r="L448" s="13"/>
      <c r="M448" s="15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9"/>
      <c r="J449" s="13"/>
      <c r="K449" s="13"/>
      <c r="L449" s="13"/>
      <c r="M449" s="15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9"/>
      <c r="J450" s="13"/>
      <c r="K450" s="13"/>
      <c r="L450" s="13"/>
      <c r="M450" s="15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9"/>
      <c r="J451" s="13"/>
      <c r="K451" s="13"/>
      <c r="L451" s="13"/>
      <c r="M451" s="15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9"/>
      <c r="J452" s="13"/>
      <c r="K452" s="13"/>
      <c r="L452" s="13"/>
      <c r="M452" s="15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9"/>
      <c r="J453" s="13"/>
      <c r="K453" s="13"/>
      <c r="L453" s="13"/>
      <c r="M453" s="15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9"/>
      <c r="J454" s="13"/>
      <c r="K454" s="13"/>
      <c r="L454" s="13"/>
      <c r="M454" s="15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9"/>
      <c r="J455" s="13"/>
      <c r="K455" s="13"/>
      <c r="L455" s="13"/>
      <c r="M455" s="15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9"/>
      <c r="J456" s="13"/>
      <c r="K456" s="13"/>
      <c r="L456" s="13"/>
      <c r="M456" s="15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9"/>
      <c r="J457" s="13"/>
      <c r="K457" s="13"/>
      <c r="L457" s="13"/>
      <c r="M457" s="15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9"/>
      <c r="J458" s="13"/>
      <c r="K458" s="13"/>
      <c r="L458" s="13"/>
      <c r="M458" s="15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9"/>
      <c r="J459" s="13"/>
      <c r="K459" s="13"/>
      <c r="L459" s="13"/>
      <c r="M459" s="15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9"/>
      <c r="J460" s="13"/>
      <c r="K460" s="13"/>
      <c r="L460" s="13"/>
      <c r="M460" s="15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9"/>
      <c r="J461" s="13"/>
      <c r="K461" s="13"/>
      <c r="L461" s="13"/>
      <c r="M461" s="15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9"/>
      <c r="J462" s="13"/>
      <c r="K462" s="13"/>
      <c r="L462" s="13"/>
      <c r="M462" s="15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9"/>
      <c r="J463" s="13"/>
      <c r="K463" s="13"/>
      <c r="L463" s="13"/>
      <c r="M463" s="1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9"/>
      <c r="J464" s="13"/>
      <c r="K464" s="13"/>
      <c r="L464" s="13"/>
      <c r="M464" s="15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9"/>
      <c r="J465" s="13"/>
      <c r="K465" s="13"/>
      <c r="L465" s="13"/>
      <c r="M465" s="1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9"/>
      <c r="J466" s="13"/>
      <c r="K466" s="13"/>
      <c r="L466" s="13"/>
      <c r="M466" s="1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9"/>
      <c r="J467" s="13"/>
      <c r="K467" s="13"/>
      <c r="L467" s="13"/>
      <c r="M467" s="1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9"/>
      <c r="J468" s="13"/>
      <c r="K468" s="13"/>
      <c r="L468" s="13"/>
      <c r="M468" s="1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9"/>
      <c r="J469" s="13"/>
      <c r="K469" s="13"/>
      <c r="L469" s="13"/>
      <c r="M469" s="15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9"/>
      <c r="J470" s="13"/>
      <c r="K470" s="13"/>
      <c r="L470" s="13"/>
      <c r="M470" s="1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9"/>
      <c r="J471" s="13"/>
      <c r="K471" s="13"/>
      <c r="L471" s="13"/>
      <c r="M471" s="15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9"/>
      <c r="J472" s="13"/>
      <c r="K472" s="13"/>
      <c r="L472" s="13"/>
      <c r="M472" s="1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9"/>
      <c r="J473" s="13"/>
      <c r="K473" s="13"/>
      <c r="L473" s="13"/>
      <c r="M473" s="1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9"/>
      <c r="J474" s="13"/>
      <c r="K474" s="13"/>
      <c r="L474" s="13"/>
      <c r="M474" s="1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9"/>
      <c r="J475" s="13"/>
      <c r="K475" s="13"/>
      <c r="L475" s="13"/>
      <c r="M475" s="1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9"/>
      <c r="J476" s="13"/>
      <c r="K476" s="13"/>
      <c r="L476" s="13"/>
      <c r="M476" s="15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9"/>
      <c r="J477" s="13"/>
      <c r="K477" s="13"/>
      <c r="L477" s="13"/>
      <c r="M477" s="15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9"/>
      <c r="J478" s="13"/>
      <c r="K478" s="13"/>
      <c r="L478" s="13"/>
      <c r="M478" s="15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9"/>
      <c r="J479" s="13"/>
      <c r="K479" s="13"/>
      <c r="L479" s="13"/>
      <c r="M479" s="15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9"/>
      <c r="J480" s="13"/>
      <c r="K480" s="13"/>
      <c r="L480" s="13"/>
      <c r="M480" s="15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9"/>
      <c r="J481" s="13"/>
      <c r="K481" s="13"/>
      <c r="L481" s="13"/>
      <c r="M481" s="15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9"/>
      <c r="J482" s="13"/>
      <c r="K482" s="13"/>
      <c r="L482" s="13"/>
      <c r="M482" s="15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9"/>
      <c r="J483" s="13"/>
      <c r="K483" s="13"/>
      <c r="L483" s="13"/>
      <c r="M483" s="15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9"/>
      <c r="J484" s="13"/>
      <c r="K484" s="13"/>
      <c r="L484" s="13"/>
      <c r="M484" s="15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9"/>
      <c r="J485" s="13"/>
      <c r="K485" s="13"/>
      <c r="L485" s="13"/>
      <c r="M485" s="15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9"/>
      <c r="J486" s="13"/>
      <c r="K486" s="13"/>
      <c r="L486" s="13"/>
      <c r="M486" s="15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9"/>
      <c r="J487" s="13"/>
      <c r="K487" s="13"/>
      <c r="L487" s="13"/>
      <c r="M487" s="15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9"/>
      <c r="J488" s="13"/>
      <c r="K488" s="13"/>
      <c r="L488" s="13"/>
      <c r="M488" s="15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9"/>
      <c r="J489" s="13"/>
      <c r="K489" s="13"/>
      <c r="L489" s="13"/>
      <c r="M489" s="15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9"/>
      <c r="J490" s="13"/>
      <c r="K490" s="13"/>
      <c r="L490" s="13"/>
      <c r="M490" s="15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9"/>
      <c r="J491" s="13"/>
      <c r="K491" s="13"/>
      <c r="L491" s="13"/>
      <c r="M491" s="15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9"/>
      <c r="J492" s="13"/>
      <c r="K492" s="13"/>
      <c r="L492" s="13"/>
      <c r="M492" s="15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9"/>
      <c r="J493" s="13"/>
      <c r="K493" s="13"/>
      <c r="L493" s="13"/>
      <c r="M493" s="15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9"/>
      <c r="J494" s="13"/>
      <c r="K494" s="13"/>
      <c r="L494" s="13"/>
      <c r="M494" s="15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9"/>
      <c r="J495" s="13"/>
      <c r="K495" s="13"/>
      <c r="L495" s="13"/>
      <c r="M495" s="15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9"/>
      <c r="J496" s="13"/>
      <c r="K496" s="13"/>
      <c r="L496" s="13"/>
      <c r="M496" s="15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9"/>
      <c r="J497" s="13"/>
      <c r="K497" s="13"/>
      <c r="L497" s="13"/>
      <c r="M497" s="15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9"/>
      <c r="J498" s="13"/>
      <c r="K498" s="13"/>
      <c r="L498" s="13"/>
      <c r="M498" s="15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9"/>
      <c r="J499" s="13"/>
      <c r="K499" s="13"/>
      <c r="L499" s="13"/>
      <c r="M499" s="15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9"/>
      <c r="J500" s="13"/>
      <c r="K500" s="13"/>
      <c r="L500" s="13"/>
      <c r="M500" s="15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9"/>
      <c r="J501" s="13"/>
      <c r="K501" s="13"/>
      <c r="L501" s="13"/>
      <c r="M501" s="15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9"/>
      <c r="J502" s="13"/>
      <c r="K502" s="13"/>
      <c r="L502" s="13"/>
      <c r="M502" s="15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9"/>
      <c r="J503" s="13"/>
      <c r="K503" s="13"/>
      <c r="L503" s="13"/>
      <c r="M503" s="15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9"/>
      <c r="J504" s="13"/>
      <c r="K504" s="13"/>
      <c r="L504" s="13"/>
      <c r="M504" s="15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9"/>
      <c r="J505" s="13"/>
      <c r="K505" s="13"/>
      <c r="L505" s="13"/>
      <c r="M505" s="15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9"/>
      <c r="J506" s="13"/>
      <c r="K506" s="13"/>
      <c r="L506" s="13"/>
      <c r="M506" s="15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9"/>
      <c r="J507" s="13"/>
      <c r="K507" s="13"/>
      <c r="L507" s="13"/>
      <c r="M507" s="15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9"/>
      <c r="J508" s="13"/>
      <c r="K508" s="13"/>
      <c r="L508" s="13"/>
      <c r="M508" s="15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9"/>
      <c r="J509" s="13"/>
      <c r="K509" s="13"/>
      <c r="L509" s="13"/>
      <c r="M509" s="15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9"/>
      <c r="J510" s="13"/>
      <c r="K510" s="13"/>
      <c r="L510" s="13"/>
      <c r="M510" s="15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9"/>
      <c r="J511" s="13"/>
      <c r="K511" s="13"/>
      <c r="L511" s="13"/>
      <c r="M511" s="15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9"/>
      <c r="J512" s="13"/>
      <c r="K512" s="13"/>
      <c r="L512" s="13"/>
      <c r="M512" s="15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9"/>
      <c r="J513" s="13"/>
      <c r="K513" s="13"/>
      <c r="L513" s="13"/>
      <c r="M513" s="15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9"/>
      <c r="J514" s="13"/>
      <c r="K514" s="13"/>
      <c r="L514" s="13"/>
      <c r="M514" s="15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9"/>
      <c r="J515" s="13"/>
      <c r="K515" s="13"/>
      <c r="L515" s="13"/>
      <c r="M515" s="15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9"/>
      <c r="J516" s="13"/>
      <c r="K516" s="13"/>
      <c r="L516" s="13"/>
      <c r="M516" s="15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9"/>
      <c r="J517" s="13"/>
      <c r="K517" s="13"/>
      <c r="L517" s="13"/>
      <c r="M517" s="15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9"/>
      <c r="J518" s="13"/>
      <c r="K518" s="13"/>
      <c r="L518" s="13"/>
      <c r="M518" s="15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9"/>
      <c r="J519" s="13"/>
      <c r="K519" s="13"/>
      <c r="L519" s="13"/>
      <c r="M519" s="15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9"/>
      <c r="J520" s="13"/>
      <c r="K520" s="13"/>
      <c r="L520" s="13"/>
      <c r="M520" s="15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9"/>
      <c r="J521" s="13"/>
      <c r="K521" s="13"/>
      <c r="L521" s="13"/>
      <c r="M521" s="15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9"/>
      <c r="J522" s="13"/>
      <c r="K522" s="13"/>
      <c r="L522" s="13"/>
      <c r="M522" s="15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9"/>
      <c r="J523" s="13"/>
      <c r="K523" s="13"/>
      <c r="L523" s="13"/>
      <c r="M523" s="15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9"/>
      <c r="J524" s="13"/>
      <c r="K524" s="13"/>
      <c r="L524" s="13"/>
      <c r="M524" s="15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9"/>
      <c r="J525" s="13"/>
      <c r="K525" s="13"/>
      <c r="L525" s="13"/>
      <c r="M525" s="15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9"/>
      <c r="J526" s="13"/>
      <c r="K526" s="13"/>
      <c r="L526" s="13"/>
      <c r="M526" s="15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9"/>
      <c r="J527" s="13"/>
      <c r="K527" s="13"/>
      <c r="L527" s="13"/>
      <c r="M527" s="15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9"/>
      <c r="J528" s="13"/>
      <c r="K528" s="13"/>
      <c r="L528" s="13"/>
      <c r="M528" s="15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9"/>
      <c r="J529" s="13"/>
      <c r="K529" s="13"/>
      <c r="L529" s="13"/>
      <c r="M529" s="15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9"/>
      <c r="J530" s="13"/>
      <c r="K530" s="13"/>
      <c r="L530" s="13"/>
      <c r="M530" s="15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9"/>
      <c r="J531" s="13"/>
      <c r="K531" s="13"/>
      <c r="L531" s="13"/>
      <c r="M531" s="1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9"/>
      <c r="J532" s="13"/>
      <c r="K532" s="13"/>
      <c r="L532" s="13"/>
      <c r="M532" s="15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9"/>
      <c r="J533" s="13"/>
      <c r="K533" s="13"/>
      <c r="L533" s="13"/>
      <c r="M533" s="15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9"/>
      <c r="J534" s="13"/>
      <c r="K534" s="13"/>
      <c r="L534" s="13"/>
      <c r="M534" s="15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9"/>
      <c r="J535" s="13"/>
      <c r="K535" s="13"/>
      <c r="L535" s="13"/>
      <c r="M535" s="15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9"/>
      <c r="J536" s="13"/>
      <c r="K536" s="13"/>
      <c r="L536" s="13"/>
      <c r="M536" s="15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9"/>
      <c r="J537" s="13"/>
      <c r="K537" s="13"/>
      <c r="L537" s="13"/>
      <c r="M537" s="15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9"/>
      <c r="J538" s="13"/>
      <c r="K538" s="13"/>
      <c r="L538" s="13"/>
      <c r="M538" s="15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9"/>
      <c r="J539" s="13"/>
      <c r="K539" s="13"/>
      <c r="L539" s="13"/>
      <c r="M539" s="15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9"/>
      <c r="J540" s="13"/>
      <c r="K540" s="13"/>
      <c r="L540" s="13"/>
      <c r="M540" s="15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9"/>
      <c r="J541" s="13"/>
      <c r="K541" s="13"/>
      <c r="L541" s="13"/>
      <c r="M541" s="15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9"/>
      <c r="J542" s="13"/>
      <c r="K542" s="13"/>
      <c r="L542" s="13"/>
      <c r="M542" s="15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9"/>
      <c r="J543" s="13"/>
      <c r="K543" s="13"/>
      <c r="L543" s="13"/>
      <c r="M543" s="15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9"/>
      <c r="J544" s="13"/>
      <c r="K544" s="13"/>
      <c r="L544" s="13"/>
      <c r="M544" s="15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9"/>
      <c r="J545" s="13"/>
      <c r="K545" s="13"/>
      <c r="L545" s="13"/>
      <c r="M545" s="15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9"/>
      <c r="J546" s="13"/>
      <c r="K546" s="13"/>
      <c r="L546" s="13"/>
      <c r="M546" s="15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9"/>
      <c r="J547" s="13"/>
      <c r="K547" s="13"/>
      <c r="L547" s="13"/>
      <c r="M547" s="15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9"/>
      <c r="J548" s="13"/>
      <c r="K548" s="13"/>
      <c r="L548" s="13"/>
      <c r="M548" s="15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9"/>
      <c r="J549" s="13"/>
      <c r="K549" s="13"/>
      <c r="L549" s="13"/>
      <c r="M549" s="15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9"/>
      <c r="J550" s="13"/>
      <c r="K550" s="13"/>
      <c r="L550" s="13"/>
      <c r="M550" s="15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9"/>
      <c r="J551" s="13"/>
      <c r="K551" s="13"/>
      <c r="L551" s="13"/>
      <c r="M551" s="15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9"/>
      <c r="J552" s="13"/>
      <c r="K552" s="13"/>
      <c r="L552" s="13"/>
      <c r="M552" s="15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9"/>
      <c r="J553" s="13"/>
      <c r="K553" s="13"/>
      <c r="L553" s="13"/>
      <c r="M553" s="15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9"/>
      <c r="J554" s="13"/>
      <c r="K554" s="13"/>
      <c r="L554" s="13"/>
      <c r="M554" s="15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9"/>
      <c r="J555" s="13"/>
      <c r="K555" s="13"/>
      <c r="L555" s="13"/>
      <c r="M555" s="15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9"/>
      <c r="J556" s="13"/>
      <c r="K556" s="13"/>
      <c r="L556" s="13"/>
      <c r="M556" s="15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9"/>
      <c r="J557" s="13"/>
      <c r="K557" s="13"/>
      <c r="L557" s="13"/>
      <c r="M557" s="15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9"/>
      <c r="J558" s="13"/>
      <c r="K558" s="13"/>
      <c r="L558" s="13"/>
      <c r="M558" s="15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9"/>
      <c r="J559" s="13"/>
      <c r="K559" s="13"/>
      <c r="L559" s="13"/>
      <c r="M559" s="15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9"/>
      <c r="J560" s="13"/>
      <c r="K560" s="13"/>
      <c r="L560" s="13"/>
      <c r="M560" s="15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9"/>
      <c r="J561" s="13"/>
      <c r="K561" s="13"/>
      <c r="L561" s="13"/>
      <c r="M561" s="15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9"/>
      <c r="J562" s="13"/>
      <c r="K562" s="13"/>
      <c r="L562" s="13"/>
      <c r="M562" s="15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9"/>
      <c r="J563" s="13"/>
      <c r="K563" s="13"/>
      <c r="L563" s="13"/>
      <c r="M563" s="15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9"/>
      <c r="J564" s="13"/>
      <c r="K564" s="13"/>
      <c r="L564" s="13"/>
      <c r="M564" s="15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9"/>
      <c r="J565" s="13"/>
      <c r="K565" s="13"/>
      <c r="L565" s="13"/>
      <c r="M565" s="15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9"/>
      <c r="J566" s="13"/>
      <c r="K566" s="13"/>
      <c r="L566" s="13"/>
      <c r="M566" s="15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9"/>
      <c r="J567" s="13"/>
      <c r="K567" s="13"/>
      <c r="L567" s="13"/>
      <c r="M567" s="15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9"/>
      <c r="J568" s="13"/>
      <c r="K568" s="13"/>
      <c r="L568" s="13"/>
      <c r="M568" s="15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9"/>
      <c r="J569" s="13"/>
      <c r="K569" s="13"/>
      <c r="L569" s="13"/>
      <c r="M569" s="15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9"/>
      <c r="J570" s="13"/>
      <c r="K570" s="13"/>
      <c r="L570" s="13"/>
      <c r="M570" s="15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9"/>
      <c r="J571" s="13"/>
      <c r="K571" s="13"/>
      <c r="L571" s="13"/>
      <c r="M571" s="15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9"/>
      <c r="J572" s="13"/>
      <c r="K572" s="13"/>
      <c r="L572" s="13"/>
      <c r="M572" s="15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9"/>
      <c r="J573" s="13"/>
      <c r="K573" s="13"/>
      <c r="L573" s="13"/>
      <c r="M573" s="15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9"/>
      <c r="J574" s="13"/>
      <c r="K574" s="13"/>
      <c r="L574" s="13"/>
      <c r="M574" s="15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9"/>
      <c r="J575" s="13"/>
      <c r="K575" s="13"/>
      <c r="L575" s="13"/>
      <c r="M575" s="15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9"/>
      <c r="J576" s="13"/>
      <c r="K576" s="13"/>
      <c r="L576" s="13"/>
      <c r="M576" s="15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9"/>
      <c r="J577" s="13"/>
      <c r="K577" s="13"/>
      <c r="L577" s="13"/>
      <c r="M577" s="15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9"/>
      <c r="J578" s="13"/>
      <c r="K578" s="13"/>
      <c r="L578" s="13"/>
      <c r="M578" s="15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9"/>
      <c r="J579" s="13"/>
      <c r="K579" s="13"/>
      <c r="L579" s="13"/>
      <c r="M579" s="15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9"/>
      <c r="J580" s="13"/>
      <c r="K580" s="13"/>
      <c r="L580" s="13"/>
      <c r="M580" s="15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9"/>
      <c r="J581" s="13"/>
      <c r="K581" s="13"/>
      <c r="L581" s="13"/>
      <c r="M581" s="15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9"/>
      <c r="J582" s="13"/>
      <c r="K582" s="13"/>
      <c r="L582" s="13"/>
      <c r="M582" s="15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9"/>
      <c r="J583" s="13"/>
      <c r="K583" s="13"/>
      <c r="L583" s="13"/>
      <c r="M583" s="15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9"/>
      <c r="J584" s="13"/>
      <c r="K584" s="13"/>
      <c r="L584" s="13"/>
      <c r="M584" s="15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9"/>
      <c r="J585" s="13"/>
      <c r="K585" s="13"/>
      <c r="L585" s="13"/>
      <c r="M585" s="15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9"/>
      <c r="J586" s="13"/>
      <c r="K586" s="13"/>
      <c r="L586" s="13"/>
      <c r="M586" s="15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9"/>
      <c r="J587" s="13"/>
      <c r="K587" s="13"/>
      <c r="L587" s="13"/>
      <c r="M587" s="15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9"/>
      <c r="J588" s="13"/>
      <c r="K588" s="13"/>
      <c r="L588" s="13"/>
      <c r="M588" s="15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9"/>
      <c r="J589" s="13"/>
      <c r="K589" s="13"/>
      <c r="L589" s="13"/>
      <c r="M589" s="15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9"/>
      <c r="J590" s="13"/>
      <c r="K590" s="13"/>
      <c r="L590" s="13"/>
      <c r="M590" s="15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9"/>
      <c r="J591" s="13"/>
      <c r="K591" s="13"/>
      <c r="L591" s="13"/>
      <c r="M591" s="15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9"/>
      <c r="J592" s="13"/>
      <c r="K592" s="13"/>
      <c r="L592" s="13"/>
      <c r="M592" s="15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9"/>
      <c r="J593" s="13"/>
      <c r="K593" s="13"/>
      <c r="L593" s="13"/>
      <c r="M593" s="15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9"/>
      <c r="J594" s="13"/>
      <c r="K594" s="13"/>
      <c r="L594" s="13"/>
      <c r="M594" s="15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9"/>
      <c r="J595" s="13"/>
      <c r="K595" s="13"/>
      <c r="L595" s="13"/>
      <c r="M595" s="15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9"/>
      <c r="J596" s="13"/>
      <c r="K596" s="13"/>
      <c r="L596" s="13"/>
      <c r="M596" s="15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9"/>
      <c r="J597" s="13"/>
      <c r="K597" s="13"/>
      <c r="L597" s="13"/>
      <c r="M597" s="15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9"/>
      <c r="J598" s="13"/>
      <c r="K598" s="13"/>
      <c r="L598" s="13"/>
      <c r="M598" s="15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9"/>
      <c r="J599" s="13"/>
      <c r="K599" s="13"/>
      <c r="L599" s="13"/>
      <c r="M599" s="15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9"/>
      <c r="J600" s="13"/>
      <c r="K600" s="13"/>
      <c r="L600" s="13"/>
      <c r="M600" s="15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9"/>
      <c r="J601" s="13"/>
      <c r="K601" s="13"/>
      <c r="L601" s="13"/>
      <c r="M601" s="15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9"/>
      <c r="J602" s="13"/>
      <c r="K602" s="13"/>
      <c r="L602" s="13"/>
      <c r="M602" s="15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9"/>
      <c r="J603" s="13"/>
      <c r="K603" s="13"/>
      <c r="L603" s="13"/>
      <c r="M603" s="15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9"/>
      <c r="J604" s="13"/>
      <c r="K604" s="13"/>
      <c r="L604" s="13"/>
      <c r="M604" s="15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9"/>
      <c r="J605" s="13"/>
      <c r="K605" s="13"/>
      <c r="L605" s="13"/>
      <c r="M605" s="15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9"/>
      <c r="J606" s="13"/>
      <c r="K606" s="13"/>
      <c r="L606" s="13"/>
      <c r="M606" s="15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9"/>
      <c r="J607" s="13"/>
      <c r="K607" s="13"/>
      <c r="L607" s="13"/>
      <c r="M607" s="15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9"/>
      <c r="J608" s="13"/>
      <c r="K608" s="13"/>
      <c r="L608" s="13"/>
      <c r="M608" s="15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9"/>
      <c r="J609" s="13"/>
      <c r="K609" s="13"/>
      <c r="L609" s="13"/>
      <c r="M609" s="15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9"/>
      <c r="J610" s="13"/>
      <c r="K610" s="13"/>
      <c r="L610" s="13"/>
      <c r="M610" s="15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9"/>
      <c r="J611" s="13"/>
      <c r="K611" s="13"/>
      <c r="L611" s="13"/>
      <c r="M611" s="15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9"/>
      <c r="J612" s="13"/>
      <c r="K612" s="13"/>
      <c r="L612" s="13"/>
      <c r="M612" s="15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9"/>
      <c r="J613" s="13"/>
      <c r="K613" s="13"/>
      <c r="L613" s="13"/>
      <c r="M613" s="15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9"/>
      <c r="J614" s="13"/>
      <c r="K614" s="13"/>
      <c r="L614" s="13"/>
      <c r="M614" s="15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9"/>
      <c r="J615" s="13"/>
      <c r="K615" s="13"/>
      <c r="L615" s="13"/>
      <c r="M615" s="15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9"/>
      <c r="J616" s="13"/>
      <c r="K616" s="13"/>
      <c r="L616" s="13"/>
      <c r="M616" s="15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9"/>
      <c r="J617" s="13"/>
      <c r="K617" s="13"/>
      <c r="L617" s="13"/>
      <c r="M617" s="15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9"/>
      <c r="J618" s="13"/>
      <c r="K618" s="13"/>
      <c r="L618" s="13"/>
      <c r="M618" s="15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9"/>
      <c r="J619" s="13"/>
      <c r="K619" s="13"/>
      <c r="L619" s="13"/>
      <c r="M619" s="15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9"/>
      <c r="J620" s="13"/>
      <c r="K620" s="13"/>
      <c r="L620" s="13"/>
      <c r="M620" s="15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9"/>
      <c r="J621" s="13"/>
      <c r="K621" s="13"/>
      <c r="L621" s="13"/>
      <c r="M621" s="15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9"/>
      <c r="J622" s="13"/>
      <c r="K622" s="13"/>
      <c r="L622" s="13"/>
      <c r="M622" s="15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9"/>
      <c r="J623" s="13"/>
      <c r="K623" s="13"/>
      <c r="L623" s="13"/>
      <c r="M623" s="15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9"/>
      <c r="J624" s="13"/>
      <c r="K624" s="13"/>
      <c r="L624" s="13"/>
      <c r="M624" s="15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9"/>
      <c r="J625" s="13"/>
      <c r="K625" s="13"/>
      <c r="L625" s="13"/>
      <c r="M625" s="15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9"/>
      <c r="J626" s="13"/>
      <c r="K626" s="13"/>
      <c r="L626" s="13"/>
      <c r="M626" s="15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9"/>
      <c r="J627" s="13"/>
      <c r="K627" s="13"/>
      <c r="L627" s="13"/>
      <c r="M627" s="15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9"/>
      <c r="J628" s="13"/>
      <c r="K628" s="13"/>
      <c r="L628" s="13"/>
      <c r="M628" s="15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9"/>
      <c r="J629" s="13"/>
      <c r="K629" s="13"/>
      <c r="L629" s="13"/>
      <c r="M629" s="15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9"/>
      <c r="J630" s="13"/>
      <c r="K630" s="13"/>
      <c r="L630" s="13"/>
      <c r="M630" s="15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9"/>
      <c r="J631" s="13"/>
      <c r="K631" s="13"/>
      <c r="L631" s="13"/>
      <c r="M631" s="15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9"/>
      <c r="J632" s="13"/>
      <c r="K632" s="13"/>
      <c r="L632" s="13"/>
      <c r="M632" s="15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9"/>
      <c r="J633" s="13"/>
      <c r="K633" s="13"/>
      <c r="L633" s="13"/>
      <c r="M633" s="15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9"/>
      <c r="J634" s="13"/>
      <c r="K634" s="13"/>
      <c r="L634" s="13"/>
      <c r="M634" s="15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9"/>
      <c r="J635" s="13"/>
      <c r="K635" s="13"/>
      <c r="L635" s="13"/>
      <c r="M635" s="15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9"/>
      <c r="J636" s="13"/>
      <c r="K636" s="13"/>
      <c r="L636" s="13"/>
      <c r="M636" s="15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9"/>
      <c r="J637" s="13"/>
      <c r="K637" s="13"/>
      <c r="L637" s="13"/>
      <c r="M637" s="15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9"/>
      <c r="J638" s="13"/>
      <c r="K638" s="13"/>
      <c r="L638" s="13"/>
      <c r="M638" s="15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9"/>
      <c r="J639" s="13"/>
      <c r="K639" s="13"/>
      <c r="L639" s="13"/>
      <c r="M639" s="15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9"/>
      <c r="J640" s="13"/>
      <c r="K640" s="13"/>
      <c r="L640" s="13"/>
      <c r="M640" s="15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9"/>
      <c r="J641" s="13"/>
      <c r="K641" s="13"/>
      <c r="L641" s="13"/>
      <c r="M641" s="15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9"/>
      <c r="J642" s="13"/>
      <c r="K642" s="13"/>
      <c r="L642" s="13"/>
      <c r="M642" s="15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9"/>
      <c r="J643" s="13"/>
      <c r="K643" s="13"/>
      <c r="L643" s="13"/>
      <c r="M643" s="15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9"/>
      <c r="J644" s="13"/>
      <c r="K644" s="13"/>
      <c r="L644" s="13"/>
      <c r="M644" s="15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9"/>
      <c r="J645" s="13"/>
      <c r="K645" s="13"/>
      <c r="L645" s="13"/>
      <c r="M645" s="15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9"/>
      <c r="J646" s="13"/>
      <c r="K646" s="13"/>
      <c r="L646" s="13"/>
      <c r="M646" s="15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9"/>
      <c r="J647" s="13"/>
      <c r="K647" s="13"/>
      <c r="L647" s="13"/>
      <c r="M647" s="15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9"/>
      <c r="J648" s="13"/>
      <c r="K648" s="13"/>
      <c r="L648" s="13"/>
      <c r="M648" s="15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9"/>
      <c r="J649" s="13"/>
      <c r="K649" s="13"/>
      <c r="L649" s="13"/>
      <c r="M649" s="15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9"/>
      <c r="J650" s="13"/>
      <c r="K650" s="13"/>
      <c r="L650" s="13"/>
      <c r="M650" s="15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9"/>
      <c r="J651" s="13"/>
      <c r="K651" s="13"/>
      <c r="L651" s="13"/>
      <c r="M651" s="15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9"/>
      <c r="J652" s="13"/>
      <c r="K652" s="13"/>
      <c r="L652" s="13"/>
      <c r="M652" s="15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9"/>
      <c r="J653" s="13"/>
      <c r="K653" s="13"/>
      <c r="L653" s="13"/>
      <c r="M653" s="15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9"/>
      <c r="J654" s="13"/>
      <c r="K654" s="13"/>
      <c r="L654" s="13"/>
      <c r="M654" s="15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9"/>
      <c r="J655" s="13"/>
      <c r="K655" s="13"/>
      <c r="L655" s="13"/>
      <c r="M655" s="15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9"/>
      <c r="J656" s="13"/>
      <c r="K656" s="13"/>
      <c r="L656" s="13"/>
      <c r="M656" s="15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9"/>
      <c r="J657" s="13"/>
      <c r="K657" s="13"/>
      <c r="L657" s="13"/>
      <c r="M657" s="15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9"/>
      <c r="J658" s="13"/>
      <c r="K658" s="13"/>
      <c r="L658" s="13"/>
      <c r="M658" s="15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9"/>
      <c r="J659" s="13"/>
      <c r="K659" s="13"/>
      <c r="L659" s="13"/>
      <c r="M659" s="15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9"/>
      <c r="J660" s="13"/>
      <c r="K660" s="13"/>
      <c r="L660" s="13"/>
      <c r="M660" s="15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9"/>
      <c r="J661" s="13"/>
      <c r="K661" s="13"/>
      <c r="L661" s="13"/>
      <c r="M661" s="15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9"/>
      <c r="J662" s="13"/>
      <c r="K662" s="13"/>
      <c r="L662" s="13"/>
      <c r="M662" s="15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9"/>
      <c r="J663" s="13"/>
      <c r="K663" s="13"/>
      <c r="L663" s="13"/>
      <c r="M663" s="15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9"/>
      <c r="J664" s="13"/>
      <c r="K664" s="13"/>
      <c r="L664" s="13"/>
      <c r="M664" s="15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9"/>
      <c r="J665" s="13"/>
      <c r="K665" s="13"/>
      <c r="L665" s="13"/>
      <c r="M665" s="15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9"/>
      <c r="J666" s="13"/>
      <c r="K666" s="13"/>
      <c r="L666" s="13"/>
      <c r="M666" s="15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9"/>
      <c r="J667" s="13"/>
      <c r="K667" s="13"/>
      <c r="L667" s="13"/>
      <c r="M667" s="15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9"/>
      <c r="J668" s="13"/>
      <c r="K668" s="13"/>
      <c r="L668" s="13"/>
      <c r="M668" s="15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9"/>
      <c r="J669" s="13"/>
      <c r="K669" s="13"/>
      <c r="L669" s="13"/>
      <c r="M669" s="15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9"/>
      <c r="J670" s="13"/>
      <c r="K670" s="13"/>
      <c r="L670" s="13"/>
      <c r="M670" s="15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9"/>
      <c r="J671" s="13"/>
      <c r="K671" s="13"/>
      <c r="L671" s="13"/>
      <c r="M671" s="15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9"/>
      <c r="J672" s="13"/>
      <c r="K672" s="13"/>
      <c r="L672" s="13"/>
      <c r="M672" s="15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9"/>
      <c r="J673" s="13"/>
      <c r="K673" s="13"/>
      <c r="L673" s="13"/>
      <c r="M673" s="15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9"/>
      <c r="J674" s="13"/>
      <c r="K674" s="13"/>
      <c r="L674" s="13"/>
      <c r="M674" s="15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9"/>
      <c r="J675" s="13"/>
      <c r="K675" s="13"/>
      <c r="L675" s="13"/>
      <c r="M675" s="15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9"/>
      <c r="J676" s="13"/>
      <c r="K676" s="13"/>
      <c r="L676" s="13"/>
      <c r="M676" s="15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9"/>
      <c r="J677" s="13"/>
      <c r="K677" s="13"/>
      <c r="L677" s="13"/>
      <c r="M677" s="15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9"/>
      <c r="J678" s="13"/>
      <c r="K678" s="13"/>
      <c r="L678" s="13"/>
      <c r="M678" s="15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9"/>
      <c r="J679" s="13"/>
      <c r="K679" s="13"/>
      <c r="L679" s="13"/>
      <c r="M679" s="15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9"/>
      <c r="J680" s="13"/>
      <c r="K680" s="13"/>
      <c r="L680" s="13"/>
      <c r="M680" s="15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9"/>
      <c r="J681" s="13"/>
      <c r="K681" s="13"/>
      <c r="L681" s="13"/>
      <c r="M681" s="15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9"/>
      <c r="J682" s="13"/>
      <c r="K682" s="13"/>
      <c r="L682" s="13"/>
      <c r="M682" s="15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9"/>
      <c r="J683" s="13"/>
      <c r="K683" s="13"/>
      <c r="L683" s="13"/>
      <c r="M683" s="15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9"/>
      <c r="J684" s="13"/>
      <c r="K684" s="13"/>
      <c r="L684" s="13"/>
      <c r="M684" s="15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9"/>
      <c r="J685" s="13"/>
      <c r="K685" s="13"/>
      <c r="L685" s="13"/>
      <c r="M685" s="15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9"/>
      <c r="J686" s="13"/>
      <c r="K686" s="13"/>
      <c r="L686" s="13"/>
      <c r="M686" s="15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9"/>
      <c r="J687" s="13"/>
      <c r="K687" s="13"/>
      <c r="L687" s="13"/>
      <c r="M687" s="15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9"/>
      <c r="J688" s="13"/>
      <c r="K688" s="13"/>
      <c r="L688" s="13"/>
      <c r="M688" s="15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9"/>
      <c r="J689" s="13"/>
      <c r="K689" s="13"/>
      <c r="L689" s="13"/>
      <c r="M689" s="15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9"/>
      <c r="J690" s="13"/>
      <c r="K690" s="13"/>
      <c r="L690" s="13"/>
      <c r="M690" s="15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9"/>
      <c r="J691" s="13"/>
      <c r="K691" s="13"/>
      <c r="L691" s="13"/>
      <c r="M691" s="15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9"/>
      <c r="J692" s="13"/>
      <c r="K692" s="13"/>
      <c r="L692" s="13"/>
      <c r="M692" s="15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9"/>
      <c r="J693" s="13"/>
      <c r="K693" s="13"/>
      <c r="L693" s="13"/>
      <c r="M693" s="15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9"/>
      <c r="J694" s="13"/>
      <c r="K694" s="13"/>
      <c r="L694" s="13"/>
      <c r="M694" s="15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9"/>
      <c r="J695" s="13"/>
      <c r="K695" s="13"/>
      <c r="L695" s="13"/>
      <c r="M695" s="15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9"/>
      <c r="J696" s="13"/>
      <c r="K696" s="13"/>
      <c r="L696" s="13"/>
      <c r="M696" s="15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9"/>
      <c r="J697" s="13"/>
      <c r="K697" s="13"/>
      <c r="L697" s="13"/>
      <c r="M697" s="15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9"/>
      <c r="J698" s="13"/>
      <c r="K698" s="13"/>
      <c r="L698" s="13"/>
      <c r="M698" s="15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9"/>
      <c r="J699" s="13"/>
      <c r="K699" s="13"/>
      <c r="L699" s="13"/>
      <c r="M699" s="15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9"/>
      <c r="J700" s="13"/>
      <c r="K700" s="13"/>
      <c r="L700" s="13"/>
      <c r="M700" s="15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9"/>
      <c r="J701" s="13"/>
      <c r="K701" s="13"/>
      <c r="L701" s="13"/>
      <c r="M701" s="15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9"/>
      <c r="J702" s="13"/>
      <c r="K702" s="13"/>
      <c r="L702" s="13"/>
      <c r="M702" s="15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9"/>
      <c r="J703" s="13"/>
      <c r="K703" s="13"/>
      <c r="L703" s="13"/>
      <c r="M703" s="15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9"/>
      <c r="J704" s="13"/>
      <c r="K704" s="13"/>
      <c r="L704" s="13"/>
      <c r="M704" s="15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9"/>
      <c r="J705" s="13"/>
      <c r="K705" s="13"/>
      <c r="L705" s="13"/>
      <c r="M705" s="15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9"/>
      <c r="J706" s="13"/>
      <c r="K706" s="13"/>
      <c r="L706" s="13"/>
      <c r="M706" s="15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9"/>
      <c r="J707" s="13"/>
      <c r="K707" s="13"/>
      <c r="L707" s="13"/>
      <c r="M707" s="15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9"/>
      <c r="J708" s="13"/>
      <c r="K708" s="13"/>
      <c r="L708" s="13"/>
      <c r="M708" s="15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9"/>
      <c r="J709" s="13"/>
      <c r="K709" s="13"/>
      <c r="L709" s="13"/>
      <c r="M709" s="15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9"/>
      <c r="J710" s="13"/>
      <c r="K710" s="13"/>
      <c r="L710" s="13"/>
      <c r="M710" s="15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9"/>
      <c r="J711" s="13"/>
      <c r="K711" s="13"/>
      <c r="L711" s="13"/>
      <c r="M711" s="15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9"/>
      <c r="J712" s="13"/>
      <c r="K712" s="13"/>
      <c r="L712" s="13"/>
      <c r="M712" s="15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9"/>
      <c r="J713" s="13"/>
      <c r="K713" s="13"/>
      <c r="L713" s="13"/>
      <c r="M713" s="15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9"/>
      <c r="J714" s="13"/>
      <c r="K714" s="13"/>
      <c r="L714" s="13"/>
      <c r="M714" s="15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9"/>
      <c r="J715" s="13"/>
      <c r="K715" s="13"/>
      <c r="L715" s="13"/>
      <c r="M715" s="15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9"/>
      <c r="J716" s="13"/>
      <c r="K716" s="13"/>
      <c r="L716" s="13"/>
      <c r="M716" s="15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9"/>
      <c r="J717" s="13"/>
      <c r="K717" s="13"/>
      <c r="L717" s="13"/>
      <c r="M717" s="15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9"/>
      <c r="J718" s="13"/>
      <c r="K718" s="13"/>
      <c r="L718" s="13"/>
      <c r="M718" s="15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9"/>
      <c r="J719" s="13"/>
      <c r="K719" s="13"/>
      <c r="L719" s="13"/>
      <c r="M719" s="15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9"/>
      <c r="J720" s="13"/>
      <c r="K720" s="13"/>
      <c r="L720" s="13"/>
      <c r="M720" s="15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9"/>
      <c r="J721" s="13"/>
      <c r="K721" s="13"/>
      <c r="L721" s="13"/>
      <c r="M721" s="15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9"/>
      <c r="J722" s="13"/>
      <c r="K722" s="13"/>
      <c r="L722" s="13"/>
      <c r="M722" s="15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9"/>
      <c r="J723" s="13"/>
      <c r="K723" s="13"/>
      <c r="L723" s="13"/>
      <c r="M723" s="15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9"/>
      <c r="J724" s="13"/>
      <c r="K724" s="13"/>
      <c r="L724" s="13"/>
      <c r="M724" s="15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9"/>
      <c r="J725" s="13"/>
      <c r="K725" s="13"/>
      <c r="L725" s="13"/>
      <c r="M725" s="15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9"/>
      <c r="J726" s="13"/>
      <c r="K726" s="13"/>
      <c r="L726" s="13"/>
      <c r="M726" s="15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9"/>
      <c r="J727" s="13"/>
      <c r="K727" s="13"/>
      <c r="L727" s="13"/>
      <c r="M727" s="15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9"/>
      <c r="J728" s="13"/>
      <c r="K728" s="13"/>
      <c r="L728" s="13"/>
      <c r="M728" s="15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9"/>
      <c r="J729" s="13"/>
      <c r="K729" s="13"/>
      <c r="L729" s="13"/>
      <c r="M729" s="15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9"/>
      <c r="J730" s="13"/>
      <c r="K730" s="13"/>
      <c r="L730" s="13"/>
      <c r="M730" s="15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9"/>
      <c r="J731" s="13"/>
      <c r="K731" s="13"/>
      <c r="L731" s="13"/>
      <c r="M731" s="15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9"/>
      <c r="J732" s="13"/>
      <c r="K732" s="13"/>
      <c r="L732" s="13"/>
      <c r="M732" s="15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9"/>
      <c r="J733" s="13"/>
      <c r="K733" s="13"/>
      <c r="L733" s="13"/>
      <c r="M733" s="15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9"/>
      <c r="J734" s="13"/>
      <c r="K734" s="13"/>
      <c r="L734" s="13"/>
      <c r="M734" s="15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9"/>
      <c r="J735" s="13"/>
      <c r="K735" s="13"/>
      <c r="L735" s="13"/>
      <c r="M735" s="15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9"/>
      <c r="J736" s="13"/>
      <c r="K736" s="13"/>
      <c r="L736" s="13"/>
      <c r="M736" s="15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9"/>
      <c r="J737" s="13"/>
      <c r="K737" s="13"/>
      <c r="L737" s="13"/>
      <c r="M737" s="15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9"/>
      <c r="J738" s="13"/>
      <c r="K738" s="13"/>
      <c r="L738" s="13"/>
      <c r="M738" s="15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9"/>
      <c r="J739" s="13"/>
      <c r="K739" s="13"/>
      <c r="L739" s="13"/>
      <c r="M739" s="15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9"/>
      <c r="J740" s="13"/>
      <c r="K740" s="13"/>
      <c r="L740" s="13"/>
      <c r="M740" s="15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9"/>
      <c r="J741" s="13"/>
      <c r="K741" s="13"/>
      <c r="L741" s="13"/>
      <c r="M741" s="15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9"/>
      <c r="J742" s="13"/>
      <c r="K742" s="13"/>
      <c r="L742" s="13"/>
      <c r="M742" s="15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9"/>
      <c r="J743" s="13"/>
      <c r="K743" s="13"/>
      <c r="L743" s="13"/>
      <c r="M743" s="15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9"/>
      <c r="J744" s="13"/>
      <c r="K744" s="13"/>
      <c r="L744" s="13"/>
      <c r="M744" s="15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9"/>
      <c r="J745" s="13"/>
      <c r="K745" s="13"/>
      <c r="L745" s="13"/>
      <c r="M745" s="15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9"/>
      <c r="J746" s="13"/>
      <c r="K746" s="13"/>
      <c r="L746" s="13"/>
      <c r="M746" s="15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9"/>
      <c r="J747" s="13"/>
      <c r="K747" s="13"/>
      <c r="L747" s="13"/>
      <c r="M747" s="15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9"/>
      <c r="J748" s="13"/>
      <c r="K748" s="13"/>
      <c r="L748" s="13"/>
      <c r="M748" s="15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9"/>
      <c r="J749" s="13"/>
      <c r="K749" s="13"/>
      <c r="L749" s="13"/>
      <c r="M749" s="15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9"/>
      <c r="J750" s="13"/>
      <c r="K750" s="13"/>
      <c r="L750" s="13"/>
      <c r="M750" s="15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9"/>
      <c r="J751" s="13"/>
      <c r="K751" s="13"/>
      <c r="L751" s="13"/>
      <c r="M751" s="15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9"/>
      <c r="J752" s="13"/>
      <c r="K752" s="13"/>
      <c r="L752" s="13"/>
      <c r="M752" s="15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9"/>
      <c r="J753" s="13"/>
      <c r="K753" s="13"/>
      <c r="L753" s="13"/>
      <c r="M753" s="15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9"/>
      <c r="J754" s="13"/>
      <c r="K754" s="13"/>
      <c r="L754" s="13"/>
      <c r="M754" s="15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9"/>
      <c r="J755" s="13"/>
      <c r="K755" s="13"/>
      <c r="L755" s="13"/>
      <c r="M755" s="15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9"/>
      <c r="J756" s="13"/>
      <c r="K756" s="13"/>
      <c r="L756" s="13"/>
      <c r="M756" s="15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9"/>
      <c r="J757" s="13"/>
      <c r="K757" s="13"/>
      <c r="L757" s="13"/>
      <c r="M757" s="15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9"/>
      <c r="J758" s="13"/>
      <c r="K758" s="13"/>
      <c r="L758" s="13"/>
      <c r="M758" s="15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9"/>
      <c r="J759" s="13"/>
      <c r="K759" s="13"/>
      <c r="L759" s="13"/>
      <c r="M759" s="15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9"/>
      <c r="J760" s="13"/>
      <c r="K760" s="13"/>
      <c r="L760" s="13"/>
      <c r="M760" s="15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9"/>
      <c r="J761" s="13"/>
      <c r="K761" s="13"/>
      <c r="L761" s="13"/>
      <c r="M761" s="15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9"/>
      <c r="J762" s="13"/>
      <c r="K762" s="13"/>
      <c r="L762" s="13"/>
      <c r="M762" s="15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9"/>
      <c r="J763" s="13"/>
      <c r="K763" s="13"/>
      <c r="L763" s="13"/>
      <c r="M763" s="15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9"/>
      <c r="J764" s="13"/>
      <c r="K764" s="13"/>
      <c r="L764" s="13"/>
      <c r="M764" s="15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9"/>
      <c r="J765" s="13"/>
      <c r="K765" s="13"/>
      <c r="L765" s="13"/>
      <c r="M765" s="15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9"/>
      <c r="J766" s="13"/>
      <c r="K766" s="13"/>
      <c r="L766" s="13"/>
      <c r="M766" s="15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9"/>
      <c r="J767" s="13"/>
      <c r="K767" s="13"/>
      <c r="L767" s="13"/>
      <c r="M767" s="15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9"/>
      <c r="J768" s="13"/>
      <c r="K768" s="13"/>
      <c r="L768" s="13"/>
      <c r="M768" s="15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9"/>
      <c r="J769" s="13"/>
      <c r="K769" s="13"/>
      <c r="L769" s="13"/>
      <c r="M769" s="15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9"/>
      <c r="J770" s="13"/>
      <c r="K770" s="13"/>
      <c r="L770" s="13"/>
      <c r="M770" s="15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9"/>
      <c r="J771" s="13"/>
      <c r="K771" s="13"/>
      <c r="L771" s="13"/>
      <c r="M771" s="15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9"/>
      <c r="J772" s="13"/>
      <c r="K772" s="13"/>
      <c r="L772" s="13"/>
      <c r="M772" s="15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9"/>
      <c r="J773" s="13"/>
      <c r="K773" s="13"/>
      <c r="L773" s="13"/>
      <c r="M773" s="15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9"/>
      <c r="J774" s="13"/>
      <c r="K774" s="13"/>
      <c r="L774" s="13"/>
      <c r="M774" s="15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9"/>
      <c r="J775" s="13"/>
      <c r="K775" s="13"/>
      <c r="L775" s="13"/>
      <c r="M775" s="15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9"/>
      <c r="J776" s="13"/>
      <c r="K776" s="13"/>
      <c r="L776" s="13"/>
      <c r="M776" s="15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9"/>
      <c r="J777" s="13"/>
      <c r="K777" s="13"/>
      <c r="L777" s="13"/>
      <c r="M777" s="15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9"/>
      <c r="J778" s="13"/>
      <c r="K778" s="13"/>
      <c r="L778" s="13"/>
      <c r="M778" s="15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9"/>
      <c r="J779" s="13"/>
      <c r="K779" s="13"/>
      <c r="L779" s="13"/>
      <c r="M779" s="15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9"/>
      <c r="J780" s="13"/>
      <c r="K780" s="13"/>
      <c r="L780" s="13"/>
      <c r="M780" s="15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9"/>
      <c r="J781" s="13"/>
      <c r="K781" s="13"/>
      <c r="L781" s="13"/>
      <c r="M781" s="15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9"/>
      <c r="J782" s="13"/>
      <c r="K782" s="13"/>
      <c r="L782" s="13"/>
      <c r="M782" s="15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9"/>
      <c r="J783" s="13"/>
      <c r="K783" s="13"/>
      <c r="L783" s="13"/>
      <c r="M783" s="15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9"/>
      <c r="J784" s="13"/>
      <c r="K784" s="13"/>
      <c r="L784" s="13"/>
      <c r="M784" s="15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9"/>
      <c r="J785" s="13"/>
      <c r="K785" s="13"/>
      <c r="L785" s="13"/>
      <c r="M785" s="15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9"/>
      <c r="J786" s="13"/>
      <c r="K786" s="13"/>
      <c r="L786" s="13"/>
      <c r="M786" s="15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9"/>
      <c r="J787" s="13"/>
      <c r="K787" s="13"/>
      <c r="L787" s="13"/>
      <c r="M787" s="15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9"/>
      <c r="J788" s="13"/>
      <c r="K788" s="13"/>
      <c r="L788" s="13"/>
      <c r="M788" s="15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9"/>
      <c r="J789" s="13"/>
      <c r="K789" s="13"/>
      <c r="L789" s="13"/>
      <c r="M789" s="15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9"/>
      <c r="J790" s="13"/>
      <c r="K790" s="13"/>
      <c r="L790" s="13"/>
      <c r="M790" s="15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9"/>
      <c r="J791" s="13"/>
      <c r="K791" s="13"/>
      <c r="L791" s="13"/>
      <c r="M791" s="15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9"/>
      <c r="J792" s="13"/>
      <c r="K792" s="13"/>
      <c r="L792" s="13"/>
      <c r="M792" s="15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9"/>
      <c r="J793" s="13"/>
      <c r="K793" s="13"/>
      <c r="L793" s="13"/>
      <c r="M793" s="15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9"/>
      <c r="J794" s="13"/>
      <c r="K794" s="13"/>
      <c r="L794" s="13"/>
      <c r="M794" s="15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9"/>
      <c r="J795" s="13"/>
      <c r="K795" s="13"/>
      <c r="L795" s="13"/>
      <c r="M795" s="15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9"/>
      <c r="J796" s="13"/>
      <c r="K796" s="13"/>
      <c r="L796" s="13"/>
      <c r="M796" s="15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9"/>
      <c r="J797" s="13"/>
      <c r="K797" s="13"/>
      <c r="L797" s="13"/>
      <c r="M797" s="15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9"/>
      <c r="J798" s="13"/>
      <c r="K798" s="13"/>
      <c r="L798" s="13"/>
      <c r="M798" s="15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9"/>
      <c r="J799" s="13"/>
      <c r="K799" s="13"/>
      <c r="L799" s="13"/>
      <c r="M799" s="15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9"/>
      <c r="J800" s="13"/>
      <c r="K800" s="13"/>
      <c r="L800" s="13"/>
      <c r="M800" s="15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9"/>
      <c r="J801" s="13"/>
      <c r="K801" s="13"/>
      <c r="L801" s="13"/>
      <c r="M801" s="15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9"/>
      <c r="J802" s="13"/>
      <c r="K802" s="13"/>
      <c r="L802" s="13"/>
      <c r="M802" s="15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9"/>
      <c r="J803" s="13"/>
      <c r="K803" s="13"/>
      <c r="L803" s="13"/>
      <c r="M803" s="15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9"/>
      <c r="J804" s="13"/>
      <c r="K804" s="13"/>
      <c r="L804" s="13"/>
      <c r="M804" s="15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9"/>
      <c r="J805" s="13"/>
      <c r="K805" s="13"/>
      <c r="L805" s="13"/>
      <c r="M805" s="15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9"/>
      <c r="J806" s="13"/>
      <c r="K806" s="13"/>
      <c r="L806" s="13"/>
      <c r="M806" s="15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9"/>
      <c r="J807" s="13"/>
      <c r="K807" s="13"/>
      <c r="L807" s="13"/>
      <c r="M807" s="15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9"/>
      <c r="J808" s="13"/>
      <c r="K808" s="13"/>
      <c r="L808" s="13"/>
      <c r="M808" s="15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9"/>
      <c r="J809" s="13"/>
      <c r="K809" s="13"/>
      <c r="L809" s="13"/>
      <c r="M809" s="15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9"/>
      <c r="J810" s="13"/>
      <c r="K810" s="13"/>
      <c r="L810" s="13"/>
      <c r="M810" s="15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9"/>
      <c r="J811" s="13"/>
      <c r="K811" s="13"/>
      <c r="L811" s="13"/>
      <c r="M811" s="15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9"/>
      <c r="J812" s="13"/>
      <c r="K812" s="13"/>
      <c r="L812" s="13"/>
      <c r="M812" s="15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9"/>
      <c r="J813" s="13"/>
      <c r="K813" s="13"/>
      <c r="L813" s="13"/>
      <c r="M813" s="15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9"/>
      <c r="J814" s="13"/>
      <c r="K814" s="13"/>
      <c r="L814" s="13"/>
      <c r="M814" s="15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9"/>
      <c r="J815" s="13"/>
      <c r="K815" s="13"/>
      <c r="L815" s="13"/>
      <c r="M815" s="15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9"/>
      <c r="J816" s="13"/>
      <c r="K816" s="13"/>
      <c r="L816" s="13"/>
      <c r="M816" s="15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9"/>
      <c r="J817" s="13"/>
      <c r="K817" s="13"/>
      <c r="L817" s="13"/>
      <c r="M817" s="15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9"/>
      <c r="J818" s="13"/>
      <c r="K818" s="13"/>
      <c r="L818" s="13"/>
      <c r="M818" s="15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9"/>
      <c r="J819" s="13"/>
      <c r="K819" s="13"/>
      <c r="L819" s="13"/>
      <c r="M819" s="15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9"/>
      <c r="J820" s="13"/>
      <c r="K820" s="13"/>
      <c r="L820" s="13"/>
      <c r="M820" s="15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9"/>
      <c r="J821" s="13"/>
      <c r="K821" s="13"/>
      <c r="L821" s="13"/>
      <c r="M821" s="15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9"/>
      <c r="J822" s="13"/>
      <c r="K822" s="13"/>
      <c r="L822" s="13"/>
      <c r="M822" s="15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9"/>
      <c r="J823" s="13"/>
      <c r="K823" s="13"/>
      <c r="L823" s="13"/>
      <c r="M823" s="15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9"/>
      <c r="J824" s="13"/>
      <c r="K824" s="13"/>
      <c r="L824" s="13"/>
      <c r="M824" s="15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9"/>
      <c r="J825" s="13"/>
      <c r="K825" s="13"/>
      <c r="L825" s="13"/>
      <c r="M825" s="15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9"/>
      <c r="J826" s="13"/>
      <c r="K826" s="13"/>
      <c r="L826" s="13"/>
      <c r="M826" s="15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9"/>
      <c r="J827" s="13"/>
      <c r="K827" s="13"/>
      <c r="L827" s="13"/>
      <c r="M827" s="15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9"/>
      <c r="J828" s="13"/>
      <c r="K828" s="13"/>
      <c r="L828" s="13"/>
      <c r="M828" s="15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9"/>
      <c r="J829" s="13"/>
      <c r="K829" s="13"/>
      <c r="L829" s="13"/>
      <c r="M829" s="15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9"/>
      <c r="J830" s="13"/>
      <c r="K830" s="13"/>
      <c r="L830" s="13"/>
      <c r="M830" s="15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9"/>
      <c r="J831" s="13"/>
      <c r="K831" s="13"/>
      <c r="L831" s="13"/>
      <c r="M831" s="15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9"/>
      <c r="J832" s="13"/>
      <c r="K832" s="13"/>
      <c r="L832" s="13"/>
      <c r="M832" s="15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9"/>
      <c r="J833" s="13"/>
      <c r="K833" s="13"/>
      <c r="L833" s="13"/>
      <c r="M833" s="15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9"/>
      <c r="J834" s="13"/>
      <c r="K834" s="13"/>
      <c r="L834" s="13"/>
      <c r="M834" s="15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9"/>
      <c r="J835" s="13"/>
      <c r="K835" s="13"/>
      <c r="L835" s="13"/>
      <c r="M835" s="15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9"/>
      <c r="J836" s="13"/>
      <c r="K836" s="13"/>
      <c r="L836" s="13"/>
      <c r="M836" s="15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9"/>
      <c r="J837" s="13"/>
      <c r="K837" s="13"/>
      <c r="L837" s="13"/>
      <c r="M837" s="15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9"/>
      <c r="J838" s="13"/>
      <c r="K838" s="13"/>
      <c r="L838" s="13"/>
      <c r="M838" s="15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9"/>
      <c r="J839" s="13"/>
      <c r="K839" s="13"/>
      <c r="L839" s="13"/>
      <c r="M839" s="15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9"/>
      <c r="J840" s="13"/>
      <c r="K840" s="13"/>
      <c r="L840" s="13"/>
      <c r="M840" s="15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9"/>
      <c r="J841" s="13"/>
      <c r="K841" s="13"/>
      <c r="L841" s="13"/>
      <c r="M841" s="15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9"/>
      <c r="J842" s="13"/>
      <c r="K842" s="13"/>
      <c r="L842" s="13"/>
      <c r="M842" s="15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9"/>
      <c r="J843" s="13"/>
      <c r="K843" s="13"/>
      <c r="L843" s="13"/>
      <c r="M843" s="15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9"/>
      <c r="J844" s="13"/>
      <c r="K844" s="13"/>
      <c r="L844" s="13"/>
      <c r="M844" s="15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9"/>
      <c r="J845" s="13"/>
      <c r="K845" s="13"/>
      <c r="L845" s="13"/>
      <c r="M845" s="15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9"/>
      <c r="J846" s="13"/>
      <c r="K846" s="13"/>
      <c r="L846" s="13"/>
      <c r="M846" s="15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9"/>
      <c r="J847" s="13"/>
      <c r="K847" s="13"/>
      <c r="L847" s="13"/>
      <c r="M847" s="15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9"/>
      <c r="J848" s="13"/>
      <c r="K848" s="13"/>
      <c r="L848" s="13"/>
      <c r="M848" s="15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9"/>
      <c r="J849" s="13"/>
      <c r="K849" s="13"/>
      <c r="L849" s="13"/>
      <c r="M849" s="15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9"/>
      <c r="J850" s="13"/>
      <c r="K850" s="13"/>
      <c r="L850" s="13"/>
      <c r="M850" s="15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9"/>
      <c r="J851" s="13"/>
      <c r="K851" s="13"/>
      <c r="L851" s="13"/>
      <c r="M851" s="15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9"/>
      <c r="J852" s="13"/>
      <c r="K852" s="13"/>
      <c r="L852" s="13"/>
      <c r="M852" s="15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9"/>
      <c r="J853" s="13"/>
      <c r="K853" s="13"/>
      <c r="L853" s="13"/>
      <c r="M853" s="15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9"/>
      <c r="J854" s="13"/>
      <c r="K854" s="13"/>
      <c r="L854" s="13"/>
      <c r="M854" s="15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9"/>
      <c r="J855" s="13"/>
      <c r="K855" s="13"/>
      <c r="L855" s="13"/>
      <c r="M855" s="15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9"/>
      <c r="J856" s="13"/>
      <c r="K856" s="13"/>
      <c r="L856" s="13"/>
      <c r="M856" s="15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9"/>
      <c r="J857" s="13"/>
      <c r="K857" s="13"/>
      <c r="L857" s="13"/>
      <c r="M857" s="15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9"/>
      <c r="J858" s="13"/>
      <c r="K858" s="13"/>
      <c r="L858" s="13"/>
      <c r="M858" s="15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9"/>
      <c r="J859" s="13"/>
      <c r="K859" s="13"/>
      <c r="L859" s="13"/>
      <c r="M859" s="15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9"/>
      <c r="J860" s="13"/>
      <c r="K860" s="13"/>
      <c r="L860" s="13"/>
      <c r="M860" s="15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9"/>
      <c r="J861" s="13"/>
      <c r="K861" s="13"/>
      <c r="L861" s="13"/>
      <c r="M861" s="15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9"/>
      <c r="J862" s="13"/>
      <c r="K862" s="13"/>
      <c r="L862" s="13"/>
      <c r="M862" s="15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9"/>
      <c r="J863" s="13"/>
      <c r="K863" s="13"/>
      <c r="L863" s="13"/>
      <c r="M863" s="15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9"/>
      <c r="J864" s="13"/>
      <c r="K864" s="13"/>
      <c r="L864" s="13"/>
      <c r="M864" s="15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9"/>
      <c r="J865" s="13"/>
      <c r="K865" s="13"/>
      <c r="L865" s="13"/>
      <c r="M865" s="15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9"/>
      <c r="J866" s="13"/>
      <c r="K866" s="13"/>
      <c r="L866" s="13"/>
      <c r="M866" s="15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9"/>
      <c r="J867" s="13"/>
      <c r="K867" s="13"/>
      <c r="L867" s="13"/>
      <c r="M867" s="15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9"/>
      <c r="J868" s="13"/>
      <c r="K868" s="13"/>
      <c r="L868" s="13"/>
      <c r="M868" s="15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9"/>
      <c r="J869" s="13"/>
      <c r="K869" s="13"/>
      <c r="L869" s="13"/>
      <c r="M869" s="15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9"/>
      <c r="J870" s="13"/>
      <c r="K870" s="13"/>
      <c r="L870" s="13"/>
      <c r="M870" s="15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9"/>
      <c r="J871" s="13"/>
      <c r="K871" s="13"/>
      <c r="L871" s="13"/>
      <c r="M871" s="15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9"/>
      <c r="J872" s="13"/>
      <c r="K872" s="13"/>
      <c r="L872" s="13"/>
      <c r="M872" s="15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9"/>
      <c r="J873" s="13"/>
      <c r="K873" s="13"/>
      <c r="L873" s="13"/>
      <c r="M873" s="15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9"/>
      <c r="J874" s="13"/>
      <c r="K874" s="13"/>
      <c r="L874" s="13"/>
      <c r="M874" s="15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9"/>
      <c r="J875" s="13"/>
      <c r="K875" s="13"/>
      <c r="L875" s="13"/>
      <c r="M875" s="15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9"/>
      <c r="J876" s="13"/>
      <c r="K876" s="13"/>
      <c r="L876" s="13"/>
      <c r="M876" s="15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9"/>
      <c r="J877" s="13"/>
      <c r="K877" s="13"/>
      <c r="L877" s="13"/>
      <c r="M877" s="15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9"/>
      <c r="J878" s="13"/>
      <c r="K878" s="13"/>
      <c r="L878" s="13"/>
      <c r="M878" s="15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9"/>
      <c r="J879" s="13"/>
      <c r="K879" s="13"/>
      <c r="L879" s="13"/>
      <c r="M879" s="15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9"/>
      <c r="J880" s="13"/>
      <c r="K880" s="13"/>
      <c r="L880" s="13"/>
      <c r="M880" s="15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9"/>
      <c r="J881" s="13"/>
      <c r="K881" s="13"/>
      <c r="L881" s="13"/>
      <c r="M881" s="15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9"/>
      <c r="J882" s="13"/>
      <c r="K882" s="13"/>
      <c r="L882" s="13"/>
      <c r="M882" s="15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9"/>
      <c r="J883" s="13"/>
      <c r="K883" s="13"/>
      <c r="L883" s="13"/>
      <c r="M883" s="15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9"/>
      <c r="J884" s="13"/>
      <c r="K884" s="13"/>
      <c r="L884" s="13"/>
      <c r="M884" s="15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9"/>
      <c r="J885" s="13"/>
      <c r="K885" s="13"/>
      <c r="L885" s="13"/>
      <c r="M885" s="15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9"/>
      <c r="J886" s="13"/>
      <c r="K886" s="13"/>
      <c r="L886" s="13"/>
      <c r="M886" s="15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9"/>
      <c r="J887" s="13"/>
      <c r="K887" s="13"/>
      <c r="L887" s="13"/>
      <c r="M887" s="15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9"/>
      <c r="J888" s="13"/>
      <c r="K888" s="13"/>
      <c r="L888" s="13"/>
      <c r="M888" s="15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9"/>
      <c r="J889" s="13"/>
      <c r="K889" s="13"/>
      <c r="L889" s="13"/>
      <c r="M889" s="15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9"/>
      <c r="J890" s="13"/>
      <c r="K890" s="13"/>
      <c r="L890" s="13"/>
      <c r="M890" s="15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9"/>
      <c r="J891" s="13"/>
      <c r="K891" s="13"/>
      <c r="L891" s="13"/>
      <c r="M891" s="15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9"/>
      <c r="J892" s="13"/>
      <c r="K892" s="13"/>
      <c r="L892" s="13"/>
      <c r="M892" s="15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9"/>
      <c r="J893" s="13"/>
      <c r="K893" s="13"/>
      <c r="L893" s="13"/>
      <c r="M893" s="15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9"/>
      <c r="J894" s="13"/>
      <c r="K894" s="13"/>
      <c r="L894" s="13"/>
      <c r="M894" s="15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9"/>
      <c r="J895" s="13"/>
      <c r="K895" s="13"/>
      <c r="L895" s="13"/>
      <c r="M895" s="15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9"/>
      <c r="J896" s="13"/>
      <c r="K896" s="13"/>
      <c r="L896" s="13"/>
      <c r="M896" s="15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9"/>
      <c r="J897" s="13"/>
      <c r="K897" s="13"/>
      <c r="L897" s="13"/>
      <c r="M897" s="15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9"/>
      <c r="J898" s="13"/>
      <c r="K898" s="13"/>
      <c r="L898" s="13"/>
      <c r="M898" s="15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9"/>
      <c r="J899" s="13"/>
      <c r="K899" s="13"/>
      <c r="L899" s="13"/>
      <c r="M899" s="15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9"/>
      <c r="J900" s="13"/>
      <c r="K900" s="13"/>
      <c r="L900" s="13"/>
      <c r="M900" s="15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9"/>
      <c r="J901" s="13"/>
      <c r="K901" s="13"/>
      <c r="L901" s="13"/>
      <c r="M901" s="15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9"/>
      <c r="J902" s="13"/>
      <c r="K902" s="13"/>
      <c r="L902" s="13"/>
      <c r="M902" s="15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9"/>
      <c r="J903" s="13"/>
      <c r="K903" s="13"/>
      <c r="L903" s="13"/>
      <c r="M903" s="15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9"/>
      <c r="J904" s="13"/>
      <c r="K904" s="13"/>
      <c r="L904" s="13"/>
      <c r="M904" s="15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9"/>
      <c r="J905" s="13"/>
      <c r="K905" s="13"/>
      <c r="L905" s="13"/>
      <c r="M905" s="15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9"/>
      <c r="J906" s="13"/>
      <c r="K906" s="13"/>
      <c r="L906" s="13"/>
      <c r="M906" s="15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9"/>
      <c r="J907" s="13"/>
      <c r="K907" s="13"/>
      <c r="L907" s="13"/>
      <c r="M907" s="15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9"/>
      <c r="J908" s="13"/>
      <c r="K908" s="13"/>
      <c r="L908" s="13"/>
      <c r="M908" s="15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9"/>
      <c r="J909" s="13"/>
      <c r="K909" s="13"/>
      <c r="L909" s="13"/>
      <c r="M909" s="15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9"/>
      <c r="J910" s="13"/>
      <c r="K910" s="13"/>
      <c r="L910" s="13"/>
      <c r="M910" s="15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9"/>
      <c r="J911" s="13"/>
      <c r="K911" s="13"/>
      <c r="L911" s="13"/>
      <c r="M911" s="15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9"/>
      <c r="J912" s="13"/>
      <c r="K912" s="13"/>
      <c r="L912" s="13"/>
      <c r="M912" s="15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9"/>
      <c r="J913" s="13"/>
      <c r="K913" s="13"/>
      <c r="L913" s="13"/>
      <c r="M913" s="15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9"/>
      <c r="J914" s="13"/>
      <c r="K914" s="13"/>
      <c r="L914" s="13"/>
      <c r="M914" s="15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9"/>
      <c r="J915" s="13"/>
      <c r="K915" s="13"/>
      <c r="L915" s="13"/>
      <c r="M915" s="15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9"/>
      <c r="J916" s="13"/>
      <c r="K916" s="13"/>
      <c r="L916" s="13"/>
      <c r="M916" s="15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9"/>
      <c r="J917" s="13"/>
      <c r="K917" s="13"/>
      <c r="L917" s="13"/>
      <c r="M917" s="15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9"/>
      <c r="J918" s="13"/>
      <c r="K918" s="13"/>
      <c r="L918" s="13"/>
      <c r="M918" s="15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9"/>
      <c r="J919" s="13"/>
      <c r="K919" s="13"/>
      <c r="L919" s="13"/>
      <c r="M919" s="15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9"/>
      <c r="J920" s="13"/>
      <c r="K920" s="13"/>
      <c r="L920" s="13"/>
      <c r="M920" s="15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9"/>
      <c r="J921" s="13"/>
      <c r="K921" s="13"/>
      <c r="L921" s="13"/>
      <c r="M921" s="15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9"/>
      <c r="J922" s="13"/>
      <c r="K922" s="13"/>
      <c r="L922" s="13"/>
      <c r="M922" s="15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9"/>
      <c r="J923" s="13"/>
      <c r="K923" s="13"/>
      <c r="L923" s="13"/>
      <c r="M923" s="15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9"/>
      <c r="J924" s="13"/>
      <c r="K924" s="13"/>
      <c r="L924" s="13"/>
      <c r="M924" s="15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9"/>
      <c r="J925" s="13"/>
      <c r="K925" s="13"/>
      <c r="L925" s="13"/>
      <c r="M925" s="15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9"/>
      <c r="J926" s="13"/>
      <c r="K926" s="13"/>
      <c r="L926" s="13"/>
      <c r="M926" s="15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9"/>
      <c r="J927" s="13"/>
      <c r="K927" s="13"/>
      <c r="L927" s="13"/>
      <c r="M927" s="15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9"/>
      <c r="J928" s="13"/>
      <c r="K928" s="13"/>
      <c r="L928" s="13"/>
      <c r="M928" s="15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9"/>
      <c r="J929" s="13"/>
      <c r="K929" s="13"/>
      <c r="L929" s="13"/>
      <c r="M929" s="15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9"/>
      <c r="J930" s="13"/>
      <c r="K930" s="13"/>
      <c r="L930" s="13"/>
      <c r="M930" s="15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9"/>
      <c r="J931" s="13"/>
      <c r="K931" s="13"/>
      <c r="L931" s="13"/>
      <c r="M931" s="15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9"/>
      <c r="J932" s="13"/>
      <c r="K932" s="13"/>
      <c r="L932" s="13"/>
      <c r="M932" s="15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9"/>
      <c r="J933" s="13"/>
      <c r="K933" s="13"/>
      <c r="L933" s="13"/>
      <c r="M933" s="15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9"/>
      <c r="J934" s="13"/>
      <c r="K934" s="13"/>
      <c r="L934" s="13"/>
      <c r="M934" s="15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9"/>
      <c r="J935" s="13"/>
      <c r="K935" s="13"/>
      <c r="L935" s="13"/>
      <c r="M935" s="15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9"/>
      <c r="J936" s="13"/>
      <c r="K936" s="13"/>
      <c r="L936" s="13"/>
      <c r="M936" s="15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9"/>
      <c r="J937" s="13"/>
      <c r="K937" s="13"/>
      <c r="L937" s="13"/>
      <c r="M937" s="15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9"/>
      <c r="J938" s="13"/>
      <c r="K938" s="13"/>
      <c r="L938" s="13"/>
      <c r="M938" s="15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9"/>
      <c r="J939" s="13"/>
      <c r="K939" s="13"/>
      <c r="L939" s="13"/>
      <c r="M939" s="15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9"/>
      <c r="J940" s="13"/>
      <c r="K940" s="13"/>
      <c r="L940" s="13"/>
      <c r="M940" s="15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9"/>
      <c r="J941" s="13"/>
      <c r="K941" s="13"/>
      <c r="L941" s="13"/>
      <c r="M941" s="15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9"/>
      <c r="J942" s="13"/>
      <c r="K942" s="13"/>
      <c r="L942" s="13"/>
      <c r="M942" s="15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9"/>
      <c r="J943" s="13"/>
      <c r="K943" s="13"/>
      <c r="L943" s="13"/>
      <c r="M943" s="15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9"/>
      <c r="J944" s="13"/>
      <c r="K944" s="13"/>
      <c r="L944" s="13"/>
      <c r="M944" s="15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9"/>
      <c r="J945" s="13"/>
      <c r="K945" s="13"/>
      <c r="L945" s="13"/>
      <c r="M945" s="15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9"/>
      <c r="J946" s="13"/>
      <c r="K946" s="13"/>
      <c r="L946" s="13"/>
      <c r="M946" s="15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9"/>
      <c r="J947" s="13"/>
      <c r="K947" s="13"/>
      <c r="L947" s="13"/>
      <c r="M947" s="15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9"/>
      <c r="J948" s="13"/>
      <c r="K948" s="13"/>
      <c r="L948" s="13"/>
      <c r="M948" s="15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9"/>
      <c r="J949" s="13"/>
      <c r="K949" s="13"/>
      <c r="L949" s="13"/>
      <c r="M949" s="15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9"/>
      <c r="J950" s="13"/>
      <c r="K950" s="13"/>
      <c r="L950" s="13"/>
      <c r="M950" s="15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9"/>
      <c r="J951" s="13"/>
      <c r="K951" s="13"/>
      <c r="L951" s="13"/>
      <c r="M951" s="15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9"/>
      <c r="J952" s="13"/>
      <c r="K952" s="13"/>
      <c r="L952" s="13"/>
      <c r="M952" s="15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9"/>
      <c r="J953" s="13"/>
      <c r="K953" s="13"/>
      <c r="L953" s="13"/>
      <c r="M953" s="15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9"/>
      <c r="J954" s="13"/>
      <c r="K954" s="13"/>
      <c r="L954" s="13"/>
      <c r="M954" s="15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9"/>
      <c r="J955" s="13"/>
      <c r="K955" s="13"/>
      <c r="L955" s="13"/>
      <c r="M955" s="15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9"/>
      <c r="J956" s="13"/>
      <c r="K956" s="13"/>
      <c r="L956" s="13"/>
      <c r="M956" s="15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9"/>
      <c r="J957" s="13"/>
      <c r="K957" s="13"/>
      <c r="L957" s="13"/>
      <c r="M957" s="15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9"/>
      <c r="J958" s="13"/>
      <c r="K958" s="13"/>
      <c r="L958" s="13"/>
      <c r="M958" s="15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9"/>
      <c r="J959" s="13"/>
      <c r="K959" s="13"/>
      <c r="L959" s="13"/>
      <c r="M959" s="15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9"/>
      <c r="J960" s="13"/>
      <c r="K960" s="13"/>
      <c r="L960" s="13"/>
      <c r="M960" s="15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9"/>
      <c r="J961" s="13"/>
      <c r="K961" s="13"/>
      <c r="L961" s="13"/>
      <c r="M961" s="15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9"/>
      <c r="J962" s="13"/>
      <c r="K962" s="13"/>
      <c r="L962" s="13"/>
      <c r="M962" s="15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9"/>
      <c r="J963" s="13"/>
      <c r="K963" s="13"/>
      <c r="L963" s="13"/>
      <c r="M963" s="15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9"/>
      <c r="J964" s="13"/>
      <c r="K964" s="13"/>
      <c r="L964" s="13"/>
      <c r="M964" s="15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9"/>
      <c r="J965" s="13"/>
      <c r="K965" s="13"/>
      <c r="L965" s="13"/>
      <c r="M965" s="15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9"/>
      <c r="J966" s="13"/>
      <c r="K966" s="13"/>
      <c r="L966" s="13"/>
      <c r="M966" s="15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9"/>
      <c r="J967" s="13"/>
      <c r="K967" s="13"/>
      <c r="L967" s="13"/>
      <c r="M967" s="15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9"/>
      <c r="J968" s="13"/>
      <c r="K968" s="13"/>
      <c r="L968" s="13"/>
      <c r="M968" s="15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9"/>
      <c r="J969" s="13"/>
      <c r="K969" s="13"/>
      <c r="L969" s="13"/>
      <c r="M969" s="15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9"/>
      <c r="J970" s="13"/>
      <c r="K970" s="13"/>
      <c r="L970" s="13"/>
      <c r="M970" s="15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9"/>
      <c r="J971" s="13"/>
      <c r="K971" s="13"/>
      <c r="L971" s="13"/>
      <c r="M971" s="15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9"/>
      <c r="J972" s="13"/>
      <c r="K972" s="13"/>
      <c r="L972" s="13"/>
      <c r="M972" s="15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9"/>
      <c r="J973" s="13"/>
      <c r="K973" s="13"/>
      <c r="L973" s="13"/>
      <c r="M973" s="15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9"/>
      <c r="J974" s="13"/>
      <c r="K974" s="13"/>
      <c r="L974" s="13"/>
      <c r="M974" s="15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9"/>
      <c r="J975" s="13"/>
      <c r="K975" s="13"/>
      <c r="L975" s="13"/>
      <c r="M975" s="15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9"/>
      <c r="J976" s="13"/>
      <c r="K976" s="13"/>
      <c r="L976" s="13"/>
      <c r="M976" s="15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9"/>
      <c r="J977" s="13"/>
      <c r="K977" s="13"/>
      <c r="L977" s="13"/>
      <c r="M977" s="15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9"/>
      <c r="J978" s="13"/>
      <c r="K978" s="13"/>
      <c r="L978" s="13"/>
      <c r="M978" s="15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9"/>
      <c r="J979" s="13"/>
      <c r="K979" s="13"/>
      <c r="L979" s="13"/>
      <c r="M979" s="15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9"/>
      <c r="J980" s="13"/>
      <c r="K980" s="13"/>
      <c r="L980" s="13"/>
      <c r="M980" s="15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9"/>
      <c r="J981" s="13"/>
      <c r="K981" s="13"/>
      <c r="L981" s="13"/>
      <c r="M981" s="15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9"/>
      <c r="J982" s="13"/>
      <c r="K982" s="13"/>
      <c r="L982" s="13"/>
      <c r="M982" s="15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9"/>
      <c r="J983" s="13"/>
      <c r="K983" s="13"/>
      <c r="L983" s="13"/>
      <c r="M983" s="15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9"/>
      <c r="J984" s="13"/>
      <c r="K984" s="13"/>
      <c r="L984" s="13"/>
      <c r="M984" s="15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9"/>
      <c r="J985" s="13"/>
      <c r="K985" s="13"/>
      <c r="L985" s="13"/>
      <c r="M985" s="15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9"/>
      <c r="J986" s="13"/>
      <c r="K986" s="13"/>
      <c r="L986" s="13"/>
      <c r="M986" s="15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9"/>
      <c r="J987" s="13"/>
      <c r="K987" s="13"/>
      <c r="L987" s="13"/>
      <c r="M987" s="15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9"/>
      <c r="J988" s="13"/>
      <c r="K988" s="13"/>
      <c r="L988" s="13"/>
      <c r="M988" s="15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9"/>
      <c r="J989" s="13"/>
      <c r="K989" s="13"/>
      <c r="L989" s="13"/>
      <c r="M989" s="15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9"/>
      <c r="J990" s="13"/>
      <c r="K990" s="13"/>
      <c r="L990" s="13"/>
      <c r="M990" s="15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9"/>
      <c r="J991" s="13"/>
      <c r="K991" s="13"/>
      <c r="L991" s="13"/>
      <c r="M991" s="15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9"/>
      <c r="J992" s="13"/>
      <c r="K992" s="13"/>
      <c r="L992" s="13"/>
      <c r="M992" s="15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9"/>
      <c r="J993" s="13"/>
      <c r="K993" s="13"/>
      <c r="L993" s="13"/>
      <c r="M993" s="15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9"/>
      <c r="J994" s="13"/>
      <c r="K994" s="13"/>
      <c r="L994" s="13"/>
      <c r="M994" s="15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9"/>
      <c r="J995" s="13"/>
      <c r="K995" s="13"/>
      <c r="L995" s="13"/>
      <c r="M995" s="15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9"/>
      <c r="J996" s="13"/>
      <c r="K996" s="13"/>
      <c r="L996" s="13"/>
      <c r="M996" s="15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9"/>
      <c r="J997" s="13"/>
      <c r="K997" s="13"/>
      <c r="L997" s="13"/>
      <c r="M997" s="15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9"/>
      <c r="J998" s="13"/>
      <c r="K998" s="13"/>
      <c r="L998" s="13"/>
      <c r="M998" s="15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9"/>
      <c r="J999" s="13"/>
      <c r="K999" s="13"/>
      <c r="L999" s="13"/>
      <c r="M999" s="15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9"/>
      <c r="J1000" s="13"/>
      <c r="K1000" s="13"/>
      <c r="L1000" s="13"/>
      <c r="M1000" s="15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9"/>
      <c r="J1001" s="13"/>
      <c r="K1001" s="13"/>
      <c r="L1001" s="13"/>
      <c r="M1001" s="15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9"/>
      <c r="J1002" s="13"/>
      <c r="K1002" s="13"/>
      <c r="L1002" s="13"/>
      <c r="M1002" s="15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9"/>
      <c r="J1003" s="13"/>
      <c r="K1003" s="13"/>
      <c r="L1003" s="13"/>
      <c r="M1003" s="15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9"/>
      <c r="J1004" s="13"/>
      <c r="K1004" s="13"/>
      <c r="L1004" s="13"/>
      <c r="M1004" s="15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9"/>
      <c r="J1005" s="13"/>
      <c r="K1005" s="13"/>
      <c r="L1005" s="13"/>
      <c r="M1005" s="15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9"/>
      <c r="J1006" s="13"/>
      <c r="K1006" s="13"/>
      <c r="L1006" s="13"/>
      <c r="M1006" s="15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9"/>
      <c r="J1007" s="13"/>
      <c r="K1007" s="13"/>
      <c r="L1007" s="13"/>
      <c r="M1007" s="15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9"/>
      <c r="J1008" s="13"/>
      <c r="K1008" s="13"/>
      <c r="L1008" s="13"/>
      <c r="M1008" s="15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9"/>
      <c r="J1009" s="13"/>
      <c r="K1009" s="13"/>
      <c r="L1009" s="13"/>
      <c r="M1009" s="15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9"/>
      <c r="J1010" s="13"/>
      <c r="K1010" s="13"/>
      <c r="L1010" s="13"/>
      <c r="M1010" s="15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9"/>
      <c r="J1011" s="13"/>
      <c r="K1011" s="13"/>
      <c r="L1011" s="13"/>
      <c r="M1011" s="15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9"/>
      <c r="J1012" s="13"/>
      <c r="K1012" s="13"/>
      <c r="L1012" s="13"/>
      <c r="M1012" s="15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9"/>
      <c r="J1013" s="13"/>
      <c r="K1013" s="13"/>
      <c r="L1013" s="13"/>
      <c r="M1013" s="15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9"/>
      <c r="J1014" s="13"/>
      <c r="K1014" s="13"/>
      <c r="L1014" s="13"/>
      <c r="M1014" s="15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9"/>
      <c r="J1015" s="13"/>
      <c r="K1015" s="13"/>
      <c r="L1015" s="13"/>
      <c r="M1015" s="15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9"/>
      <c r="J1016" s="13"/>
      <c r="K1016" s="13"/>
      <c r="L1016" s="13"/>
      <c r="M1016" s="15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9"/>
      <c r="J1017" s="13"/>
      <c r="K1017" s="13"/>
      <c r="L1017" s="13"/>
      <c r="M1017" s="15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9"/>
      <c r="J1018" s="13"/>
      <c r="K1018" s="13"/>
      <c r="L1018" s="13"/>
      <c r="M1018" s="15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9"/>
      <c r="J1019" s="13"/>
      <c r="K1019" s="13"/>
      <c r="L1019" s="13"/>
      <c r="M1019" s="15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9"/>
      <c r="J1020" s="13"/>
      <c r="K1020" s="13"/>
      <c r="L1020" s="13"/>
      <c r="M1020" s="15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9"/>
      <c r="J1021" s="13"/>
      <c r="K1021" s="13"/>
      <c r="L1021" s="13"/>
      <c r="M1021" s="15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9"/>
      <c r="J1022" s="13"/>
      <c r="K1022" s="13"/>
      <c r="L1022" s="13"/>
      <c r="M1022" s="15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9"/>
      <c r="J1023" s="13"/>
      <c r="K1023" s="13"/>
      <c r="L1023" s="13"/>
      <c r="M1023" s="15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9"/>
      <c r="J1024" s="13"/>
      <c r="K1024" s="13"/>
      <c r="L1024" s="13"/>
      <c r="M1024" s="15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9"/>
      <c r="J1025" s="13"/>
      <c r="K1025" s="13"/>
      <c r="L1025" s="13"/>
      <c r="M1025" s="15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9"/>
      <c r="J1026" s="13"/>
      <c r="K1026" s="13"/>
      <c r="L1026" s="13"/>
      <c r="M1026" s="15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9"/>
      <c r="J1027" s="13"/>
      <c r="K1027" s="13"/>
      <c r="L1027" s="13"/>
      <c r="M1027" s="15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9"/>
      <c r="J1028" s="13"/>
      <c r="K1028" s="13"/>
      <c r="L1028" s="13"/>
      <c r="M1028" s="15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9"/>
      <c r="J1029" s="13"/>
      <c r="K1029" s="13"/>
      <c r="L1029" s="13"/>
      <c r="M1029" s="15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9"/>
      <c r="J1030" s="13"/>
      <c r="K1030" s="13"/>
      <c r="L1030" s="13"/>
      <c r="M1030" s="15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9"/>
      <c r="J1031" s="13"/>
      <c r="K1031" s="13"/>
      <c r="L1031" s="13"/>
      <c r="M1031" s="15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9"/>
      <c r="J1032" s="13"/>
      <c r="K1032" s="13"/>
      <c r="L1032" s="13"/>
      <c r="M1032" s="15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9"/>
      <c r="J1033" s="13"/>
      <c r="K1033" s="13"/>
      <c r="L1033" s="13"/>
      <c r="M1033" s="15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9"/>
      <c r="J1034" s="13"/>
      <c r="K1034" s="13"/>
      <c r="L1034" s="13"/>
      <c r="M1034" s="15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9"/>
      <c r="J1035" s="13"/>
      <c r="K1035" s="13"/>
      <c r="L1035" s="13"/>
      <c r="M1035" s="15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9"/>
      <c r="J1036" s="13"/>
      <c r="K1036" s="13"/>
      <c r="L1036" s="13"/>
      <c r="M1036" s="15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9"/>
      <c r="J1037" s="13"/>
      <c r="K1037" s="13"/>
      <c r="L1037" s="13"/>
      <c r="M1037" s="15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9"/>
      <c r="J1038" s="13"/>
      <c r="K1038" s="13"/>
      <c r="L1038" s="13"/>
      <c r="M1038" s="15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9"/>
      <c r="J1039" s="13"/>
      <c r="K1039" s="13"/>
      <c r="L1039" s="13"/>
      <c r="M1039" s="15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9"/>
      <c r="J1040" s="13"/>
      <c r="K1040" s="13"/>
      <c r="L1040" s="13"/>
      <c r="M1040" s="15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9"/>
      <c r="J1041" s="13"/>
      <c r="K1041" s="13"/>
      <c r="L1041" s="13"/>
      <c r="M1041" s="15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9"/>
      <c r="J1042" s="13"/>
      <c r="K1042" s="13"/>
      <c r="L1042" s="13"/>
      <c r="M1042" s="15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9"/>
      <c r="J1043" s="13"/>
      <c r="K1043" s="13"/>
      <c r="L1043" s="13"/>
      <c r="M1043" s="15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9"/>
      <c r="J1044" s="13"/>
      <c r="K1044" s="13"/>
      <c r="L1044" s="13"/>
      <c r="M1044" s="15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9"/>
      <c r="J1045" s="13"/>
      <c r="K1045" s="13"/>
      <c r="L1045" s="13"/>
      <c r="M1045" s="15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9"/>
      <c r="J1046" s="13"/>
      <c r="K1046" s="13"/>
      <c r="L1046" s="13"/>
      <c r="M1046" s="15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9"/>
      <c r="J1047" s="13"/>
      <c r="K1047" s="13"/>
      <c r="L1047" s="13"/>
      <c r="M1047" s="15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9"/>
      <c r="J1048" s="13"/>
      <c r="K1048" s="13"/>
      <c r="L1048" s="13"/>
      <c r="M1048" s="15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9"/>
      <c r="J1049" s="13"/>
      <c r="K1049" s="13"/>
      <c r="L1049" s="13"/>
      <c r="M1049" s="15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9"/>
      <c r="J1050" s="13"/>
      <c r="K1050" s="13"/>
      <c r="L1050" s="13"/>
      <c r="M1050" s="15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9"/>
      <c r="J1051" s="13"/>
      <c r="K1051" s="13"/>
      <c r="L1051" s="13"/>
      <c r="M1051" s="15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9"/>
      <c r="J1052" s="13"/>
      <c r="K1052" s="13"/>
      <c r="L1052" s="13"/>
      <c r="M1052" s="15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9"/>
      <c r="J1053" s="13"/>
      <c r="K1053" s="13"/>
      <c r="L1053" s="13"/>
      <c r="M1053" s="15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9"/>
      <c r="J1054" s="13"/>
      <c r="K1054" s="13"/>
      <c r="L1054" s="13"/>
      <c r="M1054" s="15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9"/>
      <c r="J1055" s="13"/>
      <c r="K1055" s="13"/>
      <c r="L1055" s="13"/>
      <c r="M1055" s="15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9"/>
      <c r="J1056" s="13"/>
      <c r="K1056" s="13"/>
      <c r="L1056" s="13"/>
      <c r="M1056" s="15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9"/>
      <c r="J1057" s="13"/>
      <c r="K1057" s="13"/>
      <c r="L1057" s="13"/>
      <c r="M1057" s="15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9"/>
      <c r="J1058" s="13"/>
      <c r="K1058" s="13"/>
      <c r="L1058" s="13"/>
      <c r="M1058" s="15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9"/>
      <c r="J1059" s="13"/>
      <c r="K1059" s="13"/>
      <c r="L1059" s="13"/>
      <c r="M1059" s="15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9"/>
      <c r="J1060" s="13"/>
      <c r="K1060" s="13"/>
      <c r="L1060" s="13"/>
      <c r="M1060" s="15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9"/>
      <c r="J1061" s="13"/>
      <c r="K1061" s="13"/>
      <c r="L1061" s="13"/>
      <c r="M1061" s="15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9"/>
      <c r="J1062" s="13"/>
      <c r="K1062" s="13"/>
      <c r="L1062" s="13"/>
      <c r="M1062" s="15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9"/>
      <c r="J1063" s="13"/>
      <c r="K1063" s="13"/>
      <c r="L1063" s="13"/>
      <c r="M1063" s="15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9"/>
      <c r="J1064" s="13"/>
      <c r="K1064" s="13"/>
      <c r="L1064" s="13"/>
      <c r="M1064" s="15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9"/>
      <c r="J1065" s="13"/>
      <c r="K1065" s="13"/>
      <c r="L1065" s="13"/>
      <c r="M1065" s="15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9"/>
      <c r="J1066" s="13"/>
      <c r="K1066" s="13"/>
      <c r="L1066" s="13"/>
      <c r="M1066" s="15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9"/>
      <c r="J1067" s="13"/>
      <c r="K1067" s="13"/>
      <c r="L1067" s="13"/>
      <c r="M1067" s="15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9"/>
      <c r="J1068" s="13"/>
      <c r="K1068" s="13"/>
      <c r="L1068" s="13"/>
      <c r="M1068" s="15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9"/>
      <c r="J1069" s="13"/>
      <c r="K1069" s="13"/>
      <c r="L1069" s="13"/>
      <c r="M1069" s="15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9"/>
      <c r="J1070" s="13"/>
      <c r="K1070" s="13"/>
      <c r="L1070" s="13"/>
      <c r="M1070" s="15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9"/>
      <c r="J1071" s="13"/>
      <c r="K1071" s="13"/>
      <c r="L1071" s="13"/>
      <c r="M1071" s="15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9"/>
      <c r="J1072" s="13"/>
      <c r="K1072" s="13"/>
      <c r="L1072" s="13"/>
      <c r="M1072" s="15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9"/>
      <c r="J1073" s="13"/>
      <c r="K1073" s="13"/>
      <c r="L1073" s="13"/>
      <c r="M1073" s="15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9"/>
      <c r="J1074" s="13"/>
      <c r="K1074" s="13"/>
      <c r="L1074" s="13"/>
      <c r="M1074" s="15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9"/>
      <c r="J1075" s="13"/>
      <c r="K1075" s="13"/>
      <c r="L1075" s="13"/>
      <c r="M1075" s="15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9"/>
      <c r="J1076" s="13"/>
      <c r="K1076" s="13"/>
      <c r="L1076" s="13"/>
      <c r="M1076" s="15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9"/>
      <c r="J1077" s="13"/>
      <c r="K1077" s="13"/>
      <c r="L1077" s="13"/>
      <c r="M1077" s="15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9"/>
      <c r="J1078" s="13"/>
      <c r="K1078" s="13"/>
      <c r="L1078" s="13"/>
      <c r="M1078" s="15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9"/>
      <c r="J1079" s="13"/>
      <c r="K1079" s="13"/>
      <c r="L1079" s="13"/>
      <c r="M1079" s="15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9"/>
      <c r="J1080" s="13"/>
      <c r="K1080" s="13"/>
      <c r="L1080" s="13"/>
      <c r="M1080" s="15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9"/>
      <c r="J1081" s="13"/>
      <c r="K1081" s="13"/>
      <c r="L1081" s="13"/>
      <c r="M1081" s="15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9"/>
      <c r="J1082" s="13"/>
      <c r="K1082" s="13"/>
      <c r="L1082" s="13"/>
      <c r="M1082" s="15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9"/>
      <c r="J1083" s="13"/>
      <c r="K1083" s="13"/>
      <c r="L1083" s="13"/>
      <c r="M1083" s="15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9"/>
      <c r="J1084" s="13"/>
      <c r="K1084" s="13"/>
      <c r="L1084" s="13"/>
      <c r="M1084" s="15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9"/>
      <c r="J1085" s="13"/>
      <c r="K1085" s="13"/>
      <c r="L1085" s="13"/>
      <c r="M1085" s="15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9"/>
      <c r="J1086" s="13"/>
      <c r="K1086" s="13"/>
      <c r="L1086" s="13"/>
      <c r="M1086" s="15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9"/>
      <c r="J1087" s="13"/>
      <c r="K1087" s="13"/>
      <c r="L1087" s="13"/>
      <c r="M1087" s="15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9"/>
      <c r="J1088" s="13"/>
      <c r="K1088" s="13"/>
      <c r="L1088" s="13"/>
      <c r="M1088" s="15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9"/>
      <c r="J1089" s="13"/>
      <c r="K1089" s="13"/>
      <c r="L1089" s="13"/>
      <c r="M1089" s="15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9"/>
      <c r="J1090" s="13"/>
      <c r="K1090" s="13"/>
      <c r="L1090" s="13"/>
      <c r="M1090" s="15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9"/>
      <c r="J1091" s="13"/>
      <c r="K1091" s="13"/>
      <c r="L1091" s="13"/>
      <c r="M1091" s="15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9"/>
      <c r="J1092" s="13"/>
      <c r="K1092" s="13"/>
      <c r="L1092" s="13"/>
      <c r="M1092" s="15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9"/>
      <c r="J1093" s="13"/>
      <c r="K1093" s="13"/>
      <c r="L1093" s="13"/>
      <c r="M1093" s="15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9"/>
      <c r="J1094" s="13"/>
      <c r="K1094" s="13"/>
      <c r="L1094" s="13"/>
      <c r="M1094" s="15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9"/>
      <c r="J1095" s="13"/>
      <c r="K1095" s="13"/>
      <c r="L1095" s="13"/>
      <c r="M1095" s="15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9"/>
      <c r="J1096" s="13"/>
      <c r="K1096" s="13"/>
      <c r="L1096" s="13"/>
      <c r="M1096" s="15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9"/>
      <c r="J1097" s="13"/>
      <c r="K1097" s="13"/>
      <c r="L1097" s="13"/>
      <c r="M1097" s="15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9"/>
      <c r="J1098" s="13"/>
      <c r="K1098" s="13"/>
      <c r="L1098" s="13"/>
      <c r="M1098" s="15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9"/>
      <c r="J1099" s="13"/>
      <c r="K1099" s="13"/>
      <c r="L1099" s="13"/>
      <c r="M1099" s="15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9"/>
      <c r="J1100" s="13"/>
      <c r="K1100" s="13"/>
      <c r="L1100" s="13"/>
      <c r="M1100" s="15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9"/>
      <c r="J1101" s="13"/>
      <c r="K1101" s="13"/>
      <c r="L1101" s="13"/>
      <c r="M1101" s="15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9"/>
      <c r="J1102" s="13"/>
      <c r="K1102" s="13"/>
      <c r="L1102" s="13"/>
      <c r="M1102" s="15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9"/>
      <c r="J1103" s="13"/>
      <c r="K1103" s="13"/>
      <c r="L1103" s="13"/>
      <c r="M1103" s="15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9"/>
      <c r="J1104" s="13"/>
      <c r="K1104" s="13"/>
      <c r="L1104" s="13"/>
      <c r="M1104" s="15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9"/>
      <c r="J1105" s="13"/>
      <c r="K1105" s="13"/>
      <c r="L1105" s="13"/>
      <c r="M1105" s="15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9"/>
      <c r="J1106" s="13"/>
      <c r="K1106" s="13"/>
      <c r="L1106" s="13"/>
      <c r="M1106" s="15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9"/>
      <c r="J1107" s="13"/>
      <c r="K1107" s="13"/>
      <c r="L1107" s="13"/>
      <c r="M1107" s="15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9"/>
      <c r="J1108" s="13"/>
      <c r="K1108" s="13"/>
      <c r="L1108" s="13"/>
      <c r="M1108" s="15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9"/>
      <c r="J1109" s="13"/>
      <c r="K1109" s="13"/>
      <c r="L1109" s="13"/>
      <c r="M1109" s="15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9"/>
      <c r="J1110" s="13"/>
      <c r="K1110" s="13"/>
      <c r="L1110" s="13"/>
      <c r="M1110" s="15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9"/>
      <c r="J1111" s="13"/>
      <c r="K1111" s="13"/>
      <c r="L1111" s="13"/>
      <c r="M1111" s="15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9"/>
      <c r="J1112" s="13"/>
      <c r="K1112" s="13"/>
      <c r="L1112" s="13"/>
      <c r="M1112" s="15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9"/>
      <c r="J1113" s="13"/>
      <c r="K1113" s="13"/>
      <c r="L1113" s="13"/>
      <c r="M1113" s="15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9"/>
      <c r="J1114" s="13"/>
      <c r="K1114" s="13"/>
      <c r="L1114" s="13"/>
      <c r="M1114" s="15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9"/>
      <c r="J1115" s="13"/>
      <c r="K1115" s="13"/>
      <c r="L1115" s="13"/>
      <c r="M1115" s="15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9"/>
      <c r="J1116" s="13"/>
      <c r="K1116" s="13"/>
      <c r="L1116" s="13"/>
      <c r="M1116" s="15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9"/>
      <c r="J1117" s="13"/>
      <c r="K1117" s="13"/>
      <c r="L1117" s="13"/>
      <c r="M1117" s="15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9"/>
      <c r="J1118" s="13"/>
      <c r="K1118" s="13"/>
      <c r="L1118" s="13"/>
      <c r="M1118" s="15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9"/>
      <c r="J1119" s="13"/>
      <c r="K1119" s="13"/>
      <c r="L1119" s="13"/>
      <c r="M1119" s="15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9"/>
      <c r="J1120" s="13"/>
      <c r="K1120" s="13"/>
      <c r="L1120" s="13"/>
      <c r="M1120" s="15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9"/>
      <c r="J1121" s="13"/>
      <c r="K1121" s="13"/>
      <c r="L1121" s="13"/>
      <c r="M1121" s="15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9"/>
      <c r="J1122" s="13"/>
      <c r="K1122" s="13"/>
      <c r="L1122" s="13"/>
      <c r="M1122" s="15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9"/>
      <c r="J1123" s="13"/>
      <c r="K1123" s="13"/>
      <c r="L1123" s="13"/>
      <c r="M1123" s="15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9"/>
      <c r="J1124" s="13"/>
      <c r="K1124" s="13"/>
      <c r="L1124" s="13"/>
      <c r="M1124" s="15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9"/>
      <c r="J1125" s="13"/>
      <c r="K1125" s="13"/>
      <c r="L1125" s="13"/>
      <c r="M1125" s="15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9"/>
      <c r="J1126" s="13"/>
      <c r="K1126" s="13"/>
      <c r="L1126" s="13"/>
      <c r="M1126" s="15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9"/>
      <c r="J1127" s="13"/>
      <c r="K1127" s="13"/>
      <c r="L1127" s="13"/>
      <c r="M1127" s="15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9"/>
      <c r="J1128" s="13"/>
      <c r="K1128" s="13"/>
      <c r="L1128" s="13"/>
      <c r="M1128" s="15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9"/>
      <c r="J1129" s="13"/>
      <c r="K1129" s="13"/>
      <c r="L1129" s="13"/>
      <c r="M1129" s="15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9"/>
      <c r="J1130" s="13"/>
      <c r="K1130" s="13"/>
      <c r="L1130" s="13"/>
      <c r="M1130" s="15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9"/>
      <c r="J1131" s="13"/>
      <c r="K1131" s="13"/>
      <c r="L1131" s="13"/>
      <c r="M1131" s="15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9"/>
      <c r="J1132" s="13"/>
      <c r="K1132" s="13"/>
      <c r="L1132" s="13"/>
      <c r="M1132" s="15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9"/>
      <c r="J1133" s="13"/>
      <c r="K1133" s="13"/>
      <c r="L1133" s="13"/>
      <c r="M1133" s="15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9"/>
      <c r="J1134" s="13"/>
      <c r="K1134" s="13"/>
      <c r="L1134" s="13"/>
      <c r="M1134" s="15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9"/>
      <c r="J1135" s="13"/>
      <c r="K1135" s="13"/>
      <c r="L1135" s="13"/>
      <c r="M1135" s="15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9"/>
      <c r="J1136" s="13"/>
      <c r="K1136" s="13"/>
      <c r="L1136" s="13"/>
      <c r="M1136" s="15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9"/>
      <c r="J1137" s="13"/>
      <c r="K1137" s="13"/>
      <c r="L1137" s="13"/>
      <c r="M1137" s="15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9"/>
      <c r="J1138" s="13"/>
      <c r="K1138" s="13"/>
      <c r="L1138" s="13"/>
      <c r="M1138" s="15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9"/>
      <c r="J1139" s="13"/>
      <c r="K1139" s="13"/>
      <c r="L1139" s="13"/>
      <c r="M1139" s="15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9"/>
      <c r="J1140" s="13"/>
      <c r="K1140" s="13"/>
      <c r="L1140" s="13"/>
      <c r="M1140" s="15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9"/>
      <c r="J1141" s="13"/>
      <c r="K1141" s="13"/>
      <c r="L1141" s="13"/>
      <c r="M1141" s="15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9"/>
      <c r="J1142" s="13"/>
      <c r="K1142" s="13"/>
      <c r="L1142" s="13"/>
      <c r="M1142" s="15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9"/>
      <c r="J1143" s="13"/>
      <c r="K1143" s="13"/>
      <c r="L1143" s="13"/>
      <c r="M1143" s="15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9"/>
      <c r="J1144" s="13"/>
      <c r="K1144" s="13"/>
      <c r="L1144" s="13"/>
      <c r="M1144" s="15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9"/>
      <c r="J1145" s="13"/>
      <c r="K1145" s="13"/>
      <c r="L1145" s="13"/>
      <c r="M1145" s="15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9"/>
      <c r="J1146" s="13"/>
      <c r="K1146" s="13"/>
      <c r="L1146" s="13"/>
      <c r="M1146" s="15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9"/>
      <c r="J1147" s="13"/>
      <c r="K1147" s="13"/>
      <c r="L1147" s="13"/>
      <c r="M1147" s="15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9"/>
      <c r="J1148" s="13"/>
      <c r="K1148" s="13"/>
      <c r="L1148" s="13"/>
      <c r="M1148" s="15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9"/>
      <c r="J1149" s="13"/>
      <c r="K1149" s="13"/>
      <c r="L1149" s="13"/>
      <c r="M1149" s="15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9"/>
      <c r="J1150" s="13"/>
      <c r="K1150" s="13"/>
      <c r="L1150" s="13"/>
      <c r="M1150" s="15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9"/>
      <c r="J1151" s="13"/>
      <c r="K1151" s="13"/>
      <c r="L1151" s="13"/>
      <c r="M1151" s="15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9"/>
      <c r="J1152" s="13"/>
      <c r="K1152" s="13"/>
      <c r="L1152" s="13"/>
      <c r="M1152" s="15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9"/>
      <c r="J1153" s="13"/>
      <c r="K1153" s="13"/>
      <c r="L1153" s="13"/>
      <c r="M1153" s="15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9"/>
      <c r="J1154" s="13"/>
      <c r="K1154" s="13"/>
      <c r="L1154" s="13"/>
      <c r="M1154" s="15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9"/>
      <c r="J1155" s="13"/>
      <c r="K1155" s="13"/>
      <c r="L1155" s="13"/>
      <c r="M1155" s="15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9"/>
      <c r="J1156" s="13"/>
      <c r="K1156" s="13"/>
      <c r="L1156" s="13"/>
      <c r="M1156" s="15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9"/>
      <c r="J1157" s="13"/>
      <c r="K1157" s="13"/>
      <c r="L1157" s="13"/>
      <c r="M1157" s="15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9"/>
      <c r="J1158" s="13"/>
      <c r="K1158" s="13"/>
      <c r="L1158" s="13"/>
      <c r="M1158" s="15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9"/>
      <c r="J1159" s="13"/>
      <c r="K1159" s="13"/>
      <c r="L1159" s="13"/>
      <c r="M1159" s="15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9"/>
      <c r="J1160" s="13"/>
      <c r="K1160" s="13"/>
      <c r="L1160" s="13"/>
      <c r="M1160" s="15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9"/>
      <c r="J1161" s="13"/>
      <c r="K1161" s="13"/>
      <c r="L1161" s="13"/>
      <c r="M1161" s="15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9"/>
      <c r="J1162" s="13"/>
      <c r="K1162" s="13"/>
      <c r="L1162" s="13"/>
      <c r="M1162" s="15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9"/>
      <c r="J1163" s="13"/>
      <c r="K1163" s="13"/>
      <c r="L1163" s="13"/>
      <c r="M1163" s="15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9"/>
      <c r="J1164" s="13"/>
      <c r="K1164" s="13"/>
      <c r="L1164" s="13"/>
      <c r="M1164" s="15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9"/>
      <c r="J1165" s="13"/>
      <c r="K1165" s="13"/>
      <c r="L1165" s="13"/>
      <c r="M1165" s="15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9"/>
      <c r="J1166" s="13"/>
      <c r="K1166" s="13"/>
      <c r="L1166" s="13"/>
      <c r="M1166" s="15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9"/>
      <c r="J1167" s="13"/>
      <c r="K1167" s="13"/>
      <c r="L1167" s="13"/>
      <c r="M1167" s="15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9"/>
      <c r="J1168" s="13"/>
      <c r="K1168" s="13"/>
      <c r="L1168" s="13"/>
      <c r="M1168" s="15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9"/>
      <c r="J1169" s="13"/>
      <c r="K1169" s="13"/>
      <c r="L1169" s="13"/>
      <c r="M1169" s="15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9"/>
      <c r="J1170" s="13"/>
      <c r="K1170" s="13"/>
      <c r="L1170" s="13"/>
      <c r="M1170" s="15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9"/>
      <c r="J1171" s="13"/>
      <c r="K1171" s="13"/>
      <c r="L1171" s="13"/>
      <c r="M1171" s="15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9"/>
      <c r="J1172" s="13"/>
      <c r="K1172" s="13"/>
      <c r="L1172" s="13"/>
      <c r="M1172" s="15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9"/>
      <c r="J1173" s="13"/>
      <c r="K1173" s="13"/>
      <c r="L1173" s="13"/>
      <c r="M1173" s="15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9"/>
      <c r="J1174" s="13"/>
      <c r="K1174" s="13"/>
      <c r="L1174" s="13"/>
      <c r="M1174" s="15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9"/>
      <c r="J1175" s="13"/>
      <c r="K1175" s="13"/>
      <c r="L1175" s="13"/>
      <c r="M1175" s="15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9"/>
      <c r="J1176" s="13"/>
      <c r="K1176" s="13"/>
      <c r="L1176" s="13"/>
      <c r="M1176" s="15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9"/>
      <c r="J1177" s="13"/>
      <c r="K1177" s="13"/>
      <c r="L1177" s="13"/>
      <c r="M1177" s="15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9"/>
      <c r="J1178" s="13"/>
      <c r="K1178" s="13"/>
      <c r="L1178" s="13"/>
      <c r="M1178" s="15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9"/>
      <c r="J1179" s="13"/>
      <c r="K1179" s="13"/>
      <c r="L1179" s="13"/>
      <c r="M1179" s="15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9"/>
      <c r="J1180" s="13"/>
      <c r="K1180" s="13"/>
      <c r="L1180" s="13"/>
      <c r="M1180" s="15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9"/>
      <c r="J1181" s="13"/>
      <c r="K1181" s="13"/>
      <c r="L1181" s="13"/>
      <c r="M1181" s="15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9"/>
      <c r="J1182" s="13"/>
      <c r="K1182" s="13"/>
      <c r="L1182" s="13"/>
      <c r="M1182" s="15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9"/>
      <c r="J1183" s="13"/>
      <c r="K1183" s="13"/>
      <c r="L1183" s="13"/>
      <c r="M1183" s="15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9"/>
      <c r="J1184" s="13"/>
      <c r="K1184" s="13"/>
      <c r="L1184" s="13"/>
      <c r="M1184" s="15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9"/>
      <c r="J1185" s="13"/>
      <c r="K1185" s="13"/>
      <c r="L1185" s="13"/>
      <c r="M1185" s="15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9"/>
      <c r="J1186" s="13"/>
      <c r="K1186" s="13"/>
      <c r="L1186" s="13"/>
      <c r="M1186" s="15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9"/>
      <c r="J1187" s="13"/>
      <c r="K1187" s="13"/>
      <c r="L1187" s="13"/>
      <c r="M1187" s="15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9"/>
      <c r="J1188" s="13"/>
      <c r="K1188" s="13"/>
      <c r="L1188" s="13"/>
      <c r="M1188" s="15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9"/>
      <c r="J1189" s="13"/>
      <c r="K1189" s="13"/>
      <c r="L1189" s="13"/>
      <c r="M1189" s="15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9"/>
      <c r="J1190" s="13"/>
      <c r="K1190" s="13"/>
      <c r="L1190" s="13"/>
      <c r="M1190" s="15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9"/>
      <c r="J1191" s="13"/>
      <c r="K1191" s="13"/>
      <c r="L1191" s="13"/>
      <c r="M1191" s="15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9"/>
      <c r="J1192" s="13"/>
      <c r="K1192" s="13"/>
      <c r="L1192" s="13"/>
      <c r="M1192" s="15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9"/>
      <c r="J1193" s="13"/>
      <c r="K1193" s="13"/>
      <c r="L1193" s="13"/>
      <c r="M1193" s="15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9"/>
      <c r="J1194" s="13"/>
      <c r="K1194" s="13"/>
      <c r="L1194" s="13"/>
      <c r="M1194" s="15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9"/>
      <c r="J1195" s="13"/>
      <c r="K1195" s="13"/>
      <c r="L1195" s="13"/>
      <c r="M1195" s="15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9"/>
      <c r="J1196" s="13"/>
      <c r="K1196" s="13"/>
      <c r="L1196" s="13"/>
      <c r="M1196" s="15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9"/>
      <c r="J1197" s="13"/>
      <c r="K1197" s="13"/>
      <c r="L1197" s="13"/>
      <c r="M1197" s="15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9"/>
      <c r="J1198" s="13"/>
      <c r="K1198" s="13"/>
      <c r="L1198" s="13"/>
      <c r="M1198" s="15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9"/>
      <c r="J1199" s="13"/>
      <c r="K1199" s="13"/>
      <c r="L1199" s="13"/>
      <c r="M1199" s="15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9"/>
      <c r="J1200" s="13"/>
      <c r="K1200" s="13"/>
      <c r="L1200" s="13"/>
      <c r="M1200" s="15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9"/>
      <c r="J1201" s="13"/>
      <c r="K1201" s="13"/>
      <c r="L1201" s="13"/>
      <c r="M1201" s="15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9"/>
      <c r="J1202" s="13"/>
      <c r="K1202" s="13"/>
      <c r="L1202" s="13"/>
      <c r="M1202" s="15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9"/>
      <c r="J1203" s="13"/>
      <c r="K1203" s="13"/>
      <c r="L1203" s="13"/>
      <c r="M1203" s="15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9"/>
      <c r="J1204" s="13"/>
      <c r="K1204" s="13"/>
      <c r="L1204" s="13"/>
      <c r="M1204" s="15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9"/>
      <c r="J1205" s="13"/>
      <c r="K1205" s="13"/>
      <c r="L1205" s="13"/>
      <c r="M1205" s="15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9"/>
      <c r="J1206" s="13"/>
      <c r="K1206" s="13"/>
      <c r="L1206" s="13"/>
      <c r="M1206" s="15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9"/>
      <c r="J1207" s="13"/>
      <c r="K1207" s="13"/>
      <c r="L1207" s="13"/>
      <c r="M1207" s="15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9"/>
      <c r="J1208" s="13"/>
      <c r="K1208" s="13"/>
      <c r="L1208" s="13"/>
      <c r="M1208" s="15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9"/>
      <c r="J1209" s="13"/>
      <c r="K1209" s="13"/>
      <c r="L1209" s="13"/>
      <c r="M1209" s="15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9"/>
      <c r="J1210" s="13"/>
      <c r="K1210" s="13"/>
      <c r="L1210" s="13"/>
      <c r="M1210" s="15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9"/>
      <c r="J1211" s="13"/>
      <c r="K1211" s="13"/>
      <c r="L1211" s="13"/>
      <c r="M1211" s="15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9"/>
      <c r="J1212" s="13"/>
      <c r="K1212" s="13"/>
      <c r="L1212" s="13"/>
      <c r="M1212" s="15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9"/>
      <c r="J1213" s="13"/>
      <c r="K1213" s="13"/>
      <c r="L1213" s="13"/>
      <c r="M1213" s="15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9"/>
      <c r="J1214" s="13"/>
      <c r="K1214" s="13"/>
      <c r="L1214" s="13"/>
      <c r="M1214" s="15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9"/>
      <c r="J1215" s="13"/>
      <c r="K1215" s="13"/>
      <c r="L1215" s="13"/>
      <c r="M1215" s="15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9"/>
      <c r="J1216" s="13"/>
      <c r="K1216" s="13"/>
      <c r="L1216" s="13"/>
      <c r="M1216" s="15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9"/>
      <c r="J1217" s="13"/>
      <c r="K1217" s="13"/>
      <c r="L1217" s="13"/>
      <c r="M1217" s="15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9"/>
      <c r="J1218" s="13"/>
      <c r="K1218" s="13"/>
      <c r="L1218" s="13"/>
      <c r="M1218" s="15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9"/>
      <c r="J1219" s="13"/>
      <c r="K1219" s="13"/>
      <c r="L1219" s="13"/>
      <c r="M1219" s="15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9"/>
      <c r="J1220" s="13"/>
      <c r="K1220" s="13"/>
      <c r="L1220" s="13"/>
      <c r="M1220" s="15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9"/>
      <c r="J1221" s="13"/>
      <c r="K1221" s="13"/>
      <c r="L1221" s="13"/>
      <c r="M1221" s="15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9"/>
      <c r="J1222" s="13"/>
      <c r="K1222" s="13"/>
      <c r="L1222" s="13"/>
      <c r="M1222" s="15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9"/>
      <c r="J1223" s="13"/>
      <c r="K1223" s="13"/>
      <c r="L1223" s="13"/>
      <c r="M1223" s="15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9"/>
      <c r="J1224" s="13"/>
      <c r="K1224" s="13"/>
      <c r="L1224" s="13"/>
      <c r="M1224" s="15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9"/>
      <c r="J1225" s="13"/>
      <c r="K1225" s="13"/>
      <c r="L1225" s="13"/>
      <c r="M1225" s="15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9"/>
      <c r="J1226" s="13"/>
      <c r="K1226" s="13"/>
      <c r="L1226" s="13"/>
      <c r="M1226" s="15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9"/>
      <c r="J1227" s="13"/>
      <c r="K1227" s="13"/>
      <c r="L1227" s="13"/>
      <c r="M1227" s="15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9"/>
      <c r="J1228" s="13"/>
      <c r="K1228" s="13"/>
      <c r="L1228" s="13"/>
      <c r="M1228" s="15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9"/>
      <c r="J1229" s="13"/>
      <c r="K1229" s="13"/>
      <c r="L1229" s="13"/>
      <c r="M1229" s="15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9"/>
      <c r="J1230" s="13"/>
      <c r="K1230" s="13"/>
      <c r="L1230" s="13"/>
      <c r="M1230" s="15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9"/>
      <c r="J1231" s="13"/>
      <c r="K1231" s="13"/>
      <c r="L1231" s="13"/>
      <c r="M1231" s="15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9"/>
      <c r="J1232" s="13"/>
      <c r="K1232" s="13"/>
      <c r="L1232" s="13"/>
      <c r="M1232" s="15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9"/>
      <c r="J1233" s="13"/>
      <c r="K1233" s="13"/>
      <c r="L1233" s="13"/>
      <c r="M1233" s="15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9"/>
      <c r="J1234" s="13"/>
      <c r="K1234" s="13"/>
      <c r="L1234" s="13"/>
      <c r="M1234" s="15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9"/>
      <c r="J1235" s="13"/>
      <c r="K1235" s="13"/>
      <c r="L1235" s="13"/>
      <c r="M1235" s="15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9"/>
      <c r="J1236" s="13"/>
      <c r="K1236" s="13"/>
      <c r="L1236" s="13"/>
      <c r="M1236" s="15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9"/>
      <c r="J1237" s="13"/>
      <c r="K1237" s="13"/>
      <c r="L1237" s="13"/>
      <c r="M1237" s="15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9"/>
      <c r="J1238" s="13"/>
      <c r="K1238" s="13"/>
      <c r="L1238" s="13"/>
      <c r="M1238" s="15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9"/>
      <c r="J1239" s="13"/>
      <c r="K1239" s="13"/>
      <c r="L1239" s="13"/>
      <c r="M1239" s="15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9"/>
      <c r="J1240" s="13"/>
      <c r="K1240" s="13"/>
      <c r="L1240" s="13"/>
      <c r="M1240" s="15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9"/>
      <c r="J1241" s="13"/>
      <c r="K1241" s="13"/>
      <c r="L1241" s="13"/>
      <c r="M1241" s="15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9"/>
      <c r="J1242" s="13"/>
      <c r="K1242" s="13"/>
      <c r="L1242" s="13"/>
      <c r="M1242" s="15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9"/>
      <c r="J1243" s="13"/>
      <c r="K1243" s="13"/>
      <c r="L1243" s="13"/>
      <c r="M1243" s="15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9"/>
      <c r="J1244" s="13"/>
      <c r="K1244" s="13"/>
      <c r="L1244" s="13"/>
      <c r="M1244" s="15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9"/>
      <c r="J1245" s="13"/>
      <c r="K1245" s="13"/>
      <c r="L1245" s="13"/>
      <c r="M1245" s="15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9"/>
      <c r="J1246" s="13"/>
      <c r="K1246" s="13"/>
      <c r="L1246" s="13"/>
      <c r="M1246" s="15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9"/>
      <c r="J1247" s="13"/>
      <c r="K1247" s="13"/>
      <c r="L1247" s="13"/>
      <c r="M1247" s="15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9"/>
      <c r="J1248" s="13"/>
      <c r="K1248" s="13"/>
      <c r="L1248" s="13"/>
      <c r="M1248" s="15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9"/>
      <c r="J1249" s="13"/>
      <c r="K1249" s="13"/>
      <c r="L1249" s="13"/>
      <c r="M1249" s="15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9"/>
      <c r="J1250" s="13"/>
      <c r="K1250" s="13"/>
      <c r="L1250" s="13"/>
      <c r="M1250" s="15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9"/>
      <c r="J1251" s="13"/>
      <c r="K1251" s="13"/>
      <c r="L1251" s="13"/>
      <c r="M1251" s="15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9"/>
      <c r="J1252" s="13"/>
      <c r="K1252" s="13"/>
      <c r="L1252" s="13"/>
      <c r="M1252" s="15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9"/>
      <c r="J1253" s="13"/>
      <c r="K1253" s="13"/>
      <c r="L1253" s="13"/>
      <c r="M1253" s="15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9"/>
      <c r="J1254" s="13"/>
      <c r="K1254" s="13"/>
      <c r="L1254" s="13"/>
      <c r="M1254" s="15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9"/>
      <c r="J1255" s="13"/>
      <c r="K1255" s="13"/>
      <c r="L1255" s="13"/>
      <c r="M1255" s="15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9"/>
      <c r="J1256" s="13"/>
      <c r="K1256" s="13"/>
      <c r="L1256" s="13"/>
      <c r="M1256" s="15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9"/>
      <c r="J1257" s="13"/>
      <c r="K1257" s="13"/>
      <c r="L1257" s="13"/>
      <c r="M1257" s="15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9"/>
      <c r="J1258" s="13"/>
      <c r="K1258" s="13"/>
      <c r="L1258" s="13"/>
      <c r="M1258" s="15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9"/>
      <c r="J1259" s="13"/>
      <c r="K1259" s="13"/>
      <c r="L1259" s="13"/>
      <c r="M1259" s="15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9"/>
      <c r="J1260" s="13"/>
      <c r="K1260" s="13"/>
      <c r="L1260" s="13"/>
      <c r="M1260" s="15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9"/>
      <c r="J1261" s="13"/>
      <c r="K1261" s="13"/>
      <c r="L1261" s="13"/>
      <c r="M1261" s="15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9"/>
      <c r="J1262" s="13"/>
      <c r="K1262" s="13"/>
      <c r="L1262" s="13"/>
      <c r="M1262" s="15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9"/>
      <c r="J1263" s="13"/>
      <c r="K1263" s="13"/>
      <c r="L1263" s="13"/>
      <c r="M1263" s="15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9"/>
      <c r="J1264" s="13"/>
      <c r="K1264" s="13"/>
      <c r="L1264" s="13"/>
      <c r="M1264" s="15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9"/>
      <c r="J1265" s="13"/>
      <c r="K1265" s="13"/>
      <c r="L1265" s="13"/>
      <c r="M1265" s="15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9"/>
      <c r="J1266" s="13"/>
      <c r="K1266" s="13"/>
      <c r="L1266" s="13"/>
      <c r="M1266" s="15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9"/>
      <c r="J1267" s="13"/>
      <c r="K1267" s="13"/>
      <c r="L1267" s="13"/>
      <c r="M1267" s="15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9"/>
      <c r="J1268" s="13"/>
      <c r="K1268" s="13"/>
      <c r="L1268" s="13"/>
      <c r="M1268" s="15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9"/>
      <c r="J1269" s="13"/>
      <c r="K1269" s="13"/>
      <c r="L1269" s="13"/>
      <c r="M1269" s="15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9"/>
      <c r="J1270" s="13"/>
      <c r="K1270" s="13"/>
      <c r="L1270" s="13"/>
      <c r="M1270" s="15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9"/>
      <c r="J1271" s="13"/>
      <c r="K1271" s="13"/>
      <c r="L1271" s="13"/>
      <c r="M1271" s="15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9"/>
      <c r="J1272" s="13"/>
      <c r="K1272" s="13"/>
      <c r="L1272" s="13"/>
      <c r="M1272" s="15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9"/>
      <c r="J1273" s="13"/>
      <c r="K1273" s="13"/>
      <c r="L1273" s="13"/>
      <c r="M1273" s="15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9"/>
      <c r="J1274" s="13"/>
      <c r="K1274" s="13"/>
      <c r="L1274" s="13"/>
      <c r="M1274" s="15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9"/>
      <c r="J1275" s="13"/>
      <c r="K1275" s="13"/>
      <c r="L1275" s="13"/>
      <c r="M1275" s="15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9"/>
      <c r="J1276" s="13"/>
      <c r="K1276" s="13"/>
      <c r="L1276" s="13"/>
      <c r="M1276" s="15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9"/>
      <c r="J1277" s="13"/>
      <c r="K1277" s="13"/>
      <c r="L1277" s="13"/>
      <c r="M1277" s="15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9"/>
      <c r="J1278" s="13"/>
      <c r="K1278" s="13"/>
      <c r="L1278" s="13"/>
      <c r="M1278" s="15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9"/>
      <c r="J1279" s="13"/>
      <c r="K1279" s="13"/>
      <c r="L1279" s="13"/>
      <c r="M1279" s="15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9"/>
      <c r="J1280" s="13"/>
      <c r="K1280" s="13"/>
      <c r="L1280" s="13"/>
      <c r="M1280" s="15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9"/>
      <c r="J1281" s="13"/>
      <c r="K1281" s="13"/>
      <c r="L1281" s="13"/>
      <c r="M1281" s="15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9"/>
      <c r="J1282" s="13"/>
      <c r="K1282" s="13"/>
      <c r="L1282" s="13"/>
      <c r="M1282" s="15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9"/>
      <c r="J1283" s="13"/>
      <c r="K1283" s="13"/>
      <c r="L1283" s="13"/>
      <c r="M1283" s="15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9"/>
      <c r="J1284" s="13"/>
      <c r="K1284" s="13"/>
      <c r="L1284" s="13"/>
      <c r="M1284" s="15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9"/>
      <c r="J1285" s="13"/>
      <c r="K1285" s="13"/>
      <c r="L1285" s="13"/>
      <c r="M1285" s="15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9"/>
      <c r="J1286" s="13"/>
      <c r="K1286" s="13"/>
      <c r="L1286" s="13"/>
      <c r="M1286" s="15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9"/>
      <c r="J1287" s="13"/>
      <c r="K1287" s="13"/>
      <c r="L1287" s="13"/>
      <c r="M1287" s="15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9"/>
      <c r="J1288" s="13"/>
      <c r="K1288" s="13"/>
      <c r="L1288" s="13"/>
      <c r="M1288" s="15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9"/>
      <c r="J1289" s="13"/>
      <c r="K1289" s="13"/>
      <c r="L1289" s="13"/>
      <c r="M1289" s="15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9"/>
      <c r="J1290" s="13"/>
      <c r="K1290" s="13"/>
      <c r="L1290" s="13"/>
      <c r="M1290" s="15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9"/>
      <c r="J1291" s="13"/>
      <c r="K1291" s="13"/>
      <c r="L1291" s="13"/>
      <c r="M1291" s="15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9"/>
      <c r="J1292" s="13"/>
      <c r="K1292" s="13"/>
      <c r="L1292" s="13"/>
      <c r="M1292" s="15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9"/>
      <c r="J1293" s="13"/>
      <c r="K1293" s="13"/>
      <c r="L1293" s="13"/>
      <c r="M1293" s="15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9"/>
      <c r="J1294" s="13"/>
      <c r="K1294" s="13"/>
      <c r="L1294" s="13"/>
      <c r="M1294" s="15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9"/>
      <c r="J1295" s="13"/>
      <c r="K1295" s="13"/>
      <c r="L1295" s="13"/>
      <c r="M1295" s="15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9"/>
      <c r="J1296" s="13"/>
      <c r="K1296" s="13"/>
      <c r="L1296" s="13"/>
      <c r="M1296" s="15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9"/>
      <c r="J1297" s="13"/>
      <c r="K1297" s="13"/>
      <c r="L1297" s="13"/>
      <c r="M1297" s="15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9"/>
      <c r="J1298" s="13"/>
      <c r="K1298" s="13"/>
      <c r="L1298" s="13"/>
      <c r="M1298" s="15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9"/>
      <c r="J1299" s="13"/>
      <c r="K1299" s="13"/>
      <c r="L1299" s="13"/>
      <c r="M1299" s="15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9"/>
      <c r="J1300" s="13"/>
      <c r="K1300" s="13"/>
      <c r="L1300" s="13"/>
      <c r="M1300" s="15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9"/>
      <c r="J1301" s="13"/>
      <c r="K1301" s="13"/>
      <c r="L1301" s="13"/>
      <c r="M1301" s="15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9"/>
      <c r="J1302" s="13"/>
      <c r="K1302" s="13"/>
      <c r="L1302" s="13"/>
      <c r="M1302" s="15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9"/>
      <c r="J1303" s="13"/>
      <c r="K1303" s="13"/>
      <c r="L1303" s="13"/>
      <c r="M1303" s="15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9"/>
      <c r="J1304" s="13"/>
      <c r="K1304" s="13"/>
      <c r="L1304" s="13"/>
      <c r="M1304" s="15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9"/>
      <c r="J1305" s="13"/>
      <c r="K1305" s="13"/>
      <c r="L1305" s="13"/>
      <c r="M1305" s="15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9"/>
      <c r="J1306" s="13"/>
      <c r="K1306" s="13"/>
      <c r="L1306" s="13"/>
      <c r="M1306" s="15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9"/>
      <c r="J1307" s="13"/>
      <c r="K1307" s="13"/>
      <c r="L1307" s="13"/>
      <c r="M1307" s="15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9"/>
      <c r="J1308" s="13"/>
      <c r="K1308" s="13"/>
      <c r="L1308" s="13"/>
      <c r="M1308" s="15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9"/>
      <c r="J1309" s="13"/>
      <c r="K1309" s="13"/>
      <c r="L1309" s="13"/>
      <c r="M1309" s="15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9"/>
      <c r="J1310" s="13"/>
      <c r="K1310" s="13"/>
      <c r="L1310" s="13"/>
      <c r="M1310" s="15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9"/>
      <c r="J1311" s="13"/>
      <c r="K1311" s="13"/>
      <c r="L1311" s="13"/>
      <c r="M1311" s="15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9"/>
      <c r="J1312" s="13"/>
      <c r="K1312" s="13"/>
      <c r="L1312" s="13"/>
      <c r="M1312" s="15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9"/>
      <c r="J1313" s="13"/>
      <c r="K1313" s="13"/>
      <c r="L1313" s="13"/>
      <c r="M1313" s="15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9"/>
      <c r="J1314" s="13"/>
      <c r="K1314" s="13"/>
      <c r="L1314" s="13"/>
      <c r="M1314" s="15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9"/>
      <c r="J1315" s="13"/>
      <c r="K1315" s="13"/>
      <c r="L1315" s="13"/>
      <c r="M1315" s="15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9"/>
      <c r="J1316" s="13"/>
      <c r="K1316" s="13"/>
      <c r="L1316" s="13"/>
      <c r="M1316" s="15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9"/>
      <c r="J1317" s="13"/>
      <c r="K1317" s="13"/>
      <c r="L1317" s="13"/>
      <c r="M1317" s="15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9"/>
      <c r="J1318" s="13"/>
      <c r="K1318" s="13"/>
      <c r="L1318" s="13"/>
      <c r="M1318" s="15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9"/>
      <c r="J1319" s="13"/>
      <c r="K1319" s="13"/>
      <c r="L1319" s="13"/>
      <c r="M1319" s="15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9"/>
      <c r="J1320" s="13"/>
      <c r="K1320" s="13"/>
      <c r="L1320" s="13"/>
      <c r="M1320" s="15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9"/>
      <c r="J1321" s="13"/>
      <c r="K1321" s="13"/>
      <c r="L1321" s="13"/>
      <c r="M1321" s="15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9"/>
      <c r="J1322" s="13"/>
      <c r="K1322" s="13"/>
      <c r="L1322" s="13"/>
      <c r="M1322" s="15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9"/>
      <c r="J1323" s="13"/>
      <c r="K1323" s="13"/>
      <c r="L1323" s="13"/>
      <c r="M1323" s="15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9"/>
      <c r="J1324" s="13"/>
      <c r="K1324" s="13"/>
      <c r="L1324" s="13"/>
      <c r="M1324" s="15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9"/>
      <c r="J1325" s="13"/>
      <c r="K1325" s="13"/>
      <c r="L1325" s="13"/>
      <c r="M1325" s="15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9"/>
      <c r="J1326" s="13"/>
      <c r="K1326" s="13"/>
      <c r="L1326" s="13"/>
      <c r="M1326" s="15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9"/>
      <c r="J1327" s="13"/>
      <c r="K1327" s="13"/>
      <c r="L1327" s="13"/>
      <c r="M1327" s="15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9"/>
      <c r="J1328" s="13"/>
      <c r="K1328" s="13"/>
      <c r="L1328" s="13"/>
      <c r="M1328" s="15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9"/>
      <c r="J1329" s="13"/>
      <c r="K1329" s="13"/>
      <c r="L1329" s="13"/>
      <c r="M1329" s="15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9"/>
      <c r="J1330" s="13"/>
      <c r="K1330" s="13"/>
      <c r="L1330" s="13"/>
      <c r="M1330" s="15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9"/>
      <c r="J1331" s="13"/>
      <c r="K1331" s="13"/>
      <c r="L1331" s="13"/>
      <c r="M1331" s="15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9"/>
      <c r="J1332" s="13"/>
      <c r="K1332" s="13"/>
      <c r="L1332" s="13"/>
      <c r="M1332" s="15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9"/>
      <c r="J1333" s="13"/>
      <c r="K1333" s="13"/>
      <c r="L1333" s="13"/>
      <c r="M1333" s="15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9"/>
      <c r="J1334" s="13"/>
      <c r="K1334" s="13"/>
      <c r="L1334" s="13"/>
      <c r="M1334" s="15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9"/>
      <c r="J1335" s="13"/>
      <c r="K1335" s="13"/>
      <c r="L1335" s="13"/>
      <c r="M1335" s="15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9"/>
      <c r="J1336" s="13"/>
      <c r="K1336" s="13"/>
      <c r="L1336" s="13"/>
      <c r="M1336" s="15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9"/>
      <c r="J1337" s="13"/>
      <c r="K1337" s="13"/>
      <c r="L1337" s="13"/>
      <c r="M1337" s="15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9"/>
      <c r="J1338" s="13"/>
      <c r="K1338" s="13"/>
      <c r="L1338" s="13"/>
      <c r="M1338" s="15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9"/>
      <c r="J1339" s="13"/>
      <c r="K1339" s="13"/>
      <c r="L1339" s="13"/>
      <c r="M1339" s="15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9"/>
      <c r="J1340" s="13"/>
      <c r="K1340" s="13"/>
      <c r="L1340" s="13"/>
      <c r="M1340" s="15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9"/>
      <c r="J1341" s="13"/>
      <c r="K1341" s="13"/>
      <c r="L1341" s="13"/>
      <c r="M1341" s="15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9"/>
      <c r="J1342" s="13"/>
      <c r="K1342" s="13"/>
      <c r="L1342" s="13"/>
      <c r="M1342" s="15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9"/>
      <c r="J1343" s="13"/>
      <c r="K1343" s="13"/>
      <c r="L1343" s="13"/>
      <c r="M1343" s="15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9"/>
      <c r="J1344" s="13"/>
      <c r="K1344" s="13"/>
      <c r="L1344" s="13"/>
      <c r="M1344" s="15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9"/>
      <c r="J1345" s="13"/>
      <c r="K1345" s="13"/>
      <c r="L1345" s="13"/>
      <c r="M1345" s="15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9"/>
      <c r="J1346" s="13"/>
      <c r="K1346" s="13"/>
      <c r="L1346" s="13"/>
      <c r="M1346" s="15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9"/>
      <c r="J1347" s="13"/>
      <c r="K1347" s="13"/>
      <c r="L1347" s="13"/>
      <c r="M1347" s="15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9"/>
      <c r="J1348" s="13"/>
      <c r="K1348" s="13"/>
      <c r="L1348" s="13"/>
      <c r="M1348" s="15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9"/>
      <c r="J1349" s="13"/>
      <c r="K1349" s="13"/>
      <c r="L1349" s="13"/>
      <c r="M1349" s="15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9"/>
      <c r="J1350" s="13"/>
      <c r="K1350" s="13"/>
      <c r="L1350" s="13"/>
      <c r="M1350" s="15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9"/>
      <c r="J1351" s="13"/>
      <c r="K1351" s="13"/>
      <c r="L1351" s="13"/>
      <c r="M1351" s="15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9"/>
      <c r="J1352" s="13"/>
      <c r="K1352" s="13"/>
      <c r="L1352" s="13"/>
      <c r="M1352" s="15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9"/>
      <c r="J1353" s="13"/>
      <c r="K1353" s="13"/>
      <c r="L1353" s="13"/>
      <c r="M1353" s="15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9"/>
      <c r="J1354" s="13"/>
      <c r="K1354" s="13"/>
      <c r="L1354" s="13"/>
      <c r="M1354" s="15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9"/>
      <c r="J1355" s="13"/>
      <c r="K1355" s="13"/>
      <c r="L1355" s="13"/>
      <c r="M1355" s="15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9"/>
      <c r="J1356" s="13"/>
      <c r="K1356" s="13"/>
      <c r="L1356" s="13"/>
      <c r="M1356" s="15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9"/>
      <c r="J1357" s="13"/>
      <c r="K1357" s="13"/>
      <c r="L1357" s="13"/>
      <c r="M1357" s="15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9"/>
      <c r="J1358" s="13"/>
      <c r="K1358" s="13"/>
      <c r="L1358" s="13"/>
      <c r="M1358" s="15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9"/>
      <c r="J1359" s="13"/>
      <c r="K1359" s="13"/>
      <c r="L1359" s="13"/>
      <c r="M1359" s="15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9"/>
      <c r="J1360" s="13"/>
      <c r="K1360" s="13"/>
      <c r="L1360" s="13"/>
      <c r="M1360" s="15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9"/>
      <c r="J1361" s="13"/>
      <c r="K1361" s="13"/>
      <c r="L1361" s="13"/>
      <c r="M1361" s="15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9"/>
      <c r="J1362" s="13"/>
      <c r="K1362" s="13"/>
      <c r="L1362" s="13"/>
      <c r="M1362" s="15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9"/>
      <c r="J1363" s="13"/>
      <c r="K1363" s="13"/>
      <c r="L1363" s="13"/>
      <c r="M1363" s="15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9"/>
      <c r="J1364" s="13"/>
      <c r="K1364" s="13"/>
      <c r="L1364" s="13"/>
      <c r="M1364" s="15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9"/>
      <c r="J1365" s="13"/>
      <c r="K1365" s="13"/>
      <c r="L1365" s="13"/>
      <c r="M1365" s="15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9"/>
      <c r="J1366" s="13"/>
      <c r="K1366" s="13"/>
      <c r="L1366" s="13"/>
      <c r="M1366" s="15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9"/>
      <c r="J1367" s="13"/>
      <c r="K1367" s="13"/>
      <c r="L1367" s="13"/>
      <c r="M1367" s="15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9"/>
      <c r="J1368" s="13"/>
      <c r="K1368" s="13"/>
      <c r="L1368" s="13"/>
      <c r="M1368" s="15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9"/>
      <c r="J1369" s="13"/>
      <c r="K1369" s="13"/>
      <c r="L1369" s="13"/>
      <c r="M1369" s="15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9"/>
      <c r="J1370" s="13"/>
      <c r="K1370" s="13"/>
      <c r="L1370" s="13"/>
      <c r="M1370" s="15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9"/>
      <c r="J1371" s="13"/>
      <c r="K1371" s="13"/>
      <c r="L1371" s="13"/>
      <c r="M1371" s="15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9"/>
      <c r="J1372" s="13"/>
      <c r="K1372" s="13"/>
      <c r="L1372" s="13"/>
      <c r="M1372" s="15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9"/>
      <c r="J1373" s="13"/>
      <c r="K1373" s="13"/>
      <c r="L1373" s="13"/>
      <c r="M1373" s="15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9"/>
      <c r="J1374" s="13"/>
      <c r="K1374" s="13"/>
      <c r="L1374" s="13"/>
      <c r="M1374" s="15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9"/>
      <c r="J1375" s="13"/>
      <c r="K1375" s="13"/>
      <c r="L1375" s="13"/>
      <c r="M1375" s="15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9"/>
      <c r="J1376" s="13"/>
      <c r="K1376" s="13"/>
      <c r="L1376" s="13"/>
      <c r="M1376" s="15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9"/>
      <c r="J1377" s="13"/>
      <c r="K1377" s="13"/>
      <c r="L1377" s="13"/>
      <c r="M1377" s="15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9"/>
      <c r="J1378" s="13"/>
      <c r="K1378" s="13"/>
      <c r="L1378" s="13"/>
      <c r="M1378" s="15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9"/>
      <c r="J1379" s="13"/>
      <c r="K1379" s="13"/>
      <c r="L1379" s="13"/>
      <c r="M1379" s="15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9"/>
      <c r="J1380" s="13"/>
      <c r="K1380" s="13"/>
      <c r="L1380" s="13"/>
      <c r="M1380" s="15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9"/>
      <c r="J1381" s="13"/>
      <c r="K1381" s="13"/>
      <c r="L1381" s="13"/>
      <c r="M1381" s="15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9"/>
      <c r="J1382" s="13"/>
      <c r="K1382" s="13"/>
      <c r="L1382" s="13"/>
      <c r="M1382" s="15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9"/>
      <c r="J1383" s="13"/>
      <c r="K1383" s="13"/>
      <c r="L1383" s="13"/>
      <c r="M1383" s="15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9"/>
      <c r="J1384" s="13"/>
      <c r="K1384" s="13"/>
      <c r="L1384" s="13"/>
      <c r="M1384" s="15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9"/>
      <c r="J1385" s="13"/>
      <c r="K1385" s="13"/>
      <c r="L1385" s="13"/>
      <c r="M1385" s="15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9"/>
      <c r="J1386" s="13"/>
      <c r="K1386" s="13"/>
      <c r="L1386" s="13"/>
      <c r="M1386" s="15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9"/>
      <c r="J1387" s="13"/>
      <c r="K1387" s="13"/>
      <c r="L1387" s="13"/>
      <c r="M1387" s="15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9"/>
      <c r="J1388" s="13"/>
      <c r="K1388" s="13"/>
      <c r="L1388" s="13"/>
      <c r="M1388" s="15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9"/>
      <c r="J1389" s="13"/>
      <c r="K1389" s="13"/>
      <c r="L1389" s="13"/>
      <c r="M1389" s="15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9"/>
      <c r="J1390" s="13"/>
      <c r="K1390" s="13"/>
      <c r="L1390" s="13"/>
      <c r="M1390" s="15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9"/>
      <c r="J1391" s="13"/>
      <c r="K1391" s="13"/>
      <c r="L1391" s="13"/>
      <c r="M1391" s="15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9"/>
      <c r="J1392" s="13"/>
      <c r="K1392" s="13"/>
      <c r="L1392" s="13"/>
      <c r="M1392" s="15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9"/>
      <c r="J1393" s="13"/>
      <c r="K1393" s="13"/>
      <c r="L1393" s="13"/>
      <c r="M1393" s="15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9"/>
      <c r="J1394" s="13"/>
      <c r="K1394" s="13"/>
      <c r="L1394" s="13"/>
      <c r="M1394" s="15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9"/>
      <c r="J1395" s="13"/>
      <c r="K1395" s="13"/>
      <c r="L1395" s="13"/>
      <c r="M1395" s="15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9"/>
      <c r="J1396" s="13"/>
      <c r="K1396" s="13"/>
      <c r="L1396" s="13"/>
      <c r="M1396" s="15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9"/>
      <c r="J1397" s="13"/>
      <c r="K1397" s="13"/>
      <c r="L1397" s="13"/>
      <c r="M1397" s="15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9"/>
      <c r="J1398" s="13"/>
      <c r="K1398" s="13"/>
      <c r="L1398" s="13"/>
      <c r="M1398" s="15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9"/>
      <c r="J1399" s="13"/>
      <c r="K1399" s="13"/>
      <c r="L1399" s="13"/>
      <c r="M1399" s="15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9"/>
      <c r="J1400" s="13"/>
      <c r="K1400" s="13"/>
      <c r="L1400" s="13"/>
      <c r="M1400" s="15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9"/>
      <c r="J1401" s="13"/>
      <c r="K1401" s="13"/>
      <c r="L1401" s="13"/>
      <c r="M1401" s="15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9"/>
      <c r="J1402" s="13"/>
      <c r="K1402" s="13"/>
      <c r="L1402" s="13"/>
      <c r="M1402" s="15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9"/>
      <c r="J1403" s="13"/>
      <c r="K1403" s="13"/>
      <c r="L1403" s="13"/>
      <c r="M1403" s="15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9"/>
      <c r="J1404" s="13"/>
      <c r="K1404" s="13"/>
      <c r="L1404" s="13"/>
      <c r="M1404" s="15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9"/>
      <c r="J1405" s="13"/>
      <c r="K1405" s="13"/>
      <c r="L1405" s="13"/>
      <c r="M1405" s="15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9"/>
      <c r="J1406" s="13"/>
      <c r="K1406" s="13"/>
      <c r="L1406" s="13"/>
      <c r="M1406" s="15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9"/>
      <c r="J1407" s="13"/>
      <c r="K1407" s="13"/>
      <c r="L1407" s="13"/>
      <c r="M1407" s="15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9"/>
      <c r="J1408" s="13"/>
      <c r="K1408" s="13"/>
      <c r="L1408" s="13"/>
      <c r="M1408" s="15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9"/>
      <c r="J1409" s="13"/>
      <c r="K1409" s="13"/>
      <c r="L1409" s="13"/>
      <c r="M1409" s="15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9"/>
      <c r="J1410" s="13"/>
      <c r="K1410" s="13"/>
      <c r="L1410" s="13"/>
      <c r="M1410" s="15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9"/>
      <c r="J1411" s="13"/>
      <c r="K1411" s="13"/>
      <c r="L1411" s="13"/>
      <c r="M1411" s="15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9"/>
      <c r="J1412" s="13"/>
      <c r="K1412" s="13"/>
      <c r="L1412" s="13"/>
      <c r="M1412" s="15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9"/>
      <c r="J1413" s="13"/>
      <c r="K1413" s="13"/>
      <c r="L1413" s="13"/>
      <c r="M1413" s="15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9"/>
      <c r="J1414" s="13"/>
      <c r="K1414" s="13"/>
      <c r="L1414" s="13"/>
      <c r="M1414" s="15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9"/>
      <c r="J1415" s="13"/>
      <c r="K1415" s="13"/>
      <c r="L1415" s="13"/>
      <c r="M1415" s="15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9"/>
      <c r="J1416" s="13"/>
      <c r="K1416" s="13"/>
      <c r="L1416" s="13"/>
      <c r="M1416" s="15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9"/>
      <c r="J1417" s="13"/>
      <c r="K1417" s="13"/>
      <c r="L1417" s="13"/>
      <c r="M1417" s="15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9"/>
      <c r="J1418" s="13"/>
      <c r="K1418" s="13"/>
      <c r="L1418" s="13"/>
      <c r="M1418" s="15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9"/>
      <c r="J1419" s="13"/>
      <c r="K1419" s="13"/>
      <c r="L1419" s="13"/>
      <c r="M1419" s="15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9"/>
      <c r="J1420" s="13"/>
      <c r="K1420" s="13"/>
      <c r="L1420" s="13"/>
      <c r="M1420" s="15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9"/>
      <c r="J1421" s="13"/>
      <c r="K1421" s="13"/>
      <c r="L1421" s="13"/>
      <c r="M1421" s="15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9"/>
      <c r="J1422" s="13"/>
      <c r="K1422" s="13"/>
      <c r="L1422" s="13"/>
      <c r="M1422" s="15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9"/>
      <c r="J1423" s="13"/>
      <c r="K1423" s="13"/>
      <c r="L1423" s="13"/>
      <c r="M1423" s="15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9"/>
      <c r="J1424" s="13"/>
      <c r="K1424" s="13"/>
      <c r="L1424" s="13"/>
      <c r="M1424" s="15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9"/>
      <c r="J1425" s="13"/>
      <c r="K1425" s="13"/>
      <c r="L1425" s="13"/>
      <c r="M1425" s="15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9"/>
      <c r="J1426" s="13"/>
      <c r="K1426" s="13"/>
      <c r="L1426" s="13"/>
      <c r="M1426" s="15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9"/>
      <c r="J1427" s="13"/>
      <c r="K1427" s="13"/>
      <c r="L1427" s="13"/>
      <c r="M1427" s="15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9"/>
      <c r="J1428" s="13"/>
      <c r="K1428" s="13"/>
      <c r="L1428" s="13"/>
      <c r="M1428" s="15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9"/>
      <c r="J1429" s="13"/>
      <c r="K1429" s="13"/>
      <c r="L1429" s="13"/>
      <c r="M1429" s="15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9"/>
      <c r="J1430" s="13"/>
      <c r="K1430" s="13"/>
      <c r="L1430" s="13"/>
      <c r="M1430" s="15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9"/>
      <c r="J1431" s="13"/>
      <c r="K1431" s="13"/>
      <c r="L1431" s="13"/>
      <c r="M1431" s="15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9"/>
      <c r="J1432" s="13"/>
      <c r="K1432" s="13"/>
      <c r="L1432" s="13"/>
      <c r="M1432" s="15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9"/>
      <c r="J1433" s="13"/>
      <c r="K1433" s="13"/>
      <c r="L1433" s="13"/>
      <c r="M1433" s="15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9"/>
      <c r="J1434" s="13"/>
      <c r="K1434" s="13"/>
      <c r="L1434" s="13"/>
      <c r="M1434" s="15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9"/>
      <c r="J1435" s="13"/>
      <c r="K1435" s="13"/>
      <c r="L1435" s="13"/>
      <c r="M1435" s="15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9"/>
      <c r="J1436" s="13"/>
      <c r="K1436" s="13"/>
      <c r="L1436" s="13"/>
      <c r="M1436" s="15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9"/>
      <c r="J1437" s="13"/>
      <c r="K1437" s="13"/>
      <c r="L1437" s="13"/>
      <c r="M1437" s="15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9"/>
      <c r="J1438" s="13"/>
      <c r="K1438" s="13"/>
      <c r="L1438" s="13"/>
      <c r="M1438" s="15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9"/>
      <c r="J1439" s="13"/>
      <c r="K1439" s="13"/>
      <c r="L1439" s="13"/>
      <c r="M1439" s="15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9"/>
      <c r="J1440" s="13"/>
      <c r="K1440" s="13"/>
      <c r="L1440" s="13"/>
      <c r="M1440" s="15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9"/>
      <c r="J1441" s="13"/>
      <c r="K1441" s="13"/>
      <c r="L1441" s="13"/>
      <c r="M1441" s="15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9"/>
      <c r="J1442" s="13"/>
      <c r="K1442" s="13"/>
      <c r="L1442" s="13"/>
      <c r="M1442" s="15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9"/>
      <c r="J1443" s="13"/>
      <c r="K1443" s="13"/>
      <c r="L1443" s="13"/>
      <c r="M1443" s="15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9"/>
      <c r="J1444" s="13"/>
      <c r="K1444" s="13"/>
      <c r="L1444" s="13"/>
      <c r="M1444" s="15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9"/>
      <c r="J1445" s="13"/>
      <c r="K1445" s="13"/>
      <c r="L1445" s="13"/>
      <c r="M1445" s="15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9"/>
      <c r="J1446" s="13"/>
      <c r="K1446" s="13"/>
      <c r="L1446" s="13"/>
      <c r="M1446" s="15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9"/>
      <c r="J1447" s="13"/>
      <c r="K1447" s="13"/>
      <c r="L1447" s="13"/>
      <c r="M1447" s="15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9"/>
      <c r="J1448" s="13"/>
      <c r="K1448" s="13"/>
      <c r="L1448" s="13"/>
      <c r="M1448" s="15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9"/>
      <c r="J1449" s="13"/>
      <c r="K1449" s="13"/>
      <c r="L1449" s="13"/>
      <c r="M1449" s="15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9"/>
      <c r="J1450" s="13"/>
      <c r="K1450" s="13"/>
      <c r="L1450" s="13"/>
      <c r="M1450" s="15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9"/>
      <c r="J1451" s="13"/>
      <c r="K1451" s="13"/>
      <c r="L1451" s="13"/>
      <c r="M1451" s="15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9"/>
      <c r="J1452" s="13"/>
      <c r="K1452" s="13"/>
      <c r="L1452" s="13"/>
      <c r="M1452" s="15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9"/>
      <c r="J1453" s="13"/>
      <c r="K1453" s="13"/>
      <c r="L1453" s="13"/>
      <c r="M1453" s="15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9"/>
      <c r="J1454" s="13"/>
      <c r="K1454" s="13"/>
      <c r="L1454" s="13"/>
      <c r="M1454" s="15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9"/>
      <c r="J1455" s="13"/>
      <c r="K1455" s="13"/>
      <c r="L1455" s="13"/>
      <c r="M1455" s="15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9"/>
      <c r="J1456" s="13"/>
      <c r="K1456" s="13"/>
      <c r="L1456" s="13"/>
      <c r="M1456" s="15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9"/>
      <c r="J1457" s="13"/>
      <c r="K1457" s="13"/>
      <c r="L1457" s="13"/>
      <c r="M1457" s="15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9"/>
      <c r="J1458" s="13"/>
      <c r="K1458" s="13"/>
      <c r="L1458" s="13"/>
      <c r="M1458" s="15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9"/>
      <c r="J1459" s="13"/>
      <c r="K1459" s="13"/>
      <c r="L1459" s="13"/>
      <c r="M1459" s="15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9"/>
      <c r="J1460" s="13"/>
      <c r="K1460" s="13"/>
      <c r="L1460" s="13"/>
      <c r="M1460" s="15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9"/>
      <c r="J1461" s="13"/>
      <c r="K1461" s="13"/>
      <c r="L1461" s="13"/>
      <c r="M1461" s="15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9"/>
      <c r="J1462" s="13"/>
      <c r="K1462" s="13"/>
      <c r="L1462" s="13"/>
      <c r="M1462" s="15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9"/>
      <c r="J1463" s="13"/>
      <c r="K1463" s="13"/>
      <c r="L1463" s="13"/>
      <c r="M1463" s="15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9"/>
      <c r="J1464" s="13"/>
      <c r="K1464" s="13"/>
      <c r="L1464" s="13"/>
      <c r="M1464" s="15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9"/>
      <c r="J1465" s="13"/>
      <c r="K1465" s="13"/>
      <c r="L1465" s="13"/>
      <c r="M1465" s="15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9"/>
      <c r="J1466" s="13"/>
      <c r="K1466" s="13"/>
      <c r="L1466" s="13"/>
      <c r="M1466" s="15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9"/>
      <c r="J1467" s="13"/>
      <c r="K1467" s="13"/>
      <c r="L1467" s="13"/>
      <c r="M1467" s="15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9"/>
      <c r="J1468" s="13"/>
      <c r="K1468" s="13"/>
      <c r="L1468" s="13"/>
      <c r="M1468" s="15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9"/>
      <c r="J1469" s="13"/>
      <c r="K1469" s="13"/>
      <c r="L1469" s="13"/>
      <c r="M1469" s="15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9"/>
      <c r="J1470" s="13"/>
      <c r="K1470" s="13"/>
      <c r="L1470" s="13"/>
      <c r="M1470" s="15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9"/>
      <c r="J1471" s="13"/>
      <c r="K1471" s="13"/>
      <c r="L1471" s="13"/>
      <c r="M1471" s="15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9"/>
      <c r="J1472" s="13"/>
      <c r="K1472" s="13"/>
      <c r="L1472" s="13"/>
      <c r="M1472" s="15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9"/>
      <c r="J1473" s="13"/>
      <c r="K1473" s="13"/>
      <c r="L1473" s="13"/>
      <c r="M1473" s="15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9"/>
      <c r="J1474" s="13"/>
      <c r="K1474" s="13"/>
      <c r="L1474" s="13"/>
      <c r="M1474" s="15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9"/>
      <c r="J1475" s="13"/>
      <c r="K1475" s="13"/>
      <c r="L1475" s="13"/>
      <c r="M1475" s="15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9"/>
      <c r="J1476" s="13"/>
      <c r="K1476" s="13"/>
      <c r="L1476" s="13"/>
      <c r="M1476" s="15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9"/>
      <c r="J1477" s="13"/>
      <c r="K1477" s="13"/>
      <c r="L1477" s="13"/>
      <c r="M1477" s="15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9"/>
      <c r="J1478" s="13"/>
      <c r="K1478" s="13"/>
      <c r="L1478" s="13"/>
      <c r="M1478" s="15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9"/>
      <c r="J1479" s="13"/>
      <c r="K1479" s="13"/>
      <c r="L1479" s="13"/>
      <c r="M1479" s="15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9"/>
      <c r="J1480" s="13"/>
      <c r="K1480" s="13"/>
      <c r="L1480" s="13"/>
      <c r="M1480" s="15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9"/>
      <c r="J1481" s="13"/>
      <c r="K1481" s="13"/>
      <c r="L1481" s="13"/>
      <c r="M1481" s="15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9"/>
      <c r="J1482" s="13"/>
      <c r="K1482" s="13"/>
      <c r="L1482" s="13"/>
      <c r="M1482" s="15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9"/>
      <c r="J1483" s="13"/>
      <c r="K1483" s="13"/>
      <c r="L1483" s="13"/>
      <c r="M1483" s="15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9"/>
      <c r="J1484" s="13"/>
      <c r="K1484" s="13"/>
      <c r="L1484" s="13"/>
      <c r="M1484" s="15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9"/>
      <c r="J1485" s="13"/>
      <c r="K1485" s="13"/>
      <c r="L1485" s="13"/>
      <c r="M1485" s="15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9"/>
      <c r="J1486" s="13"/>
      <c r="K1486" s="13"/>
      <c r="L1486" s="13"/>
      <c r="M1486" s="15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9"/>
      <c r="J1487" s="13"/>
      <c r="K1487" s="13"/>
      <c r="L1487" s="13"/>
      <c r="M1487" s="15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9"/>
      <c r="J1488" s="13"/>
      <c r="K1488" s="13"/>
      <c r="L1488" s="13"/>
      <c r="M1488" s="15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9"/>
      <c r="J1489" s="13"/>
      <c r="K1489" s="13"/>
      <c r="L1489" s="13"/>
      <c r="M1489" s="15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9"/>
      <c r="J1490" s="13"/>
      <c r="K1490" s="13"/>
      <c r="L1490" s="13"/>
      <c r="M1490" s="15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9"/>
      <c r="J1491" s="13"/>
      <c r="K1491" s="13"/>
      <c r="L1491" s="13"/>
      <c r="M1491" s="15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9"/>
      <c r="J1492" s="13"/>
      <c r="K1492" s="13"/>
      <c r="L1492" s="13"/>
      <c r="M1492" s="15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9"/>
      <c r="J1493" s="13"/>
      <c r="K1493" s="13"/>
      <c r="L1493" s="13"/>
      <c r="M1493" s="15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9"/>
      <c r="J1494" s="13"/>
      <c r="K1494" s="13"/>
      <c r="L1494" s="13"/>
      <c r="M1494" s="15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9"/>
      <c r="J1495" s="13"/>
      <c r="K1495" s="13"/>
      <c r="L1495" s="13"/>
      <c r="M1495" s="15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9"/>
      <c r="J1496" s="13"/>
      <c r="K1496" s="13"/>
      <c r="L1496" s="13"/>
      <c r="M1496" s="15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9"/>
      <c r="J1497" s="13"/>
      <c r="K1497" s="13"/>
      <c r="L1497" s="13"/>
      <c r="M1497" s="15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9"/>
      <c r="J1498" s="13"/>
      <c r="K1498" s="13"/>
      <c r="L1498" s="13"/>
      <c r="M1498" s="15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9"/>
      <c r="J1499" s="13"/>
      <c r="K1499" s="13"/>
      <c r="L1499" s="13"/>
      <c r="M1499" s="15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9"/>
      <c r="J1500" s="13"/>
      <c r="K1500" s="13"/>
      <c r="L1500" s="13"/>
      <c r="M1500" s="15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9"/>
      <c r="J1501" s="13"/>
      <c r="K1501" s="13"/>
      <c r="L1501" s="13"/>
      <c r="M1501" s="15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9"/>
      <c r="J1502" s="13"/>
      <c r="K1502" s="13"/>
      <c r="L1502" s="13"/>
      <c r="M1502" s="15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9"/>
      <c r="J1503" s="13"/>
      <c r="K1503" s="13"/>
      <c r="L1503" s="13"/>
      <c r="M1503" s="15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9"/>
      <c r="J1504" s="13"/>
      <c r="K1504" s="13"/>
      <c r="L1504" s="13"/>
      <c r="M1504" s="15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9"/>
      <c r="J1505" s="13"/>
      <c r="K1505" s="13"/>
      <c r="L1505" s="13"/>
      <c r="M1505" s="15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9"/>
      <c r="J1506" s="13"/>
      <c r="K1506" s="13"/>
      <c r="L1506" s="13"/>
      <c r="M1506" s="15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9"/>
      <c r="J1507" s="13"/>
      <c r="K1507" s="13"/>
      <c r="L1507" s="13"/>
      <c r="M1507" s="15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9"/>
      <c r="J1508" s="13"/>
      <c r="K1508" s="13"/>
      <c r="L1508" s="13"/>
      <c r="M1508" s="15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9"/>
      <c r="J1509" s="13"/>
      <c r="K1509" s="13"/>
      <c r="L1509" s="13"/>
      <c r="M1509" s="15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9"/>
      <c r="J1510" s="13"/>
      <c r="K1510" s="13"/>
      <c r="L1510" s="13"/>
      <c r="M1510" s="15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9"/>
      <c r="J1511" s="13"/>
      <c r="K1511" s="13"/>
      <c r="L1511" s="13"/>
      <c r="M1511" s="15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9"/>
      <c r="J1512" s="13"/>
      <c r="K1512" s="13"/>
      <c r="L1512" s="13"/>
      <c r="M1512" s="15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9"/>
      <c r="J1513" s="13"/>
      <c r="K1513" s="13"/>
      <c r="L1513" s="13"/>
      <c r="M1513" s="15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9"/>
      <c r="J1514" s="13"/>
      <c r="K1514" s="13"/>
      <c r="L1514" s="13"/>
      <c r="M1514" s="15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9"/>
      <c r="J1515" s="13"/>
      <c r="K1515" s="13"/>
      <c r="L1515" s="13"/>
      <c r="M1515" s="15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9"/>
      <c r="J1516" s="13"/>
      <c r="K1516" s="13"/>
      <c r="L1516" s="13"/>
      <c r="M1516" s="15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9"/>
      <c r="J1517" s="13"/>
      <c r="K1517" s="13"/>
      <c r="L1517" s="13"/>
      <c r="M1517" s="15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9"/>
      <c r="J1518" s="13"/>
      <c r="K1518" s="13"/>
      <c r="L1518" s="13"/>
      <c r="M1518" s="15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9"/>
      <c r="J1519" s="13"/>
      <c r="K1519" s="13"/>
      <c r="L1519" s="13"/>
      <c r="M1519" s="15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9"/>
      <c r="J1520" s="13"/>
      <c r="K1520" s="13"/>
      <c r="L1520" s="13"/>
      <c r="M1520" s="15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9"/>
      <c r="J1521" s="13"/>
      <c r="K1521" s="13"/>
      <c r="L1521" s="13"/>
      <c r="M1521" s="15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9"/>
      <c r="J1522" s="13"/>
      <c r="K1522" s="13"/>
      <c r="L1522" s="13"/>
      <c r="M1522" s="15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9"/>
      <c r="J1523" s="13"/>
      <c r="K1523" s="13"/>
      <c r="L1523" s="13"/>
      <c r="M1523" s="15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9"/>
      <c r="J1524" s="13"/>
      <c r="K1524" s="13"/>
      <c r="L1524" s="13"/>
      <c r="M1524" s="15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9"/>
      <c r="J1525" s="13"/>
      <c r="K1525" s="13"/>
      <c r="L1525" s="13"/>
      <c r="M1525" s="15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9"/>
      <c r="J1526" s="13"/>
      <c r="K1526" s="13"/>
      <c r="L1526" s="13"/>
      <c r="M1526" s="15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9"/>
      <c r="J1527" s="13"/>
      <c r="K1527" s="13"/>
      <c r="L1527" s="13"/>
      <c r="M1527" s="15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9"/>
      <c r="J1528" s="13"/>
      <c r="K1528" s="13"/>
      <c r="L1528" s="13"/>
      <c r="M1528" s="15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9"/>
      <c r="J1529" s="13"/>
      <c r="K1529" s="13"/>
      <c r="L1529" s="13"/>
      <c r="M1529" s="15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9"/>
      <c r="J1530" s="13"/>
      <c r="K1530" s="13"/>
      <c r="L1530" s="13"/>
      <c r="M1530" s="15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9"/>
      <c r="J1531" s="13"/>
      <c r="K1531" s="13"/>
      <c r="L1531" s="13"/>
      <c r="M1531" s="15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9"/>
      <c r="J1532" s="13"/>
      <c r="K1532" s="13"/>
      <c r="L1532" s="13"/>
      <c r="M1532" s="15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9"/>
      <c r="J1533" s="13"/>
      <c r="K1533" s="13"/>
      <c r="L1533" s="13"/>
      <c r="M1533" s="15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9"/>
      <c r="J1534" s="13"/>
      <c r="K1534" s="13"/>
      <c r="L1534" s="13"/>
      <c r="M1534" s="15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9"/>
      <c r="J1535" s="13"/>
      <c r="K1535" s="13"/>
      <c r="L1535" s="13"/>
      <c r="M1535" s="15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9"/>
      <c r="J1536" s="13"/>
      <c r="K1536" s="13"/>
      <c r="L1536" s="13"/>
      <c r="M1536" s="15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9"/>
      <c r="J1537" s="13"/>
      <c r="K1537" s="13"/>
      <c r="L1537" s="13"/>
      <c r="M1537" s="15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9"/>
      <c r="J1538" s="13"/>
      <c r="K1538" s="13"/>
      <c r="L1538" s="13"/>
      <c r="M1538" s="15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9"/>
      <c r="J1539" s="13"/>
      <c r="K1539" s="13"/>
      <c r="L1539" s="13"/>
      <c r="M1539" s="15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9"/>
      <c r="J1540" s="13"/>
      <c r="K1540" s="13"/>
      <c r="L1540" s="13"/>
      <c r="M1540" s="15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9"/>
      <c r="J1541" s="13"/>
      <c r="K1541" s="13"/>
      <c r="L1541" s="13"/>
      <c r="M1541" s="15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9"/>
      <c r="J1542" s="13"/>
      <c r="K1542" s="13"/>
      <c r="L1542" s="13"/>
      <c r="M1542" s="15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9"/>
      <c r="J1543" s="13"/>
      <c r="K1543" s="13"/>
      <c r="L1543" s="13"/>
      <c r="M1543" s="15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9"/>
      <c r="J1544" s="13"/>
      <c r="K1544" s="13"/>
      <c r="L1544" s="13"/>
      <c r="M1544" s="15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9"/>
      <c r="J1545" s="13"/>
      <c r="K1545" s="13"/>
      <c r="L1545" s="13"/>
      <c r="M1545" s="15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9"/>
      <c r="J1546" s="13"/>
      <c r="K1546" s="13"/>
      <c r="L1546" s="13"/>
      <c r="M1546" s="15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9"/>
      <c r="J1547" s="13"/>
      <c r="K1547" s="13"/>
      <c r="L1547" s="13"/>
      <c r="M1547" s="15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9"/>
      <c r="J1548" s="13"/>
      <c r="K1548" s="13"/>
      <c r="L1548" s="13"/>
      <c r="M1548" s="15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9"/>
      <c r="J1549" s="13"/>
      <c r="K1549" s="13"/>
      <c r="L1549" s="13"/>
      <c r="M1549" s="15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9"/>
      <c r="J1550" s="13"/>
      <c r="K1550" s="13"/>
      <c r="L1550" s="13"/>
      <c r="M1550" s="15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9"/>
      <c r="J1551" s="13"/>
      <c r="K1551" s="13"/>
      <c r="L1551" s="13"/>
      <c r="M1551" s="15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9"/>
      <c r="J1552" s="13"/>
      <c r="K1552" s="13"/>
      <c r="L1552" s="13"/>
      <c r="M1552" s="15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9"/>
      <c r="J1553" s="13"/>
      <c r="K1553" s="13"/>
      <c r="L1553" s="13"/>
      <c r="M1553" s="15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9"/>
      <c r="J1554" s="13"/>
      <c r="K1554" s="13"/>
      <c r="L1554" s="13"/>
      <c r="M1554" s="15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9"/>
      <c r="J1555" s="13"/>
      <c r="K1555" s="13"/>
      <c r="L1555" s="13"/>
      <c r="M1555" s="15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9"/>
      <c r="J1556" s="13"/>
      <c r="K1556" s="13"/>
      <c r="L1556" s="13"/>
      <c r="M1556" s="15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9"/>
      <c r="J1557" s="13"/>
      <c r="K1557" s="13"/>
      <c r="L1557" s="13"/>
      <c r="M1557" s="15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9"/>
      <c r="J1558" s="13"/>
      <c r="K1558" s="13"/>
      <c r="L1558" s="13"/>
      <c r="M1558" s="15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9"/>
      <c r="J1559" s="13"/>
      <c r="K1559" s="13"/>
      <c r="L1559" s="13"/>
      <c r="M1559" s="15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9"/>
      <c r="J1560" s="13"/>
      <c r="K1560" s="13"/>
      <c r="L1560" s="13"/>
      <c r="M1560" s="15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9"/>
      <c r="J1561" s="13"/>
      <c r="K1561" s="13"/>
      <c r="L1561" s="13"/>
      <c r="M1561" s="15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9"/>
      <c r="J1562" s="13"/>
      <c r="K1562" s="13"/>
      <c r="L1562" s="13"/>
      <c r="M1562" s="15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9"/>
      <c r="J1563" s="13"/>
      <c r="K1563" s="13"/>
      <c r="L1563" s="13"/>
      <c r="M1563" s="15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9"/>
      <c r="J1564" s="13"/>
      <c r="K1564" s="13"/>
      <c r="L1564" s="13"/>
      <c r="M1564" s="15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9"/>
      <c r="J1565" s="13"/>
      <c r="K1565" s="13"/>
      <c r="L1565" s="13"/>
      <c r="M1565" s="15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9"/>
      <c r="J1566" s="13"/>
      <c r="K1566" s="13"/>
      <c r="L1566" s="13"/>
      <c r="M1566" s="15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9"/>
      <c r="J1567" s="13"/>
      <c r="K1567" s="13"/>
      <c r="L1567" s="13"/>
      <c r="M1567" s="15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9"/>
      <c r="J1568" s="13"/>
      <c r="K1568" s="13"/>
      <c r="L1568" s="13"/>
      <c r="M1568" s="15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9"/>
      <c r="J1569" s="13"/>
      <c r="K1569" s="13"/>
      <c r="L1569" s="13"/>
      <c r="M1569" s="15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9"/>
      <c r="J1570" s="13"/>
      <c r="K1570" s="13"/>
      <c r="L1570" s="13"/>
      <c r="M1570" s="15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9"/>
      <c r="J1571" s="13"/>
      <c r="K1571" s="13"/>
      <c r="L1571" s="13"/>
      <c r="M1571" s="15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9"/>
      <c r="J1572" s="13"/>
      <c r="K1572" s="13"/>
      <c r="L1572" s="13"/>
      <c r="M1572" s="15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9"/>
      <c r="J1573" s="13"/>
      <c r="K1573" s="13"/>
      <c r="L1573" s="13"/>
      <c r="M1573" s="15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9"/>
      <c r="J1574" s="13"/>
      <c r="K1574" s="13"/>
      <c r="L1574" s="13"/>
      <c r="M1574" s="15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9"/>
      <c r="J1575" s="13"/>
      <c r="K1575" s="13"/>
      <c r="L1575" s="13"/>
      <c r="M1575" s="15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9"/>
      <c r="J1576" s="13"/>
      <c r="K1576" s="13"/>
      <c r="L1576" s="13"/>
      <c r="M1576" s="15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9"/>
      <c r="J1577" s="13"/>
      <c r="K1577" s="13"/>
      <c r="L1577" s="13"/>
      <c r="M1577" s="15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9"/>
      <c r="J1578" s="13"/>
      <c r="K1578" s="13"/>
      <c r="L1578" s="13"/>
      <c r="M1578" s="15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9"/>
      <c r="J1579" s="13"/>
      <c r="K1579" s="13"/>
      <c r="L1579" s="13"/>
      <c r="M1579" s="15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9"/>
      <c r="J1580" s="13"/>
      <c r="K1580" s="13"/>
      <c r="L1580" s="13"/>
      <c r="M1580" s="15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9"/>
      <c r="J1581" s="13"/>
      <c r="K1581" s="13"/>
      <c r="L1581" s="13"/>
      <c r="M1581" s="15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9"/>
      <c r="J1582" s="13"/>
      <c r="K1582" s="13"/>
      <c r="L1582" s="13"/>
      <c r="M1582" s="15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9"/>
      <c r="J1583" s="13"/>
      <c r="K1583" s="13"/>
      <c r="L1583" s="13"/>
      <c r="M1583" s="15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9"/>
      <c r="J1584" s="13"/>
      <c r="K1584" s="13"/>
      <c r="L1584" s="13"/>
      <c r="M1584" s="15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9"/>
      <c r="J1585" s="13"/>
      <c r="K1585" s="13"/>
      <c r="L1585" s="13"/>
      <c r="M1585" s="15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9"/>
      <c r="J1586" s="13"/>
      <c r="K1586" s="13"/>
      <c r="L1586" s="13"/>
      <c r="M1586" s="15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9"/>
      <c r="J1587" s="13"/>
      <c r="K1587" s="13"/>
      <c r="L1587" s="13"/>
      <c r="M1587" s="15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9"/>
      <c r="J1588" s="13"/>
      <c r="K1588" s="13"/>
      <c r="L1588" s="13"/>
      <c r="M1588" s="15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9"/>
      <c r="J1589" s="13"/>
      <c r="K1589" s="13"/>
      <c r="L1589" s="13"/>
      <c r="M1589" s="15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9"/>
      <c r="J1590" s="13"/>
      <c r="K1590" s="13"/>
      <c r="L1590" s="13"/>
      <c r="M1590" s="15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9"/>
      <c r="J1591" s="13"/>
      <c r="K1591" s="13"/>
      <c r="L1591" s="13"/>
      <c r="M1591" s="15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9"/>
      <c r="J1592" s="13"/>
      <c r="K1592" s="13"/>
      <c r="L1592" s="13"/>
      <c r="M1592" s="15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9"/>
      <c r="J1593" s="13"/>
      <c r="K1593" s="13"/>
      <c r="L1593" s="13"/>
      <c r="M1593" s="15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9"/>
      <c r="J1594" s="13"/>
      <c r="K1594" s="13"/>
      <c r="L1594" s="13"/>
      <c r="M1594" s="15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9"/>
      <c r="J1595" s="13"/>
      <c r="K1595" s="13"/>
      <c r="L1595" s="13"/>
      <c r="M1595" s="15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9"/>
      <c r="J1596" s="13"/>
      <c r="K1596" s="13"/>
      <c r="L1596" s="13"/>
      <c r="M1596" s="15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9"/>
      <c r="J1597" s="13"/>
      <c r="K1597" s="13"/>
      <c r="L1597" s="13"/>
      <c r="M1597" s="15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9"/>
      <c r="J1598" s="13"/>
      <c r="K1598" s="13"/>
      <c r="L1598" s="13"/>
      <c r="M1598" s="15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9"/>
      <c r="J1599" s="13"/>
      <c r="K1599" s="13"/>
      <c r="L1599" s="13"/>
      <c r="M1599" s="15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9"/>
      <c r="J1600" s="13"/>
      <c r="K1600" s="13"/>
      <c r="L1600" s="13"/>
      <c r="M1600" s="15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9"/>
      <c r="J1601" s="13"/>
      <c r="K1601" s="13"/>
      <c r="L1601" s="13"/>
      <c r="M1601" s="15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9"/>
      <c r="J1602" s="13"/>
      <c r="K1602" s="13"/>
      <c r="L1602" s="13"/>
      <c r="M1602" s="15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9"/>
      <c r="J1603" s="13"/>
      <c r="K1603" s="13"/>
      <c r="L1603" s="13"/>
      <c r="M1603" s="15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9"/>
      <c r="J1604" s="13"/>
      <c r="K1604" s="13"/>
      <c r="L1604" s="13"/>
      <c r="M1604" s="15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9"/>
      <c r="J1605" s="13"/>
      <c r="K1605" s="13"/>
      <c r="L1605" s="13"/>
      <c r="M1605" s="15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9"/>
      <c r="J1606" s="13"/>
      <c r="K1606" s="13"/>
      <c r="L1606" s="13"/>
      <c r="M1606" s="15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9"/>
      <c r="J1607" s="13"/>
      <c r="K1607" s="13"/>
      <c r="L1607" s="13"/>
      <c r="M1607" s="15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9"/>
      <c r="J1608" s="13"/>
      <c r="K1608" s="13"/>
      <c r="L1608" s="13"/>
      <c r="M1608" s="15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9"/>
      <c r="J1609" s="13"/>
      <c r="K1609" s="13"/>
      <c r="L1609" s="13"/>
      <c r="M1609" s="15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9"/>
      <c r="J1610" s="13"/>
      <c r="K1610" s="13"/>
      <c r="L1610" s="13"/>
      <c r="M1610" s="15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9"/>
      <c r="J1611" s="13"/>
      <c r="K1611" s="13"/>
      <c r="L1611" s="13"/>
      <c r="M1611" s="15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9"/>
      <c r="J1612" s="13"/>
      <c r="K1612" s="13"/>
      <c r="L1612" s="13"/>
      <c r="M1612" s="15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9"/>
      <c r="J1613" s="13"/>
      <c r="K1613" s="13"/>
      <c r="L1613" s="13"/>
      <c r="M1613" s="15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9"/>
      <c r="J1614" s="13"/>
      <c r="K1614" s="13"/>
      <c r="L1614" s="13"/>
      <c r="M1614" s="15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9"/>
      <c r="J1615" s="13"/>
      <c r="K1615" s="13"/>
      <c r="L1615" s="13"/>
      <c r="M1615" s="15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9"/>
      <c r="J1616" s="13"/>
      <c r="K1616" s="13"/>
      <c r="L1616" s="13"/>
      <c r="M1616" s="15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9"/>
      <c r="J1617" s="13"/>
      <c r="K1617" s="13"/>
      <c r="L1617" s="13"/>
      <c r="M1617" s="15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9"/>
      <c r="J1618" s="13"/>
      <c r="K1618" s="13"/>
      <c r="L1618" s="13"/>
      <c r="M1618" s="15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9"/>
      <c r="J1619" s="13"/>
      <c r="K1619" s="13"/>
      <c r="L1619" s="13"/>
      <c r="M1619" s="15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9"/>
      <c r="J1620" s="13"/>
      <c r="K1620" s="13"/>
      <c r="L1620" s="13"/>
      <c r="M1620" s="15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9"/>
      <c r="J1621" s="13"/>
      <c r="K1621" s="13"/>
      <c r="L1621" s="13"/>
      <c r="M1621" s="15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9"/>
      <c r="J1622" s="13"/>
      <c r="K1622" s="13"/>
      <c r="L1622" s="13"/>
      <c r="M1622" s="15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9"/>
      <c r="J1623" s="13"/>
      <c r="K1623" s="13"/>
      <c r="L1623" s="13"/>
      <c r="M1623" s="15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9"/>
      <c r="J1624" s="13"/>
      <c r="K1624" s="13"/>
      <c r="L1624" s="13"/>
      <c r="M1624" s="15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9"/>
      <c r="J1625" s="13"/>
      <c r="K1625" s="13"/>
      <c r="L1625" s="13"/>
      <c r="M1625" s="15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9"/>
      <c r="J1626" s="13"/>
      <c r="K1626" s="13"/>
      <c r="L1626" s="13"/>
      <c r="M1626" s="15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9"/>
      <c r="J1627" s="13"/>
      <c r="K1627" s="13"/>
      <c r="L1627" s="13"/>
      <c r="M1627" s="15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9"/>
      <c r="J1628" s="13"/>
      <c r="K1628" s="13"/>
      <c r="L1628" s="13"/>
      <c r="M1628" s="15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9"/>
      <c r="J1629" s="13"/>
      <c r="K1629" s="13"/>
      <c r="L1629" s="13"/>
      <c r="M1629" s="15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9"/>
      <c r="J1630" s="13"/>
      <c r="K1630" s="13"/>
      <c r="L1630" s="13"/>
      <c r="M1630" s="15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9"/>
      <c r="J1631" s="13"/>
      <c r="K1631" s="13"/>
      <c r="L1631" s="13"/>
      <c r="M1631" s="15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9"/>
      <c r="J1632" s="13"/>
      <c r="K1632" s="13"/>
      <c r="L1632" s="13"/>
      <c r="M1632" s="15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9"/>
      <c r="J1633" s="13"/>
      <c r="K1633" s="13"/>
      <c r="L1633" s="13"/>
      <c r="M1633" s="15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9"/>
      <c r="J1634" s="13"/>
      <c r="K1634" s="13"/>
      <c r="L1634" s="13"/>
      <c r="M1634" s="15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9"/>
      <c r="J1635" s="13"/>
      <c r="K1635" s="13"/>
      <c r="L1635" s="13"/>
      <c r="M1635" s="15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9"/>
      <c r="J1636" s="13"/>
      <c r="K1636" s="13"/>
      <c r="L1636" s="13"/>
      <c r="M1636" s="15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9"/>
      <c r="J1637" s="13"/>
      <c r="K1637" s="13"/>
      <c r="L1637" s="13"/>
      <c r="M1637" s="15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9"/>
      <c r="J1638" s="13"/>
      <c r="K1638" s="13"/>
      <c r="L1638" s="13"/>
      <c r="M1638" s="15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9"/>
      <c r="J1639" s="13"/>
      <c r="K1639" s="13"/>
      <c r="L1639" s="13"/>
      <c r="M1639" s="15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9"/>
      <c r="J1640" s="13"/>
      <c r="K1640" s="13"/>
      <c r="L1640" s="13"/>
      <c r="M1640" s="15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9"/>
      <c r="J1641" s="13"/>
      <c r="K1641" s="13"/>
      <c r="L1641" s="13"/>
      <c r="M1641" s="15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9"/>
      <c r="J1642" s="13"/>
      <c r="K1642" s="13"/>
      <c r="L1642" s="13"/>
      <c r="M1642" s="15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9"/>
      <c r="J1643" s="13"/>
      <c r="K1643" s="13"/>
      <c r="L1643" s="13"/>
      <c r="M1643" s="15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9"/>
      <c r="J1644" s="13"/>
      <c r="K1644" s="13"/>
      <c r="L1644" s="13"/>
      <c r="M1644" s="15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9"/>
      <c r="J1645" s="13"/>
      <c r="K1645" s="13"/>
      <c r="L1645" s="13"/>
      <c r="M1645" s="15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9"/>
      <c r="J1646" s="13"/>
      <c r="K1646" s="13"/>
      <c r="L1646" s="13"/>
      <c r="M1646" s="15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9"/>
      <c r="J1647" s="13"/>
      <c r="K1647" s="13"/>
      <c r="L1647" s="13"/>
      <c r="M1647" s="15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9"/>
      <c r="J1648" s="13"/>
      <c r="K1648" s="13"/>
      <c r="L1648" s="13"/>
      <c r="M1648" s="15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9"/>
      <c r="J1649" s="13"/>
      <c r="K1649" s="13"/>
      <c r="L1649" s="13"/>
      <c r="M1649" s="15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9"/>
      <c r="J1650" s="13"/>
      <c r="K1650" s="13"/>
      <c r="L1650" s="13"/>
      <c r="M1650" s="15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9"/>
      <c r="J1651" s="13"/>
      <c r="K1651" s="13"/>
      <c r="L1651" s="13"/>
      <c r="M1651" s="15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9"/>
      <c r="J1652" s="13"/>
      <c r="K1652" s="13"/>
      <c r="L1652" s="13"/>
      <c r="M1652" s="15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9"/>
      <c r="J1653" s="13"/>
      <c r="K1653" s="13"/>
      <c r="L1653" s="13"/>
      <c r="M1653" s="15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9"/>
      <c r="J1654" s="13"/>
      <c r="K1654" s="13"/>
      <c r="L1654" s="13"/>
      <c r="M1654" s="15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9"/>
      <c r="J1655" s="13"/>
      <c r="K1655" s="13"/>
      <c r="L1655" s="13"/>
      <c r="M1655" s="15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9"/>
      <c r="J1656" s="13"/>
      <c r="K1656" s="13"/>
      <c r="L1656" s="13"/>
      <c r="M1656" s="15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9"/>
      <c r="J1657" s="13"/>
      <c r="K1657" s="13"/>
      <c r="L1657" s="13"/>
      <c r="M1657" s="15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9"/>
      <c r="J1658" s="13"/>
      <c r="K1658" s="13"/>
      <c r="L1658" s="13"/>
      <c r="M1658" s="15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9"/>
      <c r="J1659" s="13"/>
      <c r="K1659" s="13"/>
      <c r="L1659" s="13"/>
      <c r="M1659" s="15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9"/>
      <c r="J1660" s="13"/>
      <c r="K1660" s="13"/>
      <c r="L1660" s="13"/>
      <c r="M1660" s="15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9"/>
      <c r="J1661" s="13"/>
      <c r="K1661" s="13"/>
      <c r="L1661" s="13"/>
      <c r="M1661" s="15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9"/>
      <c r="J1662" s="13"/>
      <c r="K1662" s="13"/>
      <c r="L1662" s="13"/>
      <c r="M1662" s="15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9"/>
      <c r="J1663" s="13"/>
      <c r="K1663" s="13"/>
      <c r="L1663" s="13"/>
      <c r="M1663" s="15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9"/>
      <c r="J1664" s="13"/>
      <c r="K1664" s="13"/>
      <c r="L1664" s="13"/>
      <c r="M1664" s="15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9"/>
      <c r="J1665" s="13"/>
      <c r="K1665" s="13"/>
      <c r="L1665" s="13"/>
      <c r="M1665" s="15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9"/>
      <c r="J1666" s="13"/>
      <c r="K1666" s="13"/>
      <c r="L1666" s="13"/>
      <c r="M1666" s="15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9"/>
      <c r="J1667" s="13"/>
      <c r="K1667" s="13"/>
      <c r="L1667" s="13"/>
      <c r="M1667" s="15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9"/>
      <c r="J1668" s="13"/>
      <c r="K1668" s="13"/>
      <c r="L1668" s="13"/>
      <c r="M1668" s="15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9"/>
      <c r="J1669" s="13"/>
      <c r="K1669" s="13"/>
      <c r="L1669" s="13"/>
      <c r="M1669" s="15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9"/>
      <c r="J1670" s="13"/>
      <c r="K1670" s="13"/>
      <c r="L1670" s="13"/>
      <c r="M1670" s="15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9"/>
      <c r="J1671" s="13"/>
      <c r="K1671" s="13"/>
      <c r="L1671" s="13"/>
      <c r="M1671" s="15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9"/>
      <c r="J1672" s="13"/>
      <c r="K1672" s="13"/>
      <c r="L1672" s="13"/>
      <c r="M1672" s="15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9"/>
      <c r="J1673" s="13"/>
      <c r="K1673" s="13"/>
      <c r="L1673" s="13"/>
      <c r="M1673" s="15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9"/>
      <c r="J1674" s="13"/>
      <c r="K1674" s="13"/>
      <c r="L1674" s="13"/>
      <c r="M1674" s="15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9"/>
      <c r="J1675" s="13"/>
      <c r="K1675" s="13"/>
      <c r="L1675" s="13"/>
      <c r="M1675" s="15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9"/>
      <c r="J1676" s="13"/>
      <c r="K1676" s="13"/>
      <c r="L1676" s="13"/>
      <c r="M1676" s="15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9"/>
      <c r="J1677" s="13"/>
      <c r="K1677" s="13"/>
      <c r="L1677" s="13"/>
      <c r="M1677" s="15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9"/>
      <c r="J1678" s="13"/>
      <c r="K1678" s="13"/>
      <c r="L1678" s="13"/>
      <c r="M1678" s="15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9"/>
      <c r="J1679" s="13"/>
      <c r="K1679" s="13"/>
      <c r="L1679" s="13"/>
      <c r="M1679" s="15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9"/>
      <c r="J1680" s="13"/>
      <c r="K1680" s="13"/>
      <c r="L1680" s="13"/>
      <c r="M1680" s="15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9"/>
      <c r="J1681" s="13"/>
      <c r="K1681" s="13"/>
      <c r="L1681" s="13"/>
      <c r="M1681" s="15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9"/>
      <c r="J1682" s="13"/>
      <c r="K1682" s="13"/>
      <c r="L1682" s="13"/>
      <c r="M1682" s="15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9"/>
      <c r="J1683" s="13"/>
      <c r="K1683" s="13"/>
      <c r="L1683" s="13"/>
      <c r="M1683" s="15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9"/>
      <c r="J1684" s="13"/>
      <c r="K1684" s="13"/>
      <c r="L1684" s="13"/>
      <c r="M1684" s="15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9"/>
      <c r="J1685" s="13"/>
      <c r="K1685" s="13"/>
      <c r="L1685" s="13"/>
      <c r="M1685" s="15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9"/>
      <c r="J1686" s="13"/>
      <c r="K1686" s="13"/>
      <c r="L1686" s="13"/>
      <c r="M1686" s="15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9"/>
      <c r="J1687" s="13"/>
      <c r="K1687" s="13"/>
      <c r="L1687" s="13"/>
      <c r="M1687" s="15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9"/>
      <c r="J1688" s="13"/>
      <c r="K1688" s="13"/>
      <c r="L1688" s="13"/>
      <c r="M1688" s="15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9"/>
      <c r="J1689" s="13"/>
      <c r="K1689" s="13"/>
      <c r="L1689" s="13"/>
      <c r="M1689" s="15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9"/>
      <c r="J1690" s="13"/>
      <c r="K1690" s="13"/>
      <c r="L1690" s="13"/>
      <c r="M1690" s="15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9"/>
      <c r="J1691" s="13"/>
      <c r="K1691" s="13"/>
      <c r="L1691" s="13"/>
      <c r="M1691" s="15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9"/>
      <c r="J1692" s="13"/>
      <c r="K1692" s="13"/>
      <c r="L1692" s="13"/>
      <c r="M1692" s="15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9"/>
      <c r="J1693" s="13"/>
      <c r="K1693" s="13"/>
      <c r="L1693" s="13"/>
      <c r="M1693" s="15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9"/>
      <c r="J1694" s="13"/>
      <c r="K1694" s="13"/>
      <c r="L1694" s="13"/>
      <c r="M1694" s="15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9"/>
      <c r="J1695" s="13"/>
      <c r="K1695" s="13"/>
      <c r="L1695" s="13"/>
      <c r="M1695" s="15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9"/>
      <c r="J1696" s="13"/>
      <c r="K1696" s="13"/>
      <c r="L1696" s="13"/>
      <c r="M1696" s="15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9"/>
      <c r="J1697" s="13"/>
      <c r="K1697" s="13"/>
      <c r="L1697" s="13"/>
      <c r="M1697" s="15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9"/>
      <c r="J1698" s="13"/>
      <c r="K1698" s="13"/>
      <c r="L1698" s="13"/>
      <c r="M1698" s="15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9"/>
      <c r="J1699" s="13"/>
      <c r="K1699" s="13"/>
      <c r="L1699" s="13"/>
      <c r="M1699" s="15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9"/>
      <c r="J1700" s="13"/>
      <c r="K1700" s="13"/>
      <c r="L1700" s="13"/>
      <c r="M1700" s="15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9"/>
      <c r="J1701" s="13"/>
      <c r="K1701" s="13"/>
      <c r="L1701" s="13"/>
      <c r="M1701" s="15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9"/>
      <c r="J1702" s="13"/>
      <c r="K1702" s="13"/>
      <c r="L1702" s="13"/>
      <c r="M1702" s="15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9"/>
      <c r="J1703" s="13"/>
      <c r="K1703" s="13"/>
      <c r="L1703" s="13"/>
      <c r="M1703" s="15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9"/>
      <c r="J1704" s="13"/>
      <c r="K1704" s="13"/>
      <c r="L1704" s="13"/>
      <c r="M1704" s="15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9"/>
      <c r="J1705" s="13"/>
      <c r="K1705" s="13"/>
      <c r="L1705" s="13"/>
      <c r="M1705" s="15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9"/>
      <c r="J1706" s="13"/>
      <c r="K1706" s="13"/>
      <c r="L1706" s="13"/>
      <c r="M1706" s="15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9"/>
      <c r="J1707" s="13"/>
      <c r="K1707" s="13"/>
      <c r="L1707" s="13"/>
      <c r="M1707" s="15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9"/>
      <c r="J1708" s="13"/>
      <c r="K1708" s="13"/>
      <c r="L1708" s="13"/>
      <c r="M1708" s="15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9"/>
      <c r="J1709" s="13"/>
      <c r="K1709" s="13"/>
      <c r="L1709" s="13"/>
      <c r="M1709" s="15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9"/>
      <c r="J1710" s="13"/>
      <c r="K1710" s="13"/>
      <c r="L1710" s="13"/>
      <c r="M1710" s="15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9"/>
      <c r="J1711" s="13"/>
      <c r="K1711" s="13"/>
      <c r="L1711" s="13"/>
      <c r="M1711" s="15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9"/>
      <c r="J1712" s="13"/>
      <c r="K1712" s="13"/>
      <c r="L1712" s="13"/>
      <c r="M1712" s="15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9"/>
      <c r="J1713" s="13"/>
      <c r="K1713" s="13"/>
      <c r="L1713" s="13"/>
      <c r="M1713" s="15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9"/>
      <c r="J1714" s="13"/>
      <c r="K1714" s="13"/>
      <c r="L1714" s="13"/>
      <c r="M1714" s="15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9"/>
      <c r="J1715" s="13"/>
      <c r="K1715" s="13"/>
      <c r="L1715" s="13"/>
      <c r="M1715" s="15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9"/>
      <c r="J1716" s="13"/>
      <c r="K1716" s="13"/>
      <c r="L1716" s="13"/>
      <c r="M1716" s="15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9"/>
      <c r="J1717" s="13"/>
      <c r="K1717" s="13"/>
      <c r="L1717" s="13"/>
      <c r="M1717" s="15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9"/>
      <c r="J1718" s="13"/>
      <c r="K1718" s="13"/>
      <c r="L1718" s="13"/>
      <c r="M1718" s="15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9"/>
      <c r="J1719" s="13"/>
      <c r="K1719" s="13"/>
      <c r="L1719" s="13"/>
      <c r="M1719" s="15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9"/>
      <c r="J1720" s="13"/>
      <c r="K1720" s="13"/>
      <c r="L1720" s="13"/>
      <c r="M1720" s="15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9"/>
      <c r="J1721" s="13"/>
      <c r="K1721" s="13"/>
      <c r="L1721" s="13"/>
      <c r="M1721" s="15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9"/>
      <c r="J1722" s="13"/>
      <c r="K1722" s="13"/>
      <c r="L1722" s="13"/>
      <c r="M1722" s="15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9"/>
      <c r="J1723" s="13"/>
      <c r="K1723" s="13"/>
      <c r="L1723" s="13"/>
      <c r="M1723" s="15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9"/>
      <c r="J1724" s="13"/>
      <c r="K1724" s="13"/>
      <c r="L1724" s="13"/>
      <c r="M1724" s="15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9"/>
      <c r="J1725" s="13"/>
      <c r="K1725" s="13"/>
      <c r="L1725" s="13"/>
      <c r="M1725" s="15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9"/>
      <c r="J1726" s="13"/>
      <c r="K1726" s="13"/>
      <c r="L1726" s="13"/>
      <c r="M1726" s="15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9"/>
      <c r="J1727" s="13"/>
      <c r="K1727" s="13"/>
      <c r="L1727" s="13"/>
      <c r="M1727" s="15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9"/>
      <c r="J1728" s="13"/>
      <c r="K1728" s="13"/>
      <c r="L1728" s="13"/>
      <c r="M1728" s="15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9"/>
      <c r="J1729" s="13"/>
      <c r="K1729" s="13"/>
      <c r="L1729" s="13"/>
      <c r="M1729" s="15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9"/>
      <c r="J1730" s="13"/>
      <c r="K1730" s="13"/>
      <c r="L1730" s="13"/>
      <c r="M1730" s="15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9"/>
      <c r="J1731" s="13"/>
      <c r="K1731" s="13"/>
      <c r="L1731" s="13"/>
      <c r="M1731" s="15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9"/>
      <c r="J1732" s="13"/>
      <c r="K1732" s="13"/>
      <c r="L1732" s="13"/>
      <c r="M1732" s="15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9"/>
      <c r="J1733" s="13"/>
      <c r="K1733" s="13"/>
      <c r="L1733" s="13"/>
      <c r="M1733" s="15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9"/>
      <c r="J1734" s="13"/>
      <c r="K1734" s="13"/>
      <c r="L1734" s="13"/>
      <c r="M1734" s="15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9"/>
      <c r="J1735" s="13"/>
      <c r="K1735" s="13"/>
      <c r="L1735" s="13"/>
      <c r="M1735" s="15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9"/>
      <c r="J1736" s="13"/>
      <c r="K1736" s="13"/>
      <c r="L1736" s="13"/>
      <c r="M1736" s="15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9"/>
      <c r="J1737" s="13"/>
      <c r="K1737" s="13"/>
      <c r="L1737" s="13"/>
      <c r="M1737" s="15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9"/>
      <c r="J1738" s="13"/>
      <c r="K1738" s="13"/>
      <c r="L1738" s="13"/>
      <c r="M1738" s="15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9"/>
      <c r="J1739" s="13"/>
      <c r="K1739" s="13"/>
      <c r="L1739" s="13"/>
      <c r="M1739" s="15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9"/>
      <c r="J1740" s="13"/>
      <c r="K1740" s="13"/>
      <c r="L1740" s="13"/>
      <c r="M1740" s="15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9"/>
      <c r="J1741" s="13"/>
      <c r="K1741" s="13"/>
      <c r="L1741" s="13"/>
      <c r="M1741" s="15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9"/>
      <c r="J1742" s="13"/>
      <c r="K1742" s="13"/>
      <c r="L1742" s="13"/>
      <c r="M1742" s="15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9"/>
      <c r="J1743" s="13"/>
      <c r="K1743" s="13"/>
      <c r="L1743" s="13"/>
      <c r="M1743" s="15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9"/>
      <c r="J1744" s="13"/>
      <c r="K1744" s="13"/>
      <c r="L1744" s="13"/>
      <c r="M1744" s="15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9"/>
      <c r="J1745" s="13"/>
      <c r="K1745" s="13"/>
      <c r="L1745" s="13"/>
      <c r="M1745" s="15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9"/>
      <c r="J1746" s="13"/>
      <c r="K1746" s="13"/>
      <c r="L1746" s="13"/>
      <c r="M1746" s="15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9"/>
      <c r="J1747" s="13"/>
      <c r="K1747" s="13"/>
      <c r="L1747" s="13"/>
      <c r="M1747" s="15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9"/>
      <c r="J1748" s="13"/>
      <c r="K1748" s="13"/>
      <c r="L1748" s="13"/>
      <c r="M1748" s="15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9"/>
      <c r="J1749" s="13"/>
      <c r="K1749" s="13"/>
      <c r="L1749" s="13"/>
      <c r="M1749" s="15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9"/>
      <c r="J1750" s="13"/>
      <c r="K1750" s="13"/>
      <c r="L1750" s="13"/>
      <c r="M1750" s="15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9"/>
      <c r="J1751" s="13"/>
      <c r="K1751" s="13"/>
      <c r="L1751" s="13"/>
      <c r="M1751" s="15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9"/>
      <c r="J1752" s="13"/>
      <c r="K1752" s="13"/>
      <c r="L1752" s="13"/>
      <c r="M1752" s="15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9"/>
      <c r="J1753" s="13"/>
      <c r="K1753" s="13"/>
      <c r="L1753" s="13"/>
      <c r="M1753" s="15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9"/>
      <c r="J1754" s="13"/>
      <c r="K1754" s="13"/>
      <c r="L1754" s="13"/>
      <c r="M1754" s="15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9"/>
      <c r="J1755" s="13"/>
      <c r="K1755" s="13"/>
      <c r="L1755" s="13"/>
      <c r="M1755" s="15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9"/>
      <c r="J1756" s="13"/>
      <c r="K1756" s="13"/>
      <c r="L1756" s="13"/>
      <c r="M1756" s="15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9"/>
      <c r="J1757" s="13"/>
      <c r="K1757" s="13"/>
      <c r="L1757" s="13"/>
      <c r="M1757" s="15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9"/>
      <c r="J1758" s="13"/>
      <c r="K1758" s="13"/>
      <c r="L1758" s="13"/>
      <c r="M1758" s="15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9"/>
      <c r="J1759" s="13"/>
      <c r="K1759" s="13"/>
      <c r="L1759" s="13"/>
      <c r="M1759" s="15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9"/>
      <c r="J1760" s="13"/>
      <c r="K1760" s="13"/>
      <c r="L1760" s="13"/>
      <c r="M1760" s="15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9"/>
      <c r="J1761" s="13"/>
      <c r="K1761" s="13"/>
      <c r="L1761" s="13"/>
      <c r="M1761" s="15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9"/>
      <c r="J1762" s="13"/>
      <c r="K1762" s="13"/>
      <c r="L1762" s="13"/>
      <c r="M1762" s="15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9"/>
      <c r="J1763" s="13"/>
      <c r="K1763" s="13"/>
      <c r="L1763" s="13"/>
      <c r="M1763" s="15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9"/>
      <c r="J1764" s="13"/>
      <c r="K1764" s="13"/>
      <c r="L1764" s="13"/>
      <c r="M1764" s="15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9"/>
      <c r="J1765" s="13"/>
      <c r="K1765" s="13"/>
      <c r="L1765" s="13"/>
      <c r="M1765" s="15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9"/>
      <c r="J1766" s="13"/>
      <c r="K1766" s="13"/>
      <c r="L1766" s="13"/>
      <c r="M1766" s="15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9"/>
      <c r="J1767" s="13"/>
      <c r="K1767" s="13"/>
      <c r="L1767" s="13"/>
      <c r="M1767" s="15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9"/>
      <c r="J1768" s="13"/>
      <c r="K1768" s="13"/>
      <c r="L1768" s="13"/>
      <c r="M1768" s="15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9"/>
      <c r="J1769" s="13"/>
      <c r="K1769" s="13"/>
      <c r="L1769" s="13"/>
      <c r="M1769" s="15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9"/>
      <c r="J1770" s="13"/>
      <c r="K1770" s="13"/>
      <c r="L1770" s="13"/>
      <c r="M1770" s="15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9"/>
      <c r="J1771" s="13"/>
      <c r="K1771" s="13"/>
      <c r="L1771" s="13"/>
      <c r="M1771" s="15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9"/>
      <c r="J1772" s="13"/>
      <c r="K1772" s="13"/>
      <c r="L1772" s="13"/>
      <c r="M1772" s="15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9"/>
      <c r="J1773" s="13"/>
      <c r="K1773" s="13"/>
      <c r="L1773" s="13"/>
      <c r="M1773" s="15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9"/>
      <c r="J1774" s="13"/>
      <c r="K1774" s="13"/>
      <c r="L1774" s="13"/>
      <c r="M1774" s="15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9"/>
      <c r="J1775" s="13"/>
      <c r="K1775" s="13"/>
      <c r="L1775" s="13"/>
      <c r="M1775" s="15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9"/>
      <c r="J1776" s="13"/>
      <c r="K1776" s="13"/>
      <c r="L1776" s="13"/>
      <c r="M1776" s="15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9"/>
      <c r="J1777" s="13"/>
      <c r="K1777" s="13"/>
      <c r="L1777" s="13"/>
      <c r="M1777" s="15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9"/>
      <c r="J1778" s="13"/>
      <c r="K1778" s="13"/>
      <c r="L1778" s="13"/>
      <c r="M1778" s="15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9"/>
      <c r="J1779" s="13"/>
      <c r="K1779" s="13"/>
      <c r="L1779" s="13"/>
      <c r="M1779" s="15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9"/>
      <c r="J1780" s="13"/>
      <c r="K1780" s="13"/>
      <c r="L1780" s="13"/>
      <c r="M1780" s="15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9"/>
      <c r="J1781" s="13"/>
      <c r="K1781" s="13"/>
      <c r="L1781" s="13"/>
      <c r="M1781" s="15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9"/>
      <c r="J1782" s="13"/>
      <c r="K1782" s="13"/>
      <c r="L1782" s="13"/>
      <c r="M1782" s="15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9"/>
      <c r="J1783" s="13"/>
      <c r="K1783" s="13"/>
      <c r="L1783" s="13"/>
      <c r="M1783" s="15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9"/>
      <c r="J1784" s="13"/>
      <c r="K1784" s="13"/>
      <c r="L1784" s="13"/>
      <c r="M1784" s="15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9"/>
      <c r="J1785" s="13"/>
      <c r="K1785" s="13"/>
      <c r="L1785" s="13"/>
      <c r="M1785" s="15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9"/>
      <c r="J1786" s="13"/>
      <c r="K1786" s="13"/>
      <c r="L1786" s="13"/>
      <c r="M1786" s="15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9"/>
      <c r="J1787" s="13"/>
      <c r="K1787" s="13"/>
      <c r="L1787" s="13"/>
      <c r="M1787" s="15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9"/>
      <c r="J1788" s="13"/>
      <c r="K1788" s="13"/>
      <c r="L1788" s="13"/>
      <c r="M1788" s="15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9"/>
      <c r="J1789" s="13"/>
      <c r="K1789" s="13"/>
      <c r="L1789" s="13"/>
      <c r="M1789" s="15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9"/>
      <c r="J1790" s="13"/>
      <c r="K1790" s="13"/>
      <c r="L1790" s="13"/>
      <c r="M1790" s="15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9"/>
      <c r="J1791" s="13"/>
      <c r="K1791" s="13"/>
      <c r="L1791" s="13"/>
      <c r="M1791" s="15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9"/>
      <c r="J1792" s="13"/>
      <c r="K1792" s="13"/>
      <c r="L1792" s="13"/>
      <c r="M1792" s="15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9"/>
      <c r="J1793" s="13"/>
      <c r="K1793" s="13"/>
      <c r="L1793" s="13"/>
      <c r="M1793" s="15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9"/>
      <c r="J1794" s="13"/>
      <c r="K1794" s="13"/>
      <c r="L1794" s="13"/>
      <c r="M1794" s="15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9"/>
      <c r="J1795" s="13"/>
      <c r="K1795" s="13"/>
      <c r="L1795" s="13"/>
      <c r="M1795" s="15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9"/>
      <c r="J1796" s="13"/>
      <c r="K1796" s="13"/>
      <c r="L1796" s="13"/>
      <c r="M1796" s="15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9"/>
      <c r="J1797" s="13"/>
      <c r="K1797" s="13"/>
      <c r="L1797" s="13"/>
      <c r="M1797" s="15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9"/>
      <c r="J1798" s="13"/>
      <c r="K1798" s="13"/>
      <c r="L1798" s="13"/>
      <c r="M1798" s="15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9"/>
      <c r="J1799" s="13"/>
      <c r="K1799" s="13"/>
      <c r="L1799" s="13"/>
      <c r="M1799" s="15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9"/>
      <c r="J1800" s="13"/>
      <c r="K1800" s="13"/>
      <c r="L1800" s="13"/>
      <c r="M1800" s="15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9"/>
      <c r="J1801" s="13"/>
      <c r="K1801" s="13"/>
      <c r="L1801" s="13"/>
      <c r="M1801" s="15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9"/>
      <c r="J1802" s="13"/>
      <c r="K1802" s="13"/>
      <c r="L1802" s="13"/>
      <c r="M1802" s="15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9"/>
      <c r="J1803" s="13"/>
      <c r="K1803" s="13"/>
      <c r="L1803" s="13"/>
      <c r="M1803" s="15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9"/>
      <c r="J1804" s="13"/>
      <c r="K1804" s="13"/>
      <c r="L1804" s="13"/>
      <c r="M1804" s="15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9"/>
      <c r="J1805" s="13"/>
      <c r="K1805" s="13"/>
      <c r="L1805" s="13"/>
      <c r="M1805" s="15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9"/>
      <c r="J1806" s="13"/>
      <c r="K1806" s="13"/>
      <c r="L1806" s="13"/>
      <c r="M1806" s="15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9"/>
      <c r="J1807" s="13"/>
      <c r="K1807" s="13"/>
      <c r="L1807" s="13"/>
      <c r="M1807" s="15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9"/>
      <c r="J1808" s="13"/>
      <c r="K1808" s="13"/>
      <c r="L1808" s="13"/>
      <c r="M1808" s="15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9"/>
      <c r="J1809" s="13"/>
      <c r="K1809" s="13"/>
      <c r="L1809" s="13"/>
      <c r="M1809" s="15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9"/>
      <c r="J1810" s="13"/>
      <c r="K1810" s="13"/>
      <c r="L1810" s="13"/>
      <c r="M1810" s="15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9"/>
      <c r="J1811" s="13"/>
      <c r="K1811" s="13"/>
      <c r="L1811" s="13"/>
      <c r="M1811" s="15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9"/>
      <c r="J1812" s="13"/>
      <c r="K1812" s="13"/>
      <c r="L1812" s="13"/>
      <c r="M1812" s="15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9"/>
      <c r="J1813" s="13"/>
      <c r="K1813" s="13"/>
      <c r="L1813" s="13"/>
      <c r="M1813" s="15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9"/>
      <c r="J1814" s="13"/>
      <c r="K1814" s="13"/>
      <c r="L1814" s="13"/>
      <c r="M1814" s="15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9"/>
      <c r="J1815" s="13"/>
      <c r="K1815" s="13"/>
      <c r="L1815" s="13"/>
      <c r="M1815" s="15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9"/>
      <c r="J1816" s="13"/>
      <c r="K1816" s="13"/>
      <c r="L1816" s="13"/>
      <c r="M1816" s="15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9"/>
      <c r="J1817" s="13"/>
      <c r="K1817" s="13"/>
      <c r="L1817" s="13"/>
      <c r="M1817" s="15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9"/>
      <c r="J1818" s="13"/>
      <c r="K1818" s="13"/>
      <c r="L1818" s="13"/>
      <c r="M1818" s="15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9"/>
      <c r="J1819" s="13"/>
      <c r="K1819" s="13"/>
      <c r="L1819" s="13"/>
      <c r="M1819" s="15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9"/>
      <c r="J1820" s="13"/>
      <c r="K1820" s="13"/>
      <c r="L1820" s="13"/>
      <c r="M1820" s="15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9"/>
      <c r="J1821" s="13"/>
      <c r="K1821" s="13"/>
      <c r="L1821" s="13"/>
      <c r="M1821" s="15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9"/>
      <c r="J1822" s="13"/>
      <c r="K1822" s="13"/>
      <c r="L1822" s="13"/>
      <c r="M1822" s="15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9"/>
      <c r="J1823" s="13"/>
      <c r="K1823" s="13"/>
      <c r="L1823" s="13"/>
      <c r="M1823" s="15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9"/>
      <c r="J1824" s="13"/>
      <c r="K1824" s="13"/>
      <c r="L1824" s="13"/>
      <c r="M1824" s="15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9"/>
      <c r="J1825" s="13"/>
      <c r="K1825" s="13"/>
      <c r="L1825" s="13"/>
      <c r="M1825" s="15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9"/>
      <c r="J1826" s="13"/>
      <c r="K1826" s="13"/>
      <c r="L1826" s="13"/>
      <c r="M1826" s="15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9"/>
      <c r="J1827" s="13"/>
      <c r="K1827" s="13"/>
      <c r="L1827" s="13"/>
      <c r="M1827" s="15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9"/>
      <c r="J1828" s="13"/>
      <c r="K1828" s="13"/>
      <c r="L1828" s="13"/>
      <c r="M1828" s="15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9"/>
      <c r="J1829" s="13"/>
      <c r="K1829" s="13"/>
      <c r="L1829" s="13"/>
      <c r="M1829" s="15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9"/>
      <c r="J1830" s="13"/>
      <c r="K1830" s="13"/>
      <c r="L1830" s="13"/>
      <c r="M1830" s="15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9"/>
      <c r="J1831" s="13"/>
      <c r="K1831" s="13"/>
      <c r="L1831" s="13"/>
      <c r="M1831" s="15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9"/>
      <c r="J1832" s="13"/>
      <c r="K1832" s="13"/>
      <c r="L1832" s="13"/>
      <c r="M1832" s="15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9"/>
      <c r="J1833" s="13"/>
      <c r="K1833" s="13"/>
      <c r="L1833" s="13"/>
      <c r="M1833" s="15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9"/>
      <c r="J1834" s="13"/>
      <c r="K1834" s="13"/>
      <c r="L1834" s="13"/>
      <c r="M1834" s="15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9"/>
      <c r="J1835" s="13"/>
      <c r="K1835" s="13"/>
      <c r="L1835" s="13"/>
      <c r="M1835" s="15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9"/>
      <c r="J1836" s="13"/>
      <c r="K1836" s="13"/>
      <c r="L1836" s="13"/>
      <c r="M1836" s="15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9"/>
      <c r="J1837" s="13"/>
      <c r="K1837" s="13"/>
      <c r="L1837" s="13"/>
      <c r="M1837" s="15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9"/>
      <c r="J1838" s="13"/>
      <c r="K1838" s="13"/>
      <c r="L1838" s="13"/>
      <c r="M1838" s="15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9"/>
      <c r="J1839" s="13"/>
      <c r="K1839" s="13"/>
      <c r="L1839" s="13"/>
      <c r="M1839" s="15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9"/>
      <c r="J1840" s="13"/>
      <c r="K1840" s="13"/>
      <c r="L1840" s="13"/>
      <c r="M1840" s="15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9"/>
      <c r="J1841" s="13"/>
      <c r="K1841" s="13"/>
      <c r="L1841" s="13"/>
      <c r="M1841" s="15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9"/>
      <c r="J1842" s="13"/>
      <c r="K1842" s="13"/>
      <c r="L1842" s="13"/>
      <c r="M1842" s="15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9"/>
      <c r="J1843" s="13"/>
      <c r="K1843" s="13"/>
      <c r="L1843" s="13"/>
      <c r="M1843" s="15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9"/>
      <c r="J1844" s="13"/>
      <c r="K1844" s="13"/>
      <c r="L1844" s="13"/>
      <c r="M1844" s="15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9"/>
      <c r="J1845" s="13"/>
      <c r="K1845" s="13"/>
      <c r="L1845" s="13"/>
      <c r="M1845" s="15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9"/>
      <c r="J1846" s="13"/>
      <c r="K1846" s="13"/>
      <c r="L1846" s="13"/>
      <c r="M1846" s="15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9"/>
      <c r="J1847" s="13"/>
      <c r="K1847" s="13"/>
      <c r="L1847" s="13"/>
      <c r="M1847" s="15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9"/>
      <c r="J1848" s="13"/>
      <c r="K1848" s="13"/>
      <c r="L1848" s="13"/>
      <c r="M1848" s="15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9"/>
      <c r="J1849" s="13"/>
      <c r="K1849" s="13"/>
      <c r="L1849" s="13"/>
      <c r="M1849" s="15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9"/>
      <c r="J1850" s="13"/>
      <c r="K1850" s="13"/>
      <c r="L1850" s="13"/>
      <c r="M1850" s="15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9"/>
      <c r="J1851" s="13"/>
      <c r="K1851" s="13"/>
      <c r="L1851" s="13"/>
      <c r="M1851" s="15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9"/>
      <c r="J1852" s="13"/>
      <c r="K1852" s="13"/>
      <c r="L1852" s="13"/>
      <c r="M1852" s="15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9"/>
      <c r="J1853" s="13"/>
      <c r="K1853" s="13"/>
      <c r="L1853" s="13"/>
      <c r="M1853" s="15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9"/>
      <c r="J1854" s="13"/>
      <c r="K1854" s="13"/>
      <c r="L1854" s="13"/>
      <c r="M1854" s="15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9"/>
      <c r="J1855" s="13"/>
      <c r="K1855" s="13"/>
      <c r="L1855" s="13"/>
      <c r="M1855" s="15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9"/>
      <c r="J1856" s="13"/>
      <c r="K1856" s="13"/>
      <c r="L1856" s="13"/>
      <c r="M1856" s="15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9"/>
      <c r="J1857" s="13"/>
      <c r="K1857" s="13"/>
      <c r="L1857" s="13"/>
      <c r="M1857" s="15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9"/>
      <c r="J1858" s="13"/>
      <c r="K1858" s="13"/>
      <c r="L1858" s="13"/>
      <c r="M1858" s="15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9"/>
      <c r="J1859" s="13"/>
      <c r="K1859" s="13"/>
      <c r="L1859" s="13"/>
      <c r="M1859" s="15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9"/>
      <c r="J1860" s="13"/>
      <c r="K1860" s="13"/>
      <c r="L1860" s="13"/>
      <c r="M1860" s="15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9"/>
      <c r="J1861" s="13"/>
      <c r="K1861" s="13"/>
      <c r="L1861" s="13"/>
      <c r="M1861" s="15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9"/>
      <c r="J1862" s="13"/>
      <c r="K1862" s="13"/>
      <c r="L1862" s="13"/>
      <c r="M1862" s="15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9"/>
      <c r="J1863" s="13"/>
      <c r="K1863" s="13"/>
      <c r="L1863" s="13"/>
      <c r="M1863" s="15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9"/>
      <c r="J1864" s="13"/>
      <c r="K1864" s="13"/>
      <c r="L1864" s="13"/>
      <c r="M1864" s="15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9"/>
      <c r="J1865" s="13"/>
      <c r="K1865" s="13"/>
      <c r="L1865" s="13"/>
      <c r="M1865" s="15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9"/>
      <c r="J1866" s="13"/>
      <c r="K1866" s="13"/>
      <c r="L1866" s="13"/>
      <c r="M1866" s="15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9"/>
      <c r="J1867" s="13"/>
      <c r="K1867" s="13"/>
      <c r="L1867" s="13"/>
      <c r="M1867" s="15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9"/>
      <c r="J1868" s="13"/>
      <c r="K1868" s="13"/>
      <c r="L1868" s="13"/>
      <c r="M1868" s="15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9"/>
      <c r="J1869" s="13"/>
      <c r="K1869" s="13"/>
      <c r="L1869" s="13"/>
      <c r="M1869" s="15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9"/>
      <c r="J1870" s="13"/>
      <c r="K1870" s="13"/>
      <c r="L1870" s="13"/>
      <c r="M1870" s="15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9"/>
      <c r="J1871" s="13"/>
      <c r="K1871" s="13"/>
      <c r="L1871" s="13"/>
      <c r="M1871" s="15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9"/>
      <c r="J1872" s="13"/>
      <c r="K1872" s="13"/>
      <c r="L1872" s="13"/>
      <c r="M1872" s="15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9"/>
      <c r="J1873" s="13"/>
      <c r="K1873" s="13"/>
      <c r="L1873" s="13"/>
      <c r="M1873" s="15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9"/>
      <c r="J1874" s="13"/>
      <c r="K1874" s="13"/>
      <c r="L1874" s="13"/>
      <c r="M1874" s="15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9"/>
      <c r="J1875" s="13"/>
      <c r="K1875" s="13"/>
      <c r="L1875" s="13"/>
      <c r="M1875" s="15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9"/>
      <c r="J1876" s="13"/>
      <c r="K1876" s="13"/>
      <c r="L1876" s="13"/>
      <c r="M1876" s="15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9"/>
      <c r="J1877" s="13"/>
      <c r="K1877" s="13"/>
      <c r="L1877" s="13"/>
      <c r="M1877" s="15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9"/>
      <c r="J1878" s="13"/>
      <c r="K1878" s="13"/>
      <c r="L1878" s="13"/>
      <c r="M1878" s="15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9"/>
      <c r="J1879" s="13"/>
      <c r="K1879" s="13"/>
      <c r="L1879" s="13"/>
      <c r="M1879" s="15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9"/>
      <c r="J1880" s="13"/>
      <c r="K1880" s="13"/>
      <c r="L1880" s="13"/>
      <c r="M1880" s="15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9"/>
      <c r="J1881" s="13"/>
      <c r="K1881" s="13"/>
      <c r="L1881" s="13"/>
      <c r="M1881" s="15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9"/>
      <c r="J1882" s="13"/>
      <c r="K1882" s="13"/>
      <c r="L1882" s="13"/>
      <c r="M1882" s="15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9"/>
      <c r="J1883" s="13"/>
      <c r="K1883" s="13"/>
      <c r="L1883" s="13"/>
      <c r="M1883" s="15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9"/>
      <c r="J1884" s="13"/>
      <c r="K1884" s="13"/>
      <c r="L1884" s="13"/>
      <c r="M1884" s="15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9"/>
      <c r="J1885" s="13"/>
      <c r="K1885" s="13"/>
      <c r="L1885" s="13"/>
      <c r="M1885" s="15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9"/>
      <c r="J1886" s="13"/>
      <c r="K1886" s="13"/>
      <c r="L1886" s="13"/>
      <c r="M1886" s="15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9"/>
      <c r="J1887" s="13"/>
      <c r="K1887" s="13"/>
      <c r="L1887" s="13"/>
      <c r="M1887" s="15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9"/>
      <c r="J1888" s="13"/>
      <c r="K1888" s="13"/>
      <c r="L1888" s="13"/>
      <c r="M1888" s="15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9"/>
      <c r="J1889" s="13"/>
      <c r="K1889" s="13"/>
      <c r="L1889" s="13"/>
      <c r="M1889" s="15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9"/>
      <c r="J1890" s="13"/>
      <c r="K1890" s="13"/>
      <c r="L1890" s="13"/>
      <c r="M1890" s="15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9"/>
      <c r="J1891" s="13"/>
      <c r="K1891" s="13"/>
      <c r="L1891" s="13"/>
      <c r="M1891" s="15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9"/>
      <c r="J1892" s="13"/>
      <c r="K1892" s="13"/>
      <c r="L1892" s="13"/>
      <c r="M1892" s="15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9"/>
      <c r="J1893" s="13"/>
      <c r="K1893" s="13"/>
      <c r="L1893" s="13"/>
      <c r="M1893" s="15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9"/>
      <c r="J1894" s="13"/>
      <c r="K1894" s="13"/>
      <c r="L1894" s="13"/>
      <c r="M1894" s="15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9"/>
      <c r="J1895" s="13"/>
      <c r="K1895" s="13"/>
      <c r="L1895" s="13"/>
      <c r="M1895" s="15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9"/>
      <c r="J1896" s="13"/>
      <c r="K1896" s="13"/>
      <c r="L1896" s="13"/>
      <c r="M1896" s="15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9"/>
      <c r="J1897" s="13"/>
      <c r="K1897" s="13"/>
      <c r="L1897" s="13"/>
      <c r="M1897" s="15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9"/>
      <c r="J1898" s="13"/>
      <c r="K1898" s="13"/>
      <c r="L1898" s="13"/>
      <c r="M1898" s="15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9"/>
      <c r="J1899" s="13"/>
      <c r="K1899" s="13"/>
      <c r="L1899" s="13"/>
      <c r="M1899" s="15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9"/>
      <c r="J1900" s="13"/>
      <c r="K1900" s="13"/>
      <c r="L1900" s="13"/>
      <c r="M1900" s="15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9"/>
      <c r="J1901" s="13"/>
      <c r="K1901" s="13"/>
      <c r="L1901" s="13"/>
      <c r="M1901" s="15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9"/>
      <c r="J1902" s="13"/>
      <c r="K1902" s="13"/>
      <c r="L1902" s="13"/>
      <c r="M1902" s="15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9"/>
      <c r="J1903" s="13"/>
      <c r="K1903" s="13"/>
      <c r="L1903" s="13"/>
      <c r="M1903" s="15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9"/>
      <c r="J1904" s="13"/>
      <c r="K1904" s="13"/>
      <c r="L1904" s="13"/>
      <c r="M1904" s="15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9"/>
      <c r="J1905" s="13"/>
      <c r="K1905" s="13"/>
      <c r="L1905" s="13"/>
      <c r="M1905" s="15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9"/>
      <c r="J1906" s="13"/>
      <c r="K1906" s="13"/>
      <c r="L1906" s="13"/>
      <c r="M1906" s="15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9"/>
      <c r="J1907" s="13"/>
      <c r="K1907" s="13"/>
      <c r="L1907" s="13"/>
      <c r="M1907" s="15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9"/>
      <c r="J1908" s="13"/>
      <c r="K1908" s="13"/>
      <c r="L1908" s="13"/>
      <c r="M1908" s="15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9"/>
      <c r="J1909" s="13"/>
      <c r="K1909" s="13"/>
      <c r="L1909" s="13"/>
      <c r="M1909" s="15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9"/>
      <c r="J1910" s="13"/>
      <c r="K1910" s="13"/>
      <c r="L1910" s="13"/>
      <c r="M1910" s="15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9"/>
      <c r="J1911" s="13"/>
      <c r="K1911" s="13"/>
      <c r="L1911" s="13"/>
      <c r="M1911" s="15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9"/>
      <c r="J1912" s="13"/>
      <c r="K1912" s="13"/>
      <c r="L1912" s="13"/>
      <c r="M1912" s="15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9"/>
      <c r="J1913" s="13"/>
      <c r="K1913" s="13"/>
      <c r="L1913" s="13"/>
      <c r="M1913" s="15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9"/>
      <c r="J1914" s="13"/>
      <c r="K1914" s="13"/>
      <c r="L1914" s="13"/>
      <c r="M1914" s="15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9"/>
      <c r="J1915" s="13"/>
      <c r="K1915" s="13"/>
      <c r="L1915" s="13"/>
      <c r="M1915" s="15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9"/>
      <c r="J1916" s="13"/>
      <c r="K1916" s="13"/>
      <c r="L1916" s="13"/>
      <c r="M1916" s="15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9"/>
      <c r="J1917" s="13"/>
      <c r="K1917" s="13"/>
      <c r="L1917" s="13"/>
      <c r="M1917" s="15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9"/>
      <c r="J1918" s="13"/>
      <c r="K1918" s="13"/>
      <c r="L1918" s="13"/>
      <c r="M1918" s="15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9"/>
      <c r="J1919" s="13"/>
      <c r="K1919" s="13"/>
      <c r="L1919" s="13"/>
      <c r="M1919" s="15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9"/>
      <c r="J1920" s="13"/>
      <c r="K1920" s="13"/>
      <c r="L1920" s="13"/>
      <c r="M1920" s="15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9"/>
      <c r="J1921" s="13"/>
      <c r="K1921" s="13"/>
      <c r="L1921" s="13"/>
      <c r="M1921" s="15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9"/>
      <c r="J1922" s="13"/>
      <c r="K1922" s="13"/>
      <c r="L1922" s="13"/>
      <c r="M1922" s="15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9"/>
      <c r="J1923" s="13"/>
      <c r="K1923" s="13"/>
      <c r="L1923" s="13"/>
      <c r="M1923" s="15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9"/>
      <c r="J1924" s="13"/>
      <c r="K1924" s="13"/>
      <c r="L1924" s="13"/>
      <c r="M1924" s="15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9"/>
      <c r="J1925" s="13"/>
      <c r="K1925" s="13"/>
      <c r="L1925" s="13"/>
      <c r="M1925" s="15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9"/>
      <c r="J1926" s="13"/>
      <c r="K1926" s="13"/>
      <c r="L1926" s="13"/>
      <c r="M1926" s="15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9"/>
      <c r="J1927" s="13"/>
      <c r="K1927" s="13"/>
      <c r="L1927" s="13"/>
      <c r="M1927" s="15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9"/>
      <c r="J1928" s="13"/>
      <c r="K1928" s="13"/>
      <c r="L1928" s="13"/>
      <c r="M1928" s="15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9"/>
      <c r="J1929" s="13"/>
      <c r="K1929" s="13"/>
      <c r="L1929" s="13"/>
      <c r="M1929" s="15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9"/>
      <c r="J1930" s="13"/>
      <c r="K1930" s="13"/>
      <c r="L1930" s="13"/>
      <c r="M1930" s="15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9"/>
      <c r="J1931" s="13"/>
      <c r="K1931" s="13"/>
      <c r="L1931" s="13"/>
      <c r="M1931" s="15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9"/>
      <c r="J1932" s="13"/>
      <c r="K1932" s="13"/>
      <c r="L1932" s="13"/>
      <c r="M1932" s="15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9"/>
      <c r="J1933" s="13"/>
      <c r="K1933" s="13"/>
      <c r="L1933" s="13"/>
      <c r="M1933" s="15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9"/>
      <c r="J1934" s="13"/>
      <c r="K1934" s="13"/>
      <c r="L1934" s="13"/>
      <c r="M1934" s="15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9"/>
      <c r="J1935" s="13"/>
      <c r="K1935" s="13"/>
      <c r="L1935" s="13"/>
      <c r="M1935" s="15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9"/>
      <c r="J1936" s="13"/>
      <c r="K1936" s="13"/>
      <c r="L1936" s="13"/>
      <c r="M1936" s="15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9"/>
      <c r="J1937" s="13"/>
      <c r="K1937" s="13"/>
      <c r="L1937" s="13"/>
      <c r="M1937" s="15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9"/>
      <c r="J1938" s="13"/>
      <c r="K1938" s="13"/>
      <c r="L1938" s="13"/>
      <c r="M1938" s="15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9"/>
      <c r="J1939" s="13"/>
      <c r="K1939" s="13"/>
      <c r="L1939" s="13"/>
      <c r="M1939" s="15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9"/>
      <c r="J1940" s="13"/>
      <c r="K1940" s="13"/>
      <c r="L1940" s="13"/>
      <c r="M1940" s="15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9"/>
      <c r="J1941" s="13"/>
      <c r="K1941" s="13"/>
      <c r="L1941" s="13"/>
      <c r="M1941" s="15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9"/>
      <c r="J1942" s="13"/>
      <c r="K1942" s="13"/>
      <c r="L1942" s="13"/>
      <c r="M1942" s="15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9"/>
      <c r="J1943" s="13"/>
      <c r="K1943" s="13"/>
      <c r="L1943" s="13"/>
      <c r="M1943" s="15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9"/>
      <c r="J1944" s="13"/>
      <c r="K1944" s="13"/>
      <c r="L1944" s="13"/>
      <c r="M1944" s="15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9"/>
      <c r="J1945" s="13"/>
      <c r="K1945" s="13"/>
      <c r="L1945" s="13"/>
      <c r="M1945" s="15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9"/>
      <c r="J1946" s="13"/>
      <c r="K1946" s="13"/>
      <c r="L1946" s="13"/>
      <c r="M1946" s="15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9"/>
      <c r="J1947" s="13"/>
      <c r="K1947" s="13"/>
      <c r="L1947" s="13"/>
      <c r="M1947" s="15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9"/>
      <c r="J1948" s="13"/>
      <c r="K1948" s="13"/>
      <c r="L1948" s="13"/>
      <c r="M1948" s="15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9"/>
      <c r="J1949" s="13"/>
      <c r="K1949" s="13"/>
      <c r="L1949" s="13"/>
      <c r="M1949" s="15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9"/>
      <c r="J1950" s="13"/>
      <c r="K1950" s="13"/>
      <c r="L1950" s="13"/>
      <c r="M1950" s="15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9"/>
      <c r="J1951" s="13"/>
      <c r="K1951" s="13"/>
      <c r="L1951" s="13"/>
      <c r="M1951" s="15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9"/>
      <c r="J1952" s="13"/>
      <c r="K1952" s="13"/>
      <c r="L1952" s="13"/>
      <c r="M1952" s="15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9"/>
      <c r="J1953" s="13"/>
      <c r="K1953" s="13"/>
      <c r="L1953" s="13"/>
      <c r="M1953" s="15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9"/>
      <c r="J1954" s="13"/>
      <c r="K1954" s="13"/>
      <c r="L1954" s="13"/>
      <c r="M1954" s="15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9"/>
      <c r="J1955" s="13"/>
      <c r="K1955" s="13"/>
      <c r="L1955" s="13"/>
      <c r="M1955" s="15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9"/>
      <c r="J1956" s="13"/>
      <c r="K1956" s="13"/>
      <c r="L1956" s="13"/>
      <c r="M1956" s="15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9"/>
      <c r="J1957" s="13"/>
      <c r="K1957" s="13"/>
      <c r="L1957" s="13"/>
      <c r="M1957" s="15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9"/>
      <c r="J1958" s="13"/>
      <c r="K1958" s="13"/>
      <c r="L1958" s="13"/>
      <c r="M1958" s="15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9"/>
      <c r="J1959" s="13"/>
      <c r="K1959" s="13"/>
      <c r="L1959" s="13"/>
      <c r="M1959" s="15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9"/>
      <c r="J1960" s="13"/>
      <c r="K1960" s="13"/>
      <c r="L1960" s="13"/>
      <c r="M1960" s="15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9"/>
      <c r="J1961" s="13"/>
      <c r="K1961" s="13"/>
      <c r="L1961" s="13"/>
      <c r="M1961" s="15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9"/>
      <c r="J1962" s="13"/>
      <c r="K1962" s="13"/>
      <c r="L1962" s="13"/>
      <c r="M1962" s="15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9"/>
      <c r="J1963" s="13"/>
      <c r="K1963" s="13"/>
      <c r="L1963" s="13"/>
      <c r="M1963" s="15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9"/>
      <c r="J1964" s="13"/>
      <c r="K1964" s="13"/>
      <c r="L1964" s="13"/>
      <c r="M1964" s="15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9"/>
      <c r="J1965" s="13"/>
      <c r="K1965" s="13"/>
      <c r="L1965" s="13"/>
      <c r="M1965" s="15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9"/>
      <c r="J1966" s="13"/>
      <c r="K1966" s="13"/>
      <c r="L1966" s="13"/>
      <c r="M1966" s="15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9"/>
      <c r="J1967" s="13"/>
      <c r="K1967" s="13"/>
      <c r="L1967" s="13"/>
      <c r="M1967" s="15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9"/>
      <c r="J1968" s="13"/>
      <c r="K1968" s="13"/>
      <c r="L1968" s="13"/>
      <c r="M1968" s="15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9"/>
      <c r="J1969" s="13"/>
      <c r="K1969" s="13"/>
      <c r="L1969" s="13"/>
      <c r="M1969" s="15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9"/>
      <c r="J1970" s="13"/>
      <c r="K1970" s="13"/>
      <c r="L1970" s="13"/>
      <c r="M1970" s="15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9"/>
      <c r="J1971" s="13"/>
      <c r="K1971" s="13"/>
      <c r="L1971" s="13"/>
      <c r="M1971" s="15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9"/>
      <c r="J1972" s="13"/>
      <c r="K1972" s="13"/>
      <c r="L1972" s="13"/>
      <c r="M1972" s="15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9"/>
      <c r="J1973" s="13"/>
      <c r="K1973" s="13"/>
      <c r="L1973" s="13"/>
      <c r="M1973" s="15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9"/>
      <c r="J1974" s="13"/>
      <c r="K1974" s="13"/>
      <c r="L1974" s="13"/>
      <c r="M1974" s="15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9"/>
      <c r="J1975" s="13"/>
      <c r="K1975" s="13"/>
      <c r="L1975" s="13"/>
      <c r="M1975" s="15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9"/>
      <c r="J1976" s="13"/>
      <c r="K1976" s="13"/>
      <c r="L1976" s="13"/>
      <c r="M1976" s="15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9"/>
      <c r="J1977" s="13"/>
      <c r="K1977" s="13"/>
      <c r="L1977" s="13"/>
      <c r="M1977" s="15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9"/>
      <c r="J1978" s="13"/>
      <c r="K1978" s="13"/>
      <c r="L1978" s="13"/>
      <c r="M1978" s="15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9"/>
      <c r="J1979" s="13"/>
      <c r="K1979" s="13"/>
      <c r="L1979" s="13"/>
      <c r="M1979" s="15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9"/>
      <c r="J1980" s="13"/>
      <c r="K1980" s="13"/>
      <c r="L1980" s="13"/>
      <c r="M1980" s="15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9"/>
      <c r="J1981" s="13"/>
      <c r="K1981" s="13"/>
      <c r="L1981" s="13"/>
      <c r="M1981" s="15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9"/>
      <c r="J1982" s="13"/>
      <c r="K1982" s="13"/>
      <c r="L1982" s="13"/>
      <c r="M1982" s="15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9"/>
      <c r="J1983" s="13"/>
      <c r="K1983" s="13"/>
      <c r="L1983" s="13"/>
      <c r="M1983" s="15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9"/>
      <c r="J1984" s="13"/>
      <c r="K1984" s="13"/>
      <c r="L1984" s="13"/>
      <c r="M1984" s="15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9"/>
      <c r="J1985" s="13"/>
      <c r="K1985" s="13"/>
      <c r="L1985" s="13"/>
      <c r="M1985" s="15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9"/>
      <c r="J1986" s="13"/>
      <c r="K1986" s="13"/>
      <c r="L1986" s="13"/>
      <c r="M1986" s="15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9"/>
      <c r="J1987" s="13"/>
      <c r="K1987" s="13"/>
      <c r="L1987" s="13"/>
      <c r="M1987" s="15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9"/>
      <c r="J1988" s="13"/>
      <c r="K1988" s="13"/>
      <c r="L1988" s="13"/>
      <c r="M1988" s="15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9"/>
      <c r="J1989" s="13"/>
      <c r="K1989" s="13"/>
      <c r="L1989" s="13"/>
      <c r="M1989" s="15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9"/>
      <c r="J1990" s="13"/>
      <c r="K1990" s="13"/>
      <c r="L1990" s="13"/>
      <c r="M1990" s="15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9"/>
      <c r="J1991" s="13"/>
      <c r="K1991" s="13"/>
      <c r="L1991" s="13"/>
      <c r="M1991" s="15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9"/>
      <c r="J1992" s="13"/>
      <c r="K1992" s="13"/>
      <c r="L1992" s="13"/>
      <c r="M1992" s="15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9"/>
      <c r="J1993" s="13"/>
      <c r="K1993" s="13"/>
      <c r="L1993" s="13"/>
      <c r="M1993" s="15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9"/>
      <c r="J1994" s="13"/>
      <c r="K1994" s="13"/>
      <c r="L1994" s="13"/>
      <c r="M1994" s="15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9"/>
      <c r="J1995" s="13"/>
      <c r="K1995" s="13"/>
      <c r="L1995" s="13"/>
      <c r="M1995" s="15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9"/>
      <c r="J1996" s="13"/>
      <c r="K1996" s="13"/>
      <c r="L1996" s="13"/>
      <c r="M1996" s="15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9"/>
      <c r="J1997" s="13"/>
      <c r="K1997" s="13"/>
      <c r="L1997" s="13"/>
      <c r="M1997" s="15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9"/>
      <c r="J1998" s="13"/>
      <c r="K1998" s="13"/>
      <c r="L1998" s="13"/>
      <c r="M1998" s="15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9"/>
      <c r="J1999" s="13"/>
      <c r="K1999" s="13"/>
      <c r="L1999" s="13"/>
      <c r="M1999" s="15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9"/>
      <c r="J2000" s="13"/>
      <c r="K2000" s="13"/>
      <c r="L2000" s="13"/>
      <c r="M2000" s="15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9"/>
      <c r="J2001" s="13"/>
      <c r="K2001" s="13"/>
      <c r="L2001" s="13"/>
      <c r="M2001" s="15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9"/>
      <c r="J2002" s="13"/>
      <c r="K2002" s="13"/>
      <c r="L2002" s="13"/>
      <c r="M2002" s="15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9"/>
      <c r="J2003" s="13"/>
      <c r="K2003" s="13"/>
      <c r="L2003" s="13"/>
      <c r="M2003" s="15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9"/>
      <c r="J2004" s="13"/>
      <c r="K2004" s="13"/>
      <c r="L2004" s="13"/>
      <c r="M2004" s="15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9"/>
      <c r="J2005" s="13"/>
      <c r="K2005" s="13"/>
      <c r="L2005" s="13"/>
      <c r="M2005" s="15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9"/>
      <c r="J2006" s="13"/>
      <c r="K2006" s="13"/>
      <c r="L2006" s="13"/>
      <c r="M2006" s="15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9"/>
      <c r="J2007" s="13"/>
      <c r="K2007" s="13"/>
      <c r="L2007" s="13"/>
      <c r="M2007" s="15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9"/>
      <c r="J2008" s="13"/>
      <c r="K2008" s="13"/>
      <c r="L2008" s="13"/>
      <c r="M2008" s="15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9"/>
      <c r="J2009" s="13"/>
      <c r="K2009" s="13"/>
      <c r="L2009" s="13"/>
      <c r="M2009" s="15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9"/>
      <c r="J2010" s="13"/>
      <c r="K2010" s="13"/>
      <c r="L2010" s="13"/>
      <c r="M2010" s="15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9"/>
      <c r="J2011" s="13"/>
      <c r="K2011" s="13"/>
      <c r="L2011" s="13"/>
      <c r="M2011" s="15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9"/>
      <c r="J2012" s="13"/>
      <c r="K2012" s="13"/>
      <c r="L2012" s="13"/>
      <c r="M2012" s="15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9"/>
      <c r="J2013" s="13"/>
      <c r="K2013" s="13"/>
      <c r="L2013" s="13"/>
      <c r="M2013" s="15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9"/>
      <c r="J2014" s="13"/>
      <c r="K2014" s="13"/>
      <c r="L2014" s="13"/>
      <c r="M2014" s="15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9"/>
      <c r="J2015" s="13"/>
      <c r="K2015" s="13"/>
      <c r="L2015" s="13"/>
      <c r="M2015" s="15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9"/>
      <c r="J2016" s="13"/>
      <c r="K2016" s="13"/>
      <c r="L2016" s="13"/>
      <c r="M2016" s="15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9"/>
      <c r="J2017" s="13"/>
      <c r="K2017" s="13"/>
      <c r="L2017" s="13"/>
      <c r="M2017" s="15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9"/>
      <c r="J2018" s="13"/>
      <c r="K2018" s="13"/>
      <c r="L2018" s="13"/>
      <c r="M2018" s="15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9"/>
      <c r="J2019" s="13"/>
      <c r="K2019" s="13"/>
      <c r="L2019" s="13"/>
      <c r="M2019" s="15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9"/>
      <c r="J2020" s="13"/>
      <c r="K2020" s="13"/>
      <c r="L2020" s="13"/>
      <c r="M2020" s="15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9"/>
      <c r="J2021" s="13"/>
      <c r="K2021" s="13"/>
      <c r="L2021" s="13"/>
      <c r="M2021" s="15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9"/>
      <c r="J2022" s="13"/>
      <c r="K2022" s="13"/>
      <c r="L2022" s="13"/>
      <c r="M2022" s="15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9"/>
      <c r="J2023" s="13"/>
      <c r="K2023" s="13"/>
      <c r="L2023" s="13"/>
      <c r="M2023" s="15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9"/>
      <c r="J2024" s="13"/>
      <c r="K2024" s="13"/>
      <c r="L2024" s="13"/>
      <c r="M2024" s="15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9"/>
      <c r="J2025" s="13"/>
      <c r="K2025" s="13"/>
      <c r="L2025" s="13"/>
      <c r="M2025" s="15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9"/>
      <c r="J2026" s="13"/>
      <c r="K2026" s="13"/>
      <c r="L2026" s="13"/>
      <c r="M2026" s="15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9"/>
      <c r="J2027" s="13"/>
      <c r="K2027" s="13"/>
      <c r="L2027" s="13"/>
      <c r="M2027" s="15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9"/>
      <c r="J2028" s="13"/>
      <c r="K2028" s="13"/>
      <c r="L2028" s="13"/>
      <c r="M2028" s="15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9"/>
      <c r="J2029" s="13"/>
      <c r="K2029" s="13"/>
      <c r="L2029" s="13"/>
      <c r="M2029" s="15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9"/>
      <c r="J2030" s="13"/>
      <c r="K2030" s="13"/>
      <c r="L2030" s="13"/>
      <c r="M2030" s="15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9"/>
      <c r="J2031" s="13"/>
      <c r="K2031" s="13"/>
      <c r="L2031" s="13"/>
      <c r="M2031" s="15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9"/>
      <c r="J2032" s="13"/>
      <c r="K2032" s="13"/>
      <c r="L2032" s="13"/>
      <c r="M2032" s="15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9"/>
      <c r="J2033" s="13"/>
      <c r="K2033" s="13"/>
      <c r="L2033" s="13"/>
      <c r="M2033" s="15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9"/>
      <c r="J2034" s="13"/>
      <c r="K2034" s="13"/>
      <c r="L2034" s="13"/>
      <c r="M2034" s="15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9"/>
      <c r="J2035" s="13"/>
      <c r="K2035" s="13"/>
      <c r="L2035" s="13"/>
      <c r="M2035" s="15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9"/>
      <c r="J2036" s="13"/>
      <c r="K2036" s="13"/>
      <c r="L2036" s="13"/>
      <c r="M2036" s="15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9"/>
      <c r="J2037" s="13"/>
      <c r="K2037" s="13"/>
      <c r="L2037" s="13"/>
      <c r="M2037" s="15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9"/>
      <c r="J2038" s="13"/>
      <c r="K2038" s="13"/>
      <c r="L2038" s="13"/>
      <c r="M2038" s="15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9"/>
      <c r="J2039" s="13"/>
      <c r="K2039" s="13"/>
      <c r="L2039" s="13"/>
      <c r="M2039" s="15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9"/>
      <c r="J2040" s="13"/>
      <c r="K2040" s="13"/>
      <c r="L2040" s="13"/>
      <c r="M2040" s="15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9"/>
      <c r="J2041" s="13"/>
      <c r="K2041" s="13"/>
      <c r="L2041" s="13"/>
      <c r="M2041" s="15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9"/>
      <c r="J2042" s="13"/>
      <c r="K2042" s="13"/>
      <c r="L2042" s="13"/>
      <c r="M2042" s="15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9"/>
      <c r="J2043" s="13"/>
      <c r="K2043" s="13"/>
      <c r="L2043" s="13"/>
      <c r="M2043" s="15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9"/>
      <c r="J2044" s="13"/>
      <c r="K2044" s="13"/>
      <c r="L2044" s="13"/>
      <c r="M2044" s="15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9"/>
      <c r="J2045" s="13"/>
      <c r="K2045" s="13"/>
      <c r="L2045" s="13"/>
      <c r="M2045" s="15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9"/>
      <c r="J2046" s="13"/>
      <c r="K2046" s="13"/>
      <c r="L2046" s="13"/>
      <c r="M2046" s="15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9"/>
      <c r="J2047" s="13"/>
      <c r="K2047" s="13"/>
      <c r="L2047" s="13"/>
      <c r="M2047" s="15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9"/>
      <c r="J2048" s="13"/>
      <c r="K2048" s="13"/>
      <c r="L2048" s="13"/>
      <c r="M2048" s="15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9"/>
      <c r="J2049" s="13"/>
      <c r="K2049" s="13"/>
      <c r="L2049" s="13"/>
      <c r="M2049" s="15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9"/>
      <c r="J2050" s="13"/>
      <c r="K2050" s="13"/>
      <c r="L2050" s="13"/>
      <c r="M2050" s="15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9"/>
      <c r="J2051" s="13"/>
      <c r="K2051" s="13"/>
      <c r="L2051" s="13"/>
      <c r="M2051" s="15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9"/>
      <c r="J2052" s="13"/>
      <c r="K2052" s="13"/>
      <c r="L2052" s="13"/>
      <c r="M2052" s="15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9"/>
      <c r="J2053" s="13"/>
      <c r="K2053" s="13"/>
      <c r="L2053" s="13"/>
      <c r="M2053" s="15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9"/>
      <c r="J2054" s="13"/>
      <c r="K2054" s="13"/>
      <c r="L2054" s="13"/>
      <c r="M2054" s="15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9"/>
      <c r="J2055" s="13"/>
      <c r="K2055" s="13"/>
      <c r="L2055" s="13"/>
      <c r="M2055" s="15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9"/>
      <c r="J2056" s="13"/>
      <c r="K2056" s="13"/>
      <c r="L2056" s="13"/>
      <c r="M2056" s="15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9"/>
      <c r="J2057" s="13"/>
      <c r="K2057" s="13"/>
      <c r="L2057" s="13"/>
      <c r="M2057" s="15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9"/>
      <c r="J2058" s="13"/>
      <c r="K2058" s="13"/>
      <c r="L2058" s="13"/>
      <c r="M2058" s="15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9"/>
      <c r="J2059" s="13"/>
      <c r="K2059" s="13"/>
      <c r="L2059" s="13"/>
      <c r="M2059" s="15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9"/>
      <c r="J2060" s="13"/>
      <c r="K2060" s="13"/>
      <c r="L2060" s="13"/>
      <c r="M2060" s="15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9"/>
      <c r="J2061" s="13"/>
      <c r="K2061" s="13"/>
      <c r="L2061" s="13"/>
      <c r="M2061" s="15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9"/>
      <c r="J2062" s="13"/>
      <c r="K2062" s="13"/>
      <c r="L2062" s="13"/>
      <c r="M2062" s="15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9"/>
      <c r="J2063" s="13"/>
      <c r="K2063" s="13"/>
      <c r="L2063" s="13"/>
      <c r="M2063" s="15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9"/>
      <c r="J2064" s="13"/>
      <c r="K2064" s="13"/>
      <c r="L2064" s="13"/>
      <c r="M2064" s="15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9"/>
      <c r="J2065" s="13"/>
      <c r="K2065" s="13"/>
      <c r="L2065" s="13"/>
      <c r="M2065" s="15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9"/>
      <c r="J2066" s="13"/>
      <c r="K2066" s="13"/>
      <c r="L2066" s="13"/>
      <c r="M2066" s="15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9"/>
      <c r="J2067" s="13"/>
      <c r="K2067" s="13"/>
      <c r="L2067" s="13"/>
      <c r="M2067" s="15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9"/>
      <c r="J2068" s="13"/>
      <c r="K2068" s="13"/>
      <c r="L2068" s="13"/>
      <c r="M2068" s="15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9"/>
      <c r="J2069" s="13"/>
      <c r="K2069" s="13"/>
      <c r="L2069" s="13"/>
      <c r="M2069" s="15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9"/>
      <c r="J2070" s="13"/>
      <c r="K2070" s="13"/>
      <c r="L2070" s="13"/>
      <c r="M2070" s="15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9"/>
      <c r="J2071" s="13"/>
      <c r="K2071" s="13"/>
      <c r="L2071" s="13"/>
      <c r="M2071" s="15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9"/>
      <c r="J2072" s="13"/>
      <c r="K2072" s="13"/>
      <c r="L2072" s="13"/>
      <c r="M2072" s="15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9"/>
      <c r="J2073" s="13"/>
      <c r="K2073" s="13"/>
      <c r="L2073" s="13"/>
      <c r="M2073" s="15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9"/>
      <c r="J2074" s="13"/>
      <c r="K2074" s="13"/>
      <c r="L2074" s="13"/>
      <c r="M2074" s="15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9"/>
      <c r="J2075" s="13"/>
      <c r="K2075" s="13"/>
      <c r="L2075" s="13"/>
      <c r="M2075" s="15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9"/>
      <c r="J2076" s="13"/>
      <c r="K2076" s="13"/>
      <c r="L2076" s="13"/>
      <c r="M2076" s="15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9"/>
      <c r="J2077" s="13"/>
      <c r="K2077" s="13"/>
      <c r="L2077" s="13"/>
      <c r="M2077" s="15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9"/>
      <c r="J2078" s="13"/>
      <c r="K2078" s="13"/>
      <c r="L2078" s="13"/>
      <c r="M2078" s="15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9"/>
      <c r="J2079" s="13"/>
      <c r="K2079" s="13"/>
      <c r="L2079" s="13"/>
      <c r="M2079" s="15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9"/>
      <c r="J2080" s="13"/>
      <c r="K2080" s="13"/>
      <c r="L2080" s="13"/>
      <c r="M2080" s="15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9"/>
      <c r="J2081" s="13"/>
      <c r="K2081" s="13"/>
      <c r="L2081" s="13"/>
      <c r="M2081" s="15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9"/>
      <c r="J2082" s="13"/>
      <c r="K2082" s="13"/>
      <c r="L2082" s="13"/>
      <c r="M2082" s="15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9"/>
      <c r="J2083" s="13"/>
      <c r="K2083" s="13"/>
      <c r="L2083" s="13"/>
      <c r="M2083" s="15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9"/>
      <c r="J2084" s="13"/>
      <c r="K2084" s="13"/>
      <c r="L2084" s="13"/>
      <c r="M2084" s="15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9"/>
      <c r="J2085" s="13"/>
      <c r="K2085" s="13"/>
      <c r="L2085" s="13"/>
      <c r="M2085" s="15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9"/>
      <c r="J2086" s="13"/>
      <c r="K2086" s="13"/>
      <c r="L2086" s="13"/>
      <c r="M2086" s="15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9"/>
      <c r="J2087" s="13"/>
      <c r="K2087" s="13"/>
      <c r="L2087" s="13"/>
      <c r="M2087" s="15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9"/>
      <c r="J2088" s="13"/>
      <c r="K2088" s="13"/>
      <c r="L2088" s="13"/>
      <c r="M2088" s="15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9"/>
      <c r="J2089" s="13"/>
      <c r="K2089" s="13"/>
      <c r="L2089" s="13"/>
      <c r="M2089" s="15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9"/>
      <c r="J2090" s="13"/>
      <c r="K2090" s="13"/>
      <c r="L2090" s="13"/>
      <c r="M2090" s="15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9"/>
      <c r="J2091" s="13"/>
      <c r="K2091" s="13"/>
      <c r="L2091" s="13"/>
      <c r="M2091" s="15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9"/>
      <c r="J2092" s="13"/>
      <c r="K2092" s="13"/>
      <c r="L2092" s="13"/>
      <c r="M2092" s="15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9"/>
      <c r="J2093" s="13"/>
      <c r="K2093" s="13"/>
      <c r="L2093" s="13"/>
      <c r="M2093" s="15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9"/>
      <c r="J2094" s="13"/>
      <c r="K2094" s="13"/>
      <c r="L2094" s="13"/>
      <c r="M2094" s="15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9"/>
      <c r="J2095" s="13"/>
      <c r="K2095" s="13"/>
      <c r="L2095" s="13"/>
      <c r="M2095" s="15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9"/>
      <c r="J2096" s="13"/>
      <c r="K2096" s="13"/>
      <c r="L2096" s="13"/>
      <c r="M2096" s="15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9"/>
      <c r="J2097" s="13"/>
      <c r="K2097" s="13"/>
      <c r="L2097" s="13"/>
      <c r="M2097" s="15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9"/>
      <c r="J2098" s="13"/>
      <c r="K2098" s="13"/>
      <c r="L2098" s="13"/>
      <c r="M2098" s="15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9"/>
      <c r="J2099" s="13"/>
      <c r="K2099" s="13"/>
      <c r="L2099" s="13"/>
      <c r="M2099" s="15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9"/>
      <c r="J2100" s="13"/>
      <c r="K2100" s="13"/>
      <c r="L2100" s="13"/>
      <c r="M2100" s="15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9"/>
      <c r="J2101" s="13"/>
      <c r="K2101" s="13"/>
      <c r="L2101" s="13"/>
      <c r="M2101" s="15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9"/>
      <c r="J2102" s="13"/>
      <c r="K2102" s="13"/>
      <c r="L2102" s="13"/>
      <c r="M2102" s="15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9"/>
      <c r="J2103" s="13"/>
      <c r="K2103" s="13"/>
      <c r="L2103" s="13"/>
      <c r="M2103" s="15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9"/>
      <c r="J2104" s="13"/>
      <c r="K2104" s="13"/>
      <c r="L2104" s="13"/>
      <c r="M2104" s="15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9"/>
      <c r="J2105" s="13"/>
      <c r="K2105" s="13"/>
      <c r="L2105" s="13"/>
      <c r="M2105" s="15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9"/>
      <c r="J2106" s="13"/>
      <c r="K2106" s="13"/>
      <c r="L2106" s="13"/>
      <c r="M2106" s="15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9"/>
      <c r="J2107" s="13"/>
      <c r="K2107" s="13"/>
      <c r="L2107" s="13"/>
      <c r="M2107" s="15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9"/>
      <c r="J2108" s="13"/>
      <c r="K2108" s="13"/>
      <c r="L2108" s="13"/>
      <c r="M2108" s="15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9"/>
      <c r="J2109" s="13"/>
      <c r="K2109" s="13"/>
      <c r="L2109" s="13"/>
      <c r="M2109" s="15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9"/>
      <c r="J2110" s="13"/>
      <c r="K2110" s="13"/>
      <c r="L2110" s="13"/>
      <c r="M2110" s="15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9"/>
      <c r="J2111" s="13"/>
      <c r="K2111" s="13"/>
      <c r="L2111" s="13"/>
      <c r="M2111" s="15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9"/>
      <c r="J2112" s="13"/>
      <c r="K2112" s="13"/>
      <c r="L2112" s="13"/>
      <c r="M2112" s="15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9"/>
      <c r="J2113" s="13"/>
      <c r="K2113" s="13"/>
      <c r="L2113" s="13"/>
      <c r="M2113" s="15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9"/>
      <c r="J2114" s="13"/>
      <c r="K2114" s="13"/>
      <c r="L2114" s="13"/>
      <c r="M2114" s="15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9"/>
      <c r="J2115" s="13"/>
      <c r="K2115" s="13"/>
      <c r="L2115" s="13"/>
      <c r="M2115" s="15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9"/>
      <c r="J2116" s="13"/>
      <c r="K2116" s="13"/>
      <c r="L2116" s="13"/>
      <c r="M2116" s="15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9"/>
      <c r="J2117" s="13"/>
      <c r="K2117" s="13"/>
      <c r="L2117" s="13"/>
      <c r="M2117" s="15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9"/>
      <c r="J2118" s="13"/>
      <c r="K2118" s="13"/>
      <c r="L2118" s="13"/>
      <c r="M2118" s="15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9"/>
      <c r="J2119" s="13"/>
      <c r="K2119" s="13"/>
      <c r="L2119" s="13"/>
      <c r="M2119" s="15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9"/>
      <c r="J2120" s="13"/>
      <c r="K2120" s="13"/>
      <c r="L2120" s="13"/>
      <c r="M2120" s="15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9"/>
      <c r="J2121" s="13"/>
      <c r="K2121" s="13"/>
      <c r="L2121" s="13"/>
      <c r="M2121" s="15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9"/>
      <c r="J2122" s="13"/>
      <c r="K2122" s="13"/>
      <c r="L2122" s="13"/>
      <c r="M2122" s="15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9"/>
      <c r="J2123" s="13"/>
      <c r="K2123" s="13"/>
      <c r="L2123" s="13"/>
      <c r="M2123" s="15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9"/>
      <c r="J2124" s="13"/>
      <c r="K2124" s="13"/>
      <c r="L2124" s="13"/>
      <c r="M2124" s="15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9"/>
      <c r="J2125" s="13"/>
      <c r="K2125" s="13"/>
      <c r="L2125" s="13"/>
      <c r="M2125" s="15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9"/>
      <c r="J2126" s="13"/>
      <c r="K2126" s="13"/>
      <c r="L2126" s="13"/>
      <c r="M2126" s="15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9"/>
      <c r="J2127" s="13"/>
      <c r="K2127" s="13"/>
      <c r="L2127" s="13"/>
      <c r="M2127" s="15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9"/>
      <c r="J2128" s="13"/>
      <c r="K2128" s="13"/>
      <c r="L2128" s="13"/>
      <c r="M2128" s="15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9"/>
      <c r="J2129" s="13"/>
      <c r="K2129" s="13"/>
      <c r="L2129" s="13"/>
      <c r="M2129" s="15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9"/>
      <c r="J2130" s="13"/>
      <c r="K2130" s="13"/>
      <c r="L2130" s="13"/>
      <c r="M2130" s="15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9"/>
      <c r="J2131" s="13"/>
      <c r="K2131" s="13"/>
      <c r="L2131" s="13"/>
      <c r="M2131" s="15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9"/>
      <c r="J2132" s="13"/>
      <c r="K2132" s="13"/>
      <c r="L2132" s="13"/>
      <c r="M2132" s="15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9"/>
      <c r="J2133" s="13"/>
      <c r="K2133" s="13"/>
      <c r="L2133" s="13"/>
      <c r="M2133" s="15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9"/>
      <c r="J2134" s="13"/>
      <c r="K2134" s="13"/>
      <c r="L2134" s="13"/>
      <c r="M2134" s="15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9"/>
      <c r="J2135" s="13"/>
      <c r="K2135" s="13"/>
      <c r="L2135" s="13"/>
      <c r="M2135" s="15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9"/>
      <c r="J2136" s="13"/>
      <c r="K2136" s="13"/>
      <c r="L2136" s="13"/>
      <c r="M2136" s="15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9"/>
      <c r="J2137" s="13"/>
      <c r="K2137" s="13"/>
      <c r="L2137" s="13"/>
      <c r="M2137" s="15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9"/>
      <c r="J2138" s="13"/>
      <c r="K2138" s="13"/>
      <c r="L2138" s="13"/>
      <c r="M2138" s="15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9"/>
      <c r="J2139" s="13"/>
      <c r="K2139" s="13"/>
      <c r="L2139" s="13"/>
      <c r="M2139" s="15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9"/>
      <c r="J2140" s="13"/>
      <c r="K2140" s="13"/>
      <c r="L2140" s="13"/>
      <c r="M2140" s="15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9"/>
      <c r="J2141" s="13"/>
      <c r="K2141" s="13"/>
      <c r="L2141" s="13"/>
      <c r="M2141" s="15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9"/>
      <c r="J2142" s="13"/>
      <c r="K2142" s="13"/>
      <c r="L2142" s="13"/>
      <c r="M2142" s="15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9"/>
      <c r="J2143" s="13"/>
      <c r="K2143" s="13"/>
      <c r="L2143" s="13"/>
      <c r="M2143" s="15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9"/>
      <c r="J2144" s="13"/>
      <c r="K2144" s="13"/>
      <c r="L2144" s="13"/>
      <c r="M2144" s="15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9"/>
      <c r="J2145" s="13"/>
      <c r="K2145" s="13"/>
      <c r="L2145" s="13"/>
      <c r="M2145" s="15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9"/>
      <c r="J2146" s="13"/>
      <c r="K2146" s="13"/>
      <c r="L2146" s="13"/>
      <c r="M2146" s="15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9"/>
      <c r="J2147" s="13"/>
      <c r="K2147" s="13"/>
      <c r="L2147" s="13"/>
      <c r="M2147" s="15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9"/>
      <c r="J2148" s="13"/>
      <c r="K2148" s="13"/>
      <c r="L2148" s="13"/>
      <c r="M2148" s="15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9"/>
      <c r="J2149" s="13"/>
      <c r="K2149" s="13"/>
      <c r="L2149" s="13"/>
      <c r="M2149" s="15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9"/>
      <c r="J2150" s="13"/>
      <c r="K2150" s="13"/>
      <c r="L2150" s="13"/>
      <c r="M2150" s="15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9"/>
      <c r="J2151" s="13"/>
      <c r="K2151" s="13"/>
      <c r="L2151" s="13"/>
      <c r="M2151" s="15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9"/>
      <c r="J2152" s="13"/>
      <c r="K2152" s="13"/>
      <c r="L2152" s="13"/>
      <c r="M2152" s="15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9"/>
      <c r="J2153" s="13"/>
      <c r="K2153" s="13"/>
      <c r="L2153" s="13"/>
      <c r="M2153" s="15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9"/>
      <c r="J2154" s="13"/>
      <c r="K2154" s="13"/>
      <c r="L2154" s="13"/>
      <c r="M2154" s="15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9"/>
      <c r="J2155" s="13"/>
      <c r="K2155" s="13"/>
      <c r="L2155" s="13"/>
      <c r="M2155" s="15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9"/>
      <c r="J2156" s="13"/>
      <c r="K2156" s="13"/>
      <c r="L2156" s="13"/>
      <c r="M2156" s="15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9"/>
      <c r="J2157" s="13"/>
      <c r="K2157" s="13"/>
      <c r="L2157" s="13"/>
      <c r="M2157" s="15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9"/>
      <c r="J2158" s="13"/>
      <c r="K2158" s="13"/>
      <c r="L2158" s="13"/>
      <c r="M2158" s="15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9"/>
      <c r="J2159" s="13"/>
      <c r="K2159" s="13"/>
      <c r="L2159" s="13"/>
      <c r="M2159" s="15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9"/>
      <c r="J2160" s="13"/>
      <c r="K2160" s="13"/>
      <c r="L2160" s="13"/>
      <c r="M2160" s="15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9"/>
      <c r="J2161" s="13"/>
      <c r="K2161" s="13"/>
      <c r="L2161" s="13"/>
      <c r="M2161" s="15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9"/>
      <c r="J2162" s="13"/>
      <c r="K2162" s="13"/>
      <c r="L2162" s="13"/>
      <c r="M2162" s="15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9"/>
      <c r="J2163" s="13"/>
      <c r="K2163" s="13"/>
      <c r="L2163" s="13"/>
      <c r="M2163" s="15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9"/>
      <c r="J2164" s="13"/>
      <c r="K2164" s="13"/>
      <c r="L2164" s="13"/>
      <c r="M2164" s="15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9"/>
      <c r="J2165" s="13"/>
      <c r="K2165" s="13"/>
      <c r="L2165" s="13"/>
      <c r="M2165" s="15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9"/>
      <c r="J2166" s="13"/>
      <c r="K2166" s="13"/>
      <c r="L2166" s="13"/>
      <c r="M2166" s="15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9"/>
      <c r="J2167" s="13"/>
      <c r="K2167" s="13"/>
      <c r="L2167" s="13"/>
      <c r="M2167" s="15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9"/>
      <c r="J2168" s="13"/>
      <c r="K2168" s="13"/>
      <c r="L2168" s="13"/>
      <c r="M2168" s="15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9"/>
      <c r="J2169" s="13"/>
      <c r="K2169" s="13"/>
      <c r="L2169" s="13"/>
      <c r="M2169" s="15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9"/>
      <c r="J2170" s="13"/>
      <c r="K2170" s="13"/>
      <c r="L2170" s="13"/>
      <c r="M2170" s="15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9"/>
      <c r="J2171" s="13"/>
      <c r="K2171" s="13"/>
      <c r="L2171" s="13"/>
      <c r="M2171" s="15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9"/>
      <c r="J2172" s="13"/>
      <c r="K2172" s="13"/>
      <c r="L2172" s="13"/>
      <c r="M2172" s="15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9"/>
      <c r="J2173" s="13"/>
      <c r="K2173" s="13"/>
      <c r="L2173" s="13"/>
      <c r="M2173" s="15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9"/>
      <c r="J2174" s="13"/>
      <c r="K2174" s="13"/>
      <c r="L2174" s="13"/>
      <c r="M2174" s="15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9"/>
      <c r="J2175" s="13"/>
      <c r="K2175" s="13"/>
      <c r="L2175" s="13"/>
      <c r="M2175" s="15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9"/>
      <c r="J2176" s="13"/>
      <c r="K2176" s="13"/>
      <c r="L2176" s="13"/>
      <c r="M2176" s="15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9"/>
      <c r="J2177" s="13"/>
      <c r="K2177" s="13"/>
      <c r="L2177" s="13"/>
      <c r="M2177" s="15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9"/>
      <c r="J2178" s="13"/>
      <c r="K2178" s="13"/>
      <c r="L2178" s="13"/>
      <c r="M2178" s="15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9"/>
      <c r="J2179" s="13"/>
      <c r="K2179" s="13"/>
      <c r="L2179" s="13"/>
      <c r="M2179" s="15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9"/>
      <c r="J2180" s="13"/>
      <c r="K2180" s="13"/>
      <c r="L2180" s="13"/>
      <c r="M2180" s="15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9"/>
      <c r="J2181" s="13"/>
      <c r="K2181" s="13"/>
      <c r="L2181" s="13"/>
      <c r="M2181" s="15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9"/>
      <c r="J2182" s="13"/>
      <c r="K2182" s="13"/>
      <c r="L2182" s="13"/>
      <c r="M2182" s="15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9"/>
      <c r="J2183" s="13"/>
      <c r="K2183" s="13"/>
      <c r="L2183" s="13"/>
      <c r="M2183" s="15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9"/>
      <c r="J2184" s="13"/>
      <c r="K2184" s="13"/>
      <c r="L2184" s="13"/>
      <c r="M2184" s="15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9"/>
      <c r="J2185" s="13"/>
      <c r="K2185" s="13"/>
      <c r="L2185" s="13"/>
      <c r="M2185" s="15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9"/>
      <c r="J2186" s="13"/>
      <c r="K2186" s="13"/>
      <c r="L2186" s="13"/>
      <c r="M2186" s="15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9"/>
      <c r="J2187" s="13"/>
      <c r="K2187" s="13"/>
      <c r="L2187" s="13"/>
      <c r="M2187" s="15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9"/>
      <c r="J2188" s="13"/>
      <c r="K2188" s="13"/>
      <c r="L2188" s="13"/>
      <c r="M2188" s="15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9"/>
      <c r="J2189" s="13"/>
      <c r="K2189" s="13"/>
      <c r="L2189" s="13"/>
      <c r="M2189" s="15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9"/>
      <c r="J2190" s="13"/>
      <c r="K2190" s="13"/>
      <c r="L2190" s="13"/>
      <c r="M2190" s="15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9"/>
      <c r="J2191" s="13"/>
      <c r="K2191" s="13"/>
      <c r="L2191" s="13"/>
      <c r="M2191" s="15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9"/>
      <c r="J2192" s="13"/>
      <c r="K2192" s="13"/>
      <c r="L2192" s="13"/>
      <c r="M2192" s="15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9"/>
      <c r="J2193" s="13"/>
      <c r="K2193" s="13"/>
      <c r="L2193" s="13"/>
      <c r="M2193" s="15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9"/>
      <c r="J2194" s="13"/>
      <c r="K2194" s="13"/>
      <c r="L2194" s="13"/>
      <c r="M2194" s="15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9"/>
      <c r="J2195" s="13"/>
      <c r="K2195" s="13"/>
      <c r="L2195" s="13"/>
      <c r="M2195" s="15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9"/>
      <c r="J2196" s="13"/>
      <c r="K2196" s="13"/>
      <c r="L2196" s="13"/>
      <c r="M2196" s="15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9"/>
      <c r="J2197" s="13"/>
      <c r="K2197" s="13"/>
      <c r="L2197" s="13"/>
      <c r="M2197" s="15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9"/>
      <c r="J2198" s="13"/>
      <c r="K2198" s="13"/>
      <c r="L2198" s="13"/>
      <c r="M2198" s="15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9"/>
      <c r="J2199" s="13"/>
      <c r="K2199" s="13"/>
      <c r="L2199" s="13"/>
      <c r="M2199" s="15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9"/>
      <c r="J2200" s="13"/>
      <c r="K2200" s="13"/>
      <c r="L2200" s="13"/>
      <c r="M2200" s="15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9"/>
      <c r="J2201" s="13"/>
      <c r="K2201" s="13"/>
      <c r="L2201" s="13"/>
      <c r="M2201" s="15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9"/>
      <c r="J2202" s="13"/>
      <c r="K2202" s="13"/>
      <c r="L2202" s="13"/>
      <c r="M2202" s="15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9"/>
      <c r="J2203" s="13"/>
      <c r="K2203" s="13"/>
      <c r="L2203" s="13"/>
      <c r="M2203" s="15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9"/>
      <c r="J2204" s="13"/>
      <c r="K2204" s="13"/>
      <c r="L2204" s="13"/>
      <c r="M2204" s="15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9"/>
      <c r="J2205" s="13"/>
      <c r="K2205" s="13"/>
      <c r="L2205" s="13"/>
      <c r="M2205" s="15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9"/>
      <c r="J2206" s="13"/>
      <c r="K2206" s="13"/>
      <c r="L2206" s="13"/>
      <c r="M2206" s="15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9"/>
      <c r="J2207" s="13"/>
      <c r="K2207" s="13"/>
      <c r="L2207" s="13"/>
      <c r="M2207" s="15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9"/>
      <c r="J2208" s="13"/>
      <c r="K2208" s="13"/>
      <c r="L2208" s="13"/>
      <c r="M2208" s="15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9"/>
      <c r="J2209" s="13"/>
      <c r="K2209" s="13"/>
      <c r="L2209" s="13"/>
      <c r="M2209" s="15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9"/>
      <c r="J2210" s="13"/>
      <c r="K2210" s="13"/>
      <c r="L2210" s="13"/>
      <c r="M2210" s="15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9"/>
      <c r="J2211" s="13"/>
      <c r="K2211" s="13"/>
      <c r="L2211" s="13"/>
      <c r="M2211" s="15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9"/>
      <c r="J2212" s="13"/>
      <c r="K2212" s="13"/>
      <c r="L2212" s="13"/>
      <c r="M2212" s="15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9"/>
      <c r="J2213" s="13"/>
      <c r="K2213" s="13"/>
      <c r="L2213" s="13"/>
      <c r="M2213" s="15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9"/>
      <c r="J2214" s="13"/>
      <c r="K2214" s="13"/>
      <c r="L2214" s="13"/>
      <c r="M2214" s="15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9"/>
      <c r="J2215" s="13"/>
      <c r="K2215" s="13"/>
      <c r="L2215" s="13"/>
      <c r="M2215" s="15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9"/>
      <c r="J2216" s="13"/>
      <c r="K2216" s="13"/>
      <c r="L2216" s="13"/>
      <c r="M2216" s="15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9"/>
      <c r="J2217" s="13"/>
      <c r="K2217" s="13"/>
      <c r="L2217" s="13"/>
      <c r="M2217" s="15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9"/>
      <c r="J2218" s="13"/>
      <c r="K2218" s="13"/>
      <c r="L2218" s="13"/>
      <c r="M2218" s="15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9"/>
      <c r="J2219" s="13"/>
      <c r="K2219" s="13"/>
      <c r="L2219" s="13"/>
      <c r="M2219" s="15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9"/>
      <c r="J2220" s="13"/>
      <c r="K2220" s="13"/>
      <c r="L2220" s="13"/>
      <c r="M2220" s="15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9"/>
      <c r="J2221" s="13"/>
      <c r="K2221" s="13"/>
      <c r="L2221" s="13"/>
      <c r="M2221" s="15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9"/>
      <c r="J2222" s="13"/>
      <c r="K2222" s="13"/>
      <c r="L2222" s="13"/>
      <c r="M2222" s="15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9"/>
      <c r="J2223" s="13"/>
      <c r="K2223" s="13"/>
      <c r="L2223" s="13"/>
      <c r="M2223" s="15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9"/>
      <c r="J2224" s="13"/>
      <c r="K2224" s="13"/>
      <c r="L2224" s="13"/>
      <c r="M2224" s="15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9"/>
      <c r="J2225" s="13"/>
      <c r="K2225" s="13"/>
      <c r="L2225" s="13"/>
      <c r="M2225" s="15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9"/>
      <c r="J2226" s="13"/>
      <c r="K2226" s="13"/>
      <c r="L2226" s="13"/>
      <c r="M2226" s="15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9"/>
      <c r="J2227" s="13"/>
      <c r="K2227" s="13"/>
      <c r="L2227" s="13"/>
      <c r="M2227" s="15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9"/>
      <c r="J2228" s="13"/>
      <c r="K2228" s="13"/>
      <c r="L2228" s="13"/>
      <c r="M2228" s="15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9"/>
      <c r="J2229" s="13"/>
      <c r="K2229" s="13"/>
      <c r="L2229" s="13"/>
      <c r="M2229" s="15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9"/>
      <c r="J2230" s="13"/>
      <c r="K2230" s="13"/>
      <c r="L2230" s="13"/>
      <c r="M2230" s="15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9"/>
      <c r="J2231" s="13"/>
      <c r="K2231" s="13"/>
      <c r="L2231" s="13"/>
      <c r="M2231" s="15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9"/>
      <c r="J2232" s="13"/>
      <c r="K2232" s="13"/>
      <c r="L2232" s="13"/>
      <c r="M2232" s="15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9"/>
      <c r="J2233" s="13"/>
      <c r="K2233" s="13"/>
      <c r="L2233" s="13"/>
      <c r="M2233" s="15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9"/>
      <c r="J2234" s="13"/>
      <c r="K2234" s="13"/>
      <c r="L2234" s="13"/>
      <c r="M2234" s="15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9"/>
      <c r="J2235" s="13"/>
      <c r="K2235" s="13"/>
      <c r="L2235" s="13"/>
      <c r="M2235" s="15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9"/>
      <c r="J2236" s="13"/>
      <c r="K2236" s="13"/>
      <c r="L2236" s="13"/>
      <c r="M2236" s="15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</cols>
  <sheetData>
    <row r="1">
      <c r="A1" s="1"/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40</v>
      </c>
      <c r="J1" s="2" t="s">
        <v>41</v>
      </c>
      <c r="K1" s="2" t="s">
        <v>42</v>
      </c>
      <c r="L1" s="2"/>
      <c r="M1" s="2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""&amp;$A3))"),"sports betting bahamas")</f>
        <v>sports betting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""&amp;$A3))"),"online sports betting bahamas")</f>
        <v>online sports betting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""&amp;$A3))"),"sportsbook bahamas")</f>
        <v>sportsbook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""&amp;$A3))"),"sports book bahamas")</f>
        <v>sports book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""&amp;$A3))"),"betting app bahamas")</f>
        <v>betting app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""&amp;$A3))"),"bet app bahamas")</f>
        <v>bet app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""&amp;$A3))"),"online betting bahamas")</f>
        <v>online betting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""&amp;$A3))"),"bet online bahamas")</f>
        <v>bet online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""&amp;$A3))"),"sports bets bahamas")</f>
        <v>sports bets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""&amp;$A3))"),"sports odds bahamas")</f>
        <v>sports odds bahamas</v>
      </c>
      <c r="L3" s="13"/>
      <c r="M3" s="13" t="str">
        <f>IFERROR(__xludf.DUMMYFUNCTION("FLATTEN(B3:K37,B1:K1)"),"sports betting bahamas")</f>
        <v>sports betting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54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""&amp;$A4))"),"sports betting caribbean")</f>
        <v>sports betting caribbean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""&amp;$A4))"),"online sports betting caribbean")</f>
        <v>online sports betting caribbean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""&amp;$A4))"),"sportsbook caribbean")</f>
        <v>sportsbook caribbean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""&amp;$A4))"),"sports book caribbean")</f>
        <v>sports book caribbean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""&amp;$A4))"),"betting app caribbean")</f>
        <v>betting app caribbean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""&amp;$A4))"),"bet app caribbean")</f>
        <v>bet app caribbean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""&amp;$A4))"),"online betting caribbean")</f>
        <v>online betting caribbean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""&amp;$A4))"),"bet online caribbean")</f>
        <v>bet online caribbean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""&amp;$A4))"),"sports bets caribbean")</f>
        <v>sports bets caribbean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""&amp;$A4))"),"sports odds caribbean")</f>
        <v>sports odds caribbean</v>
      </c>
      <c r="L4" s="13"/>
      <c r="M4" s="13" t="str">
        <f>IFERROR(__xludf.DUMMYFUNCTION("""COMPUTED_VALUE"""),"online sports betting bahamas")</f>
        <v>online sports betting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63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""&amp;$A5))"),"sports betting best")</f>
        <v>sports betting best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""&amp;$A5))"),"online sports betting best")</f>
        <v>online sports betting best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""&amp;$A5))"),"sportsbook best")</f>
        <v>sportsbook best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""&amp;$A5))"),"sports book best")</f>
        <v>sports book best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""&amp;$A5))"),"betting app best")</f>
        <v>betting app best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""&amp;$A5))"),"bet app best")</f>
        <v>bet app best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""&amp;$A5))"),"online betting best")</f>
        <v>online betting best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""&amp;$A5))"),"bet online best")</f>
        <v>bet online best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""&amp;$A5))"),"sports bets best")</f>
        <v>sports bets best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""&amp;$A5))"),"sports odds best")</f>
        <v>sports odds best</v>
      </c>
      <c r="L5" s="13"/>
      <c r="M5" s="13" t="str">
        <f>IFERROR(__xludf.DUMMYFUNCTION("""COMPUTED_VALUE"""),"sportsbook bahamas")</f>
        <v>sportsbook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69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""&amp;$A6))"),"sports betting top")</f>
        <v>sports betting top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""&amp;$A6))"),"online sports betting top")</f>
        <v>online sports betting top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""&amp;$A6))"),"sportsbook top")</f>
        <v>sportsbook top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""&amp;$A6))"),"sports book top")</f>
        <v>sports book top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""&amp;$A6))"),"betting app top")</f>
        <v>betting app top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""&amp;$A6))"),"bet app top")</f>
        <v>bet app top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""&amp;$A6))"),"online betting top")</f>
        <v>online betting top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""&amp;$A6))"),"bet online top")</f>
        <v>bet online top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""&amp;$A6))"),"sports bets top")</f>
        <v>sports bets top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""&amp;$A6))"),"sports odds top")</f>
        <v>sports odds top</v>
      </c>
      <c r="L6" s="13"/>
      <c r="M6" s="13" t="str">
        <f>IFERROR(__xludf.DUMMYFUNCTION("""COMPUTED_VALUE"""),"sports book bahamas")</f>
        <v>sports book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76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""&amp;$A7))"),"sports betting trusted")</f>
        <v>sports betting trusted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""&amp;$A7))"),"online sports betting trusted")</f>
        <v>online sports betting trusted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""&amp;$A7))"),"sportsbook trusted")</f>
        <v>sportsbook trusted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""&amp;$A7))"),"sports book trusted")</f>
        <v>sports book trusted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""&amp;$A7))"),"betting app trusted")</f>
        <v>betting app trusted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""&amp;$A7))"),"bet app trusted")</f>
        <v>bet app trusted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""&amp;$A7))"),"online betting trusted")</f>
        <v>online betting trusted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""&amp;$A7))"),"bet online trusted")</f>
        <v>bet online trusted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""&amp;$A7))"),"sports bets trusted")</f>
        <v>sports bets trusted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""&amp;$A7))"),"sports odds trusted")</f>
        <v>sports odds trusted</v>
      </c>
      <c r="L7" s="13"/>
      <c r="M7" s="13" t="str">
        <f>IFERROR(__xludf.DUMMYFUNCTION("""COMPUTED_VALUE"""),"betting app bahamas")</f>
        <v>betting app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81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""&amp;$A8))"),"sports betting safe")</f>
        <v>sports betting safe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""&amp;$A8))"),"online sports betting safe")</f>
        <v>online sports betting safe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""&amp;$A8))"),"sportsbook safe")</f>
        <v>sportsbook safe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""&amp;$A8))"),"sports book safe")</f>
        <v>sports book safe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""&amp;$A8))"),"betting app safe")</f>
        <v>betting app safe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""&amp;$A8))"),"bet app safe")</f>
        <v>bet app safe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""&amp;$A8))"),"online betting safe")</f>
        <v>online betting safe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""&amp;$A8))"),"bet online safe")</f>
        <v>bet online safe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""&amp;$A8))"),"sports bets safe")</f>
        <v>sports bets safe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""&amp;$A8))"),"sports odds safe")</f>
        <v>sports odds safe</v>
      </c>
      <c r="L8" s="13"/>
      <c r="M8" s="13" t="str">
        <f>IFERROR(__xludf.DUMMYFUNCTION("""COMPUTED_VALUE"""),"bet app bahamas")</f>
        <v>bet app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87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""&amp;$A9))"),"sports betting licensed")</f>
        <v>sports betting licensed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""&amp;$A9))"),"online sports betting licensed")</f>
        <v>online sports betting licensed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""&amp;$A9))"),"sportsbook licensed")</f>
        <v>sportsbook licensed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""&amp;$A9))"),"sports book licensed")</f>
        <v>sports book licensed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""&amp;$A9))"),"betting app licensed")</f>
        <v>betting app licensed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""&amp;$A9))"),"bet app licensed")</f>
        <v>bet app licensed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""&amp;$A9))"),"online betting licensed")</f>
        <v>online betting licensed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""&amp;$A9))"),"bet online licensed")</f>
        <v>bet online licensed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""&amp;$A9))"),"sports bets licensed")</f>
        <v>sports bets licensed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""&amp;$A9))"),"sports odds licensed")</f>
        <v>sports odds licensed</v>
      </c>
      <c r="L9" s="13"/>
      <c r="M9" s="13" t="str">
        <f>IFERROR(__xludf.DUMMYFUNCTION("""COMPUTED_VALUE"""),"online betting bahamas")</f>
        <v>online betting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94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""&amp;$A10))"),"sports betting mobile")</f>
        <v>sports betting mobile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""&amp;$A10))"),"online sports betting mobile")</f>
        <v>online sports betting mobile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""&amp;$A10))"),"sportsbook mobile")</f>
        <v>sportsbook mobile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""&amp;$A10))"),"sports book mobile")</f>
        <v>sports book mobile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""&amp;$A10))"),"betting app mobile")</f>
        <v>betting app mobile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""&amp;$A10))"),"bet app mobile")</f>
        <v>bet app mobile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""&amp;$A10))"),"online betting mobile")</f>
        <v>online betting mobile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""&amp;$A10))"),"bet online mobile")</f>
        <v>bet online mobile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""&amp;$A10))"),"sports bets mobile")</f>
        <v>sports bets mobile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""&amp;$A10))"),"sports odds mobile")</f>
        <v>sports odds mobile</v>
      </c>
      <c r="L10" s="13"/>
      <c r="M10" s="13" t="str">
        <f>IFERROR(__xludf.DUMMYFUNCTION("""COMPUTED_VALUE"""),"bet online bahamas")</f>
        <v>bet online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101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""&amp;$A11))"),"sports betting app")</f>
        <v>sports betting app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""&amp;$A11))"),"online sports betting app")</f>
        <v>online sports betting app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""&amp;$A11))"),"sportsbook app")</f>
        <v>sportsbook app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""&amp;$A11))"),"sports book app")</f>
        <v>sports book app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""&amp;$A11))"),"betting app")</f>
        <v>betting app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""&amp;$A11))"),"bet app")</f>
        <v>bet app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""&amp;$A11))"),"online betting app")</f>
        <v>online betting app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""&amp;$A11))"),"bet online app")</f>
        <v>bet online app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""&amp;$A11))"),"sports bets app")</f>
        <v>sports bets app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""&amp;$A11))"),"sports odds app")</f>
        <v>sports odds app</v>
      </c>
      <c r="L11" s="13"/>
      <c r="M11" s="13" t="str">
        <f>IFERROR(__xludf.DUMMYFUNCTION("""COMPUTED_VALUE"""),"sports bets bahamas")</f>
        <v>sports bets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109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""&amp;$A12))"),"sports betting live odds")</f>
        <v>sports betting live odds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""&amp;$A12))"),"online sports betting live odds")</f>
        <v>online sports betting live odds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""&amp;$A12))"),"sportsbook live odds")</f>
        <v>sportsbook live odds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""&amp;$A12))"),"sports book live odds")</f>
        <v>sports book live odds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""&amp;$A12))"),"betting app live odds")</f>
        <v>betting app live odds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""&amp;$A12))"),"bet app live odds")</f>
        <v>bet app live odds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""&amp;$A12))"),"online betting live odds")</f>
        <v>online betting live odds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""&amp;$A12))"),"bet online live odds")</f>
        <v>bet online live odds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""&amp;$A12))"),"sports bets live odds")</f>
        <v>sports bets live odds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""&amp;$A12))"),"sports odds live odds")</f>
        <v>sports odds live odds</v>
      </c>
      <c r="L12" s="13"/>
      <c r="M12" s="13" t="str">
        <f>IFERROR(__xludf.DUMMYFUNCTION("""COMPUTED_VALUE"""),"sports odds bahamas")</f>
        <v>sports odds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67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""&amp;$A13))"),"sports betting odds")</f>
        <v>sports betting odds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""&amp;$A13))"),"online sports betting odds")</f>
        <v>online sports betting odds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""&amp;$A13))"),"sportsbook odds")</f>
        <v>sportsbook odds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""&amp;$A13))"),"sports book odds")</f>
        <v>sports book odds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""&amp;$A13))"),"betting app odds")</f>
        <v>betting app odds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""&amp;$A13))"),"bet app odds")</f>
        <v>bet app odds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""&amp;$A13))"),"online betting odds")</f>
        <v>online betting odds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""&amp;$A13))"),"bet online odds")</f>
        <v>bet online odds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""&amp;$A13))"),"sports bets odds")</f>
        <v>sports bets odds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""&amp;$A13))"),"sports odds")</f>
        <v>sports odds</v>
      </c>
      <c r="L13" s="13"/>
      <c r="M13" s="13" t="str">
        <f>IFERROR(__xludf.DUMMYFUNCTION("""COMPUTED_VALUE"""),"sports betting caribbean")</f>
        <v>sports betting caribbean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119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""&amp;$A14))"),"sports betting betting odds")</f>
        <v>sports betting betting odds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""&amp;$A14))"),"online sports betting betting odds")</f>
        <v>online sports betting betting odds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""&amp;$A14))"),"sportsbook betting odds")</f>
        <v>sportsbook betting odds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""&amp;$A14))"),"sports book betting odds")</f>
        <v>sports book betting odds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""&amp;$A14))"),"betting app betting odds")</f>
        <v>betting app betting odds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""&amp;$A14))"),"bet app betting odds")</f>
        <v>bet app betting odds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""&amp;$A14))"),"online betting betting odds")</f>
        <v>online betting betting odds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""&amp;$A14))"),"bet online betting odds")</f>
        <v>bet online betting odds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""&amp;$A14))"),"sports bets betting odds")</f>
        <v>sports bets betting odds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""&amp;$A14))"),"sports odds betting odds")</f>
        <v>sports odds betting odds</v>
      </c>
      <c r="L14" s="13"/>
      <c r="M14" s="13" t="str">
        <f>IFERROR(__xludf.DUMMYFUNCTION("""COMPUTED_VALUE"""),"online sports betting caribbean")</f>
        <v>online sports betting caribbean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127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""&amp;$A15))"),"sports betting predictions")</f>
        <v>sports betting predictions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""&amp;$A15))"),"online sports betting predictions")</f>
        <v>online sports betting predictions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""&amp;$A15))"),"sportsbook predictions")</f>
        <v>sportsbook predictions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""&amp;$A15))"),"sports book predictions")</f>
        <v>sports book predictions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""&amp;$A15))"),"betting app predictions")</f>
        <v>betting app predictions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""&amp;$A15))"),"bet app predictions")</f>
        <v>bet app predictions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""&amp;$A15))"),"online betting predictions")</f>
        <v>online betting predictions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""&amp;$A15))"),"bet online predictions")</f>
        <v>bet online predictions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""&amp;$A15))"),"sports bets predictions")</f>
        <v>sports bets predictions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""&amp;$A15))"),"sports odds predictions")</f>
        <v>sports odds predictions</v>
      </c>
      <c r="L15" s="13"/>
      <c r="M15" s="13" t="str">
        <f>IFERROR(__xludf.DUMMYFUNCTION("""COMPUTED_VALUE"""),"sportsbook caribbean")</f>
        <v>sportsbook caribbean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134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""&amp;$A16))"),"sports betting picks")</f>
        <v>sports betting picks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""&amp;$A16))"),"online sports betting picks")</f>
        <v>online sports betting picks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""&amp;$A16))"),"sportsbook picks")</f>
        <v>sportsbook picks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""&amp;$A16))"),"sports book picks")</f>
        <v>sports book picks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""&amp;$A16))"),"betting app picks")</f>
        <v>betting app picks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""&amp;$A16))"),"bet app picks")</f>
        <v>bet app picks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""&amp;$A16))"),"online betting picks")</f>
        <v>online betting picks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""&amp;$A16))"),"bet online picks")</f>
        <v>bet online picks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""&amp;$A16))"),"sports bets picks")</f>
        <v>sports bets picks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""&amp;$A16))"),"sports odds picks")</f>
        <v>sports odds picks</v>
      </c>
      <c r="L16" s="13"/>
      <c r="M16" s="13" t="str">
        <f>IFERROR(__xludf.DUMMYFUNCTION("""COMPUTED_VALUE"""),"sports book caribbean")</f>
        <v>sports book caribbean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142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""&amp;$A17))"),"sports betting tips")</f>
        <v>sports betting tips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""&amp;$A17))"),"online sports betting tips")</f>
        <v>online sports betting tips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""&amp;$A17))"),"sportsbook tips")</f>
        <v>sportsbook tips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""&amp;$A17))"),"sports book tips")</f>
        <v>sports book tips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""&amp;$A17))"),"betting app tips")</f>
        <v>betting app tips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""&amp;$A17))"),"bet app tips")</f>
        <v>bet app tips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""&amp;$A17))"),"online betting tips")</f>
        <v>online betting tips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""&amp;$A17))"),"bet online tips")</f>
        <v>bet online tips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""&amp;$A17))"),"sports bets tips")</f>
        <v>sports bets tips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""&amp;$A17))"),"sports odds tips")</f>
        <v>sports odds tips</v>
      </c>
      <c r="L17" s="13"/>
      <c r="M17" s="13" t="str">
        <f>IFERROR(__xludf.DUMMYFUNCTION("""COMPUTED_VALUE"""),"betting app caribbean")</f>
        <v>betting app caribbean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149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""&amp;$A18))"),"sports betting parlay")</f>
        <v>sports betting parlay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""&amp;$A18))"),"online sports betting parlay")</f>
        <v>online sports betting parlay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""&amp;$A18))"),"sportsbook parlay")</f>
        <v>sportsbook parlay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""&amp;$A18))"),"sports book parlay")</f>
        <v>sports book parlay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""&amp;$A18))"),"betting app parlay")</f>
        <v>betting app parlay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""&amp;$A18))"),"bet app parlay")</f>
        <v>bet app parlay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""&amp;$A18))"),"online betting parlay")</f>
        <v>online betting parlay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""&amp;$A18))"),"bet online parlay")</f>
        <v>bet online parlay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""&amp;$A18))"),"sports bets parlay")</f>
        <v>sports bets parlay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""&amp;$A18))"),"sports odds parlay")</f>
        <v>sports odds parlay</v>
      </c>
      <c r="L18" s="13"/>
      <c r="M18" s="13" t="str">
        <f>IFERROR(__xludf.DUMMYFUNCTION("""COMPUTED_VALUE"""),"bet app caribbean")</f>
        <v>bet app caribbean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154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""&amp;$A19))"),"sports betting parlays")</f>
        <v>sports betting parlays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""&amp;$A19))"),"online sports betting parlays")</f>
        <v>online sports betting parlays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""&amp;$A19))"),"sportsbook parlays")</f>
        <v>sportsbook parlays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""&amp;$A19))"),"sports book parlays")</f>
        <v>sports book parlays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""&amp;$A19))"),"betting app parlays")</f>
        <v>betting app parlays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""&amp;$A19))"),"bet app parlays")</f>
        <v>bet app parlays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""&amp;$A19))"),"online betting parlays")</f>
        <v>online betting parlays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""&amp;$A19))"),"bet online parlays")</f>
        <v>bet online parlays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""&amp;$A19))"),"sports bets parlays")</f>
        <v>sports bets parlays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""&amp;$A19))"),"sports odds parlays")</f>
        <v>sports odds parlays</v>
      </c>
      <c r="L19" s="13"/>
      <c r="M19" s="13" t="str">
        <f>IFERROR(__xludf.DUMMYFUNCTION("""COMPUTED_VALUE"""),"online betting caribbean")</f>
        <v>online betting caribbean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159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""&amp;$A20))"),"sports betting accumulator")</f>
        <v>sports betting accumulator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""&amp;$A20))"),"online sports betting accumulator")</f>
        <v>online sports betting accumulator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""&amp;$A20))"),"sportsbook accumulator")</f>
        <v>sportsbook accumulator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""&amp;$A20))"),"sports book accumulator")</f>
        <v>sports book accumulator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""&amp;$A20))"),"betting app accumulator")</f>
        <v>betting app accumulator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""&amp;$A20))"),"bet app accumulator")</f>
        <v>bet app accumulator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""&amp;$A20))"),"online betting accumulator")</f>
        <v>online betting accumulator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""&amp;$A20))"),"bet online accumulator")</f>
        <v>bet online accumulator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""&amp;$A20))"),"sports bets accumulator")</f>
        <v>sports bets accumulator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""&amp;$A20))"),"sports odds accumulator")</f>
        <v>sports odds accumulator</v>
      </c>
      <c r="L20" s="13"/>
      <c r="M20" s="13" t="str">
        <f>IFERROR(__xludf.DUMMYFUNCTION("""COMPUTED_VALUE"""),"bet online caribbean")</f>
        <v>bet online caribbean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165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""&amp;$A21))"),"sports betting live betting")</f>
        <v>sports betting live betting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""&amp;$A21))"),"online sports betting live betting")</f>
        <v>online sports betting live betting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""&amp;$A21))"),"sportsbook live betting")</f>
        <v>sportsbook live betting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""&amp;$A21))"),"sports book live betting")</f>
        <v>sports book live betting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""&amp;$A21))"),"betting app live betting")</f>
        <v>betting app live betting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""&amp;$A21))"),"bet app live betting")</f>
        <v>bet app live betting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""&amp;$A21))"),"online betting live betting")</f>
        <v>online betting live betting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""&amp;$A21))"),"bet online live betting")</f>
        <v>bet online live betting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""&amp;$A21))"),"sports bets live betting")</f>
        <v>sports bets live betting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""&amp;$A21))"),"sports odds live betting")</f>
        <v>sports odds live betting</v>
      </c>
      <c r="L21" s="13"/>
      <c r="M21" s="13" t="str">
        <f>IFERROR(__xludf.DUMMYFUNCTION("""COMPUTED_VALUE"""),"sports bets caribbean")</f>
        <v>sports bets caribbean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171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""&amp;$A22))"),"sports betting in play betting")</f>
        <v>sports betting in play betting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""&amp;$A22))"),"online sports betting in play betting")</f>
        <v>online sports betting in play betting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""&amp;$A22))"),"sportsbook in play betting")</f>
        <v>sportsbook in play betting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""&amp;$A22))"),"sports book in play betting")</f>
        <v>sports book in play betting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""&amp;$A22))"),"betting app in play betting")</f>
        <v>betting app in play betting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""&amp;$A22))"),"bet app in play betting")</f>
        <v>bet app in play betting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""&amp;$A22))"),"online betting in play betting")</f>
        <v>online betting in play betting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""&amp;$A22))"),"bet online in play betting")</f>
        <v>bet online in play betting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""&amp;$A22))"),"sports bets in play betting")</f>
        <v>sports bets in play betting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""&amp;$A22))"),"sports odds in play betting")</f>
        <v>sports odds in play betting</v>
      </c>
      <c r="L22" s="13"/>
      <c r="M22" s="13" t="str">
        <f>IFERROR(__xludf.DUMMYFUNCTION("""COMPUTED_VALUE"""),"sports odds caribbean")</f>
        <v>sports odds caribbean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172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""&amp;$A23))"),"sports betting in-play betting")</f>
        <v>sports betting in-play betting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""&amp;$A23))"),"online sports betting in-play betting")</f>
        <v>online sports betting in-play betting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""&amp;$A23))"),"sportsbook in-play betting")</f>
        <v>sportsbook in-play betting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""&amp;$A23))"),"sports book in-play betting")</f>
        <v>sports book in-play betting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""&amp;$A23))"),"betting app in-play betting")</f>
        <v>betting app in-play betting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""&amp;$A23))"),"bet app in-play betting")</f>
        <v>bet app in-play betting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""&amp;$A23))"),"online betting in-play betting")</f>
        <v>online betting in-play betting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""&amp;$A23))"),"bet online in-play betting")</f>
        <v>bet online in-play betting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""&amp;$A23))"),"sports bets in-play betting")</f>
        <v>sports bets in-play betting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""&amp;$A23))"),"sports odds in-play betting")</f>
        <v>sports odds in-play betting</v>
      </c>
      <c r="L23" s="13"/>
      <c r="M23" s="13" t="str">
        <f>IFERROR(__xludf.DUMMYFUNCTION("""COMPUTED_VALUE"""),"sports betting best")</f>
        <v>sports betting best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104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""&amp;$A24))"),"sports betting bet")</f>
        <v>sports betting bet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""&amp;$A24))"),"online sports betting bet")</f>
        <v>online sports betting bet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""&amp;$A24))"),"sportsbook bet")</f>
        <v>sportsbook bet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""&amp;$A24))"),"sports book bet")</f>
        <v>sports book bet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""&amp;$A24))"),"betting app bet")</f>
        <v>betting app bet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""&amp;$A24))"),"bet app")</f>
        <v>bet app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""&amp;$A24))"),"online betting bet")</f>
        <v>online betting bet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""&amp;$A24))"),"bet online")</f>
        <v>bet online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""&amp;$A24))"),"sports bets bet")</f>
        <v>sports bets bet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""&amp;$A24))"),"sports odds bet")</f>
        <v>sports odds bet</v>
      </c>
      <c r="L24" s="13"/>
      <c r="M24" s="13" t="str">
        <f>IFERROR(__xludf.DUMMYFUNCTION("""COMPUTED_VALUE"""),"online sports betting best")</f>
        <v>online sports betting best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108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""&amp;$A25))"),"sports betting bets")</f>
        <v>sports betting bets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""&amp;$A25))"),"online sports betting bets")</f>
        <v>online sports betting bets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""&amp;$A25))"),"sportsbook bets")</f>
        <v>sportsbook bets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""&amp;$A25))"),"sports book bets")</f>
        <v>sports book bets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""&amp;$A25))"),"betting app bets")</f>
        <v>betting app bets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""&amp;$A25))"),"bet app")</f>
        <v>bet app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""&amp;$A25))"),"online betting bets")</f>
        <v>online betting bets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""&amp;$A25))"),"bet online")</f>
        <v>bet online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""&amp;$A25))"),"sports bets")</f>
        <v>sports bets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""&amp;$A25))"),"sports odds bets")</f>
        <v>sports odds bets</v>
      </c>
      <c r="L25" s="13"/>
      <c r="M25" s="13" t="str">
        <f>IFERROR(__xludf.DUMMYFUNCTION("""COMPUTED_VALUE"""),"sportsbook best")</f>
        <v>sportsbook best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112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""&amp;$A26))"),"sports betting")</f>
        <v>sports betting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""&amp;$A26))"),"online sports betting")</f>
        <v>online sports betting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""&amp;$A26))"),"sportsbook betting")</f>
        <v>sportsbook betting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""&amp;$A26))"),"sports book betting")</f>
        <v>sports book betting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""&amp;$A26))"),"betting app")</f>
        <v>betting app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""&amp;$A26))"),"bet app betting")</f>
        <v>bet app betting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""&amp;$A26))"),"online betting")</f>
        <v>online betting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""&amp;$A26))"),"bet online betting")</f>
        <v>bet online betting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""&amp;$A26))"),"sports bets betting")</f>
        <v>sports bets betting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""&amp;$A26))"),"sports odds betting")</f>
        <v>sports odds betting</v>
      </c>
      <c r="L26" s="13"/>
      <c r="M26" s="13" t="str">
        <f>IFERROR(__xludf.DUMMYFUNCTION("""COMPUTED_VALUE"""),"sports book best")</f>
        <v>sports book best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129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""&amp;$A27))"),"sports betting deposit")</f>
        <v>sports betting deposit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""&amp;$A27))"),"online sports betting deposit")</f>
        <v>online sports betting deposit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""&amp;$A27))"),"sportsbook deposit")</f>
        <v>sportsbook deposit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""&amp;$A27))"),"sports book deposit")</f>
        <v>sports book deposit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""&amp;$A27))"),"betting app deposit")</f>
        <v>betting app deposit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""&amp;$A27))"),"bet app deposit")</f>
        <v>bet app deposit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""&amp;$A27))"),"online betting deposit")</f>
        <v>online betting deposit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""&amp;$A27))"),"bet online deposit")</f>
        <v>bet online deposit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""&amp;$A27))"),"sports bets deposit")</f>
        <v>sports bets deposit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""&amp;$A27))"),"sports odds deposit")</f>
        <v>sports odds deposit</v>
      </c>
      <c r="L27" s="13"/>
      <c r="M27" s="13" t="str">
        <f>IFERROR(__xludf.DUMMYFUNCTION("""COMPUTED_VALUE"""),"betting app best")</f>
        <v>betting app best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133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""&amp;$A28))"),"sports betting withdrawal")</f>
        <v>sports betting withdrawal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""&amp;$A28))"),"online sports betting withdrawal")</f>
        <v>online sports betting withdrawal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""&amp;$A28))"),"sportsbook withdrawal")</f>
        <v>sportsbook withdrawal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""&amp;$A28))"),"sports book withdrawal")</f>
        <v>sports book withdrawal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""&amp;$A28))"),"betting app withdrawal")</f>
        <v>betting app withdrawal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""&amp;$A28))"),"bet app withdrawal")</f>
        <v>bet app withdrawal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""&amp;$A28))"),"online betting withdrawal")</f>
        <v>online betting withdrawal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""&amp;$A28))"),"bet online withdrawal")</f>
        <v>bet online withdrawal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""&amp;$A28))"),"sports bets withdrawal")</f>
        <v>sports bets withdrawal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""&amp;$A28))"),"sports odds withdrawal")</f>
        <v>sports odds withdrawal</v>
      </c>
      <c r="L28" s="13"/>
      <c r="M28" s="13" t="str">
        <f>IFERROR(__xludf.DUMMYFUNCTION("""COMPUTED_VALUE"""),"bet app best")</f>
        <v>bet app best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124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""&amp;$A29))"),"sports betting login")</f>
        <v>sports betting login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""&amp;$A29))"),"online sports betting login")</f>
        <v>online sports betting login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""&amp;$A29))"),"sportsbook login")</f>
        <v>sportsbook login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""&amp;$A29))"),"sports book login")</f>
        <v>sports book login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""&amp;$A29))"),"betting app login")</f>
        <v>betting app login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""&amp;$A29))"),"bet app login")</f>
        <v>bet app login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""&amp;$A29))"),"online betting login")</f>
        <v>online betting login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""&amp;$A29))"),"bet online login")</f>
        <v>bet online login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""&amp;$A29))"),"sports bets login")</f>
        <v>sports bets login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""&amp;$A29))"),"sports odds login")</f>
        <v>sports odds login</v>
      </c>
      <c r="L29" s="13"/>
      <c r="M29" s="13" t="str">
        <f>IFERROR(__xludf.DUMMYFUNCTION("""COMPUTED_VALUE"""),"online betting best")</f>
        <v>online betting best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173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""&amp;$A30))"),"sports betting review")</f>
        <v>sports betting review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""&amp;$A30))"),"online sports betting review")</f>
        <v>online sports betting review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""&amp;$A30))"),"sportsbook review")</f>
        <v>sportsbook review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""&amp;$A30))"),"sports book review")</f>
        <v>sports book review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""&amp;$A30))"),"betting app review")</f>
        <v>betting app review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""&amp;$A30))"),"bet app review")</f>
        <v>bet app review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""&amp;$A30))"),"online betting review")</f>
        <v>online betting review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""&amp;$A30))"),"bet online review")</f>
        <v>bet online review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""&amp;$A30))"),"sports bets review")</f>
        <v>sports bets review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""&amp;$A30))"),"sports odds review")</f>
        <v>sports odds review</v>
      </c>
      <c r="L30" s="13"/>
      <c r="M30" s="13" t="str">
        <f>IFERROR(__xludf.DUMMYFUNCTION("""COMPUTED_VALUE"""),"bet online best")</f>
        <v>bet online best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174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""&amp;$A31))"),"sports betting reviews")</f>
        <v>sports betting reviews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""&amp;$A31))"),"online sports betting reviews")</f>
        <v>online sports betting reviews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""&amp;$A31))"),"sportsbook reviews")</f>
        <v>sportsbook reviews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""&amp;$A31))"),"sports book reviews")</f>
        <v>sports book reviews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""&amp;$A31))"),"betting app reviews")</f>
        <v>betting app reviews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""&amp;$A31))"),"bet app reviews")</f>
        <v>bet app reviews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""&amp;$A31))"),"online betting reviews")</f>
        <v>online betting reviews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""&amp;$A31))"),"bet online reviews")</f>
        <v>bet online reviews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""&amp;$A31))"),"sports bets reviews")</f>
        <v>sports bets reviews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""&amp;$A31))"),"sports odds reviews")</f>
        <v>sports odds reviews</v>
      </c>
      <c r="L31" s="13"/>
      <c r="M31" s="13" t="str">
        <f>IFERROR(__xludf.DUMMYFUNCTION("""COMPUTED_VALUE"""),"sports bets best")</f>
        <v>sports bets best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100</v>
      </c>
      <c r="B32" s="13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""&amp;$A32))"),"sports betting paradise games")</f>
        <v>sports betting paradise games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""&amp;$A32))"),"online sports betting paradise games")</f>
        <v>online sports betting paradise games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""&amp;$A32))"),"sportsbook paradise games")</f>
        <v>sportsbook paradise games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""&amp;$A32))"),"sports book paradise games")</f>
        <v>sports book paradise games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""&amp;$A32))"),"betting app paradise games")</f>
        <v>betting app paradise games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""&amp;$A32))"),"bet app paradise games")</f>
        <v>bet app paradise games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""&amp;$A32))"),"online betting paradise games")</f>
        <v>online betting paradise games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""&amp;$A32))"),"bet online paradise games")</f>
        <v>bet online paradise games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""&amp;$A32))"),"sports bets paradise games")</f>
        <v>sports bets paradise games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""&amp;$A32))"),"sports odds paradise games")</f>
        <v>sports odds paradise games</v>
      </c>
      <c r="L32" s="13"/>
      <c r="M32" s="13" t="str">
        <f>IFERROR(__xludf.DUMMYFUNCTION("""COMPUTED_VALUE"""),"sports odds best")</f>
        <v>sports odds best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79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""&amp;$A33))"),"sports betting island luck")</f>
        <v>sports betting island luck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""&amp;$A33))"),"online sports betting island luck")</f>
        <v>online sports betting island luck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""&amp;$A33))"),"sportsbook island luck")</f>
        <v>sportsbook island luck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""&amp;$A33))"),"sports book island luck")</f>
        <v>sports book island luck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""&amp;$A33))"),"betting app island luck")</f>
        <v>betting app island luck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""&amp;$A33))"),"bet app island luck")</f>
        <v>bet app island luck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""&amp;$A33))"),"online betting island luck")</f>
        <v>online betting island luck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""&amp;$A33))"),"bet online island luck")</f>
        <v>bet online island luck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""&amp;$A33))"),"sports bets island luck")</f>
        <v>sports bets island luck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""&amp;$A33))"),"sports odds island luck")</f>
        <v>sports odds island luck</v>
      </c>
      <c r="L33" s="13"/>
      <c r="M33" s="13" t="str">
        <f>IFERROR(__xludf.DUMMYFUNCTION("""COMPUTED_VALUE"""),"sports betting top")</f>
        <v>sports betting top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83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""&amp;$A34))"),"sports betting chances")</f>
        <v>sports betting chances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""&amp;$A34))"),"online sports betting chances")</f>
        <v>online sports betting chances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""&amp;$A34))"),"sportsbook chances")</f>
        <v>sportsbook chances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""&amp;$A34))"),"sports book chances")</f>
        <v>sports book chances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""&amp;$A34))"),"betting app chances")</f>
        <v>betting app chances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""&amp;$A34))"),"bet app chances")</f>
        <v>bet app chances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""&amp;$A34))"),"online betting chances")</f>
        <v>online betting chances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""&amp;$A34))"),"bet online chances")</f>
        <v>bet online chances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""&amp;$A34))"),"sports bets chances")</f>
        <v>sports bets chances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""&amp;$A34))"),"sports odds chances")</f>
        <v>sports odds chances</v>
      </c>
      <c r="L34" s="13"/>
      <c r="M34" s="13" t="str">
        <f>IFERROR(__xludf.DUMMYFUNCTION("""COMPUTED_VALUE"""),"online sports betting top")</f>
        <v>online sports betting top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86</v>
      </c>
      <c r="B35" s="13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""&amp;$A35))"),"sports betting ultra games")</f>
        <v>sports betting ultra games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""&amp;$A35))"),"online sports betting ultra games")</f>
        <v>online sports betting ultra games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""&amp;$A35))"),"sportsbook ultra games")</f>
        <v>sportsbook ultra games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""&amp;$A35))"),"sports book ultra games")</f>
        <v>sports book ultra games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""&amp;$A35))"),"betting app ultra games")</f>
        <v>betting app ultra games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""&amp;$A35))"),"bet app ultra games")</f>
        <v>bet app ultra games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""&amp;$A35))"),"online betting ultra games")</f>
        <v>online betting ultra games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""&amp;$A35))"),"bet online ultra games")</f>
        <v>bet online ultra games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""&amp;$A35))"),"sports bets ultra games")</f>
        <v>sports bets ultra games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""&amp;$A35))"),"sports odds ultra games")</f>
        <v>sports odds ultra games</v>
      </c>
      <c r="L35" s="13"/>
      <c r="M35" s="13" t="str">
        <f>IFERROR(__xludf.DUMMYFUNCTION("""COMPUTED_VALUE"""),"sportsbook top")</f>
        <v>sportsbook top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141</v>
      </c>
      <c r="B36" s="13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""&amp;$A36))"),"sports betting nassau")</f>
        <v>sports betting nassau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""&amp;$A36))"),"online sports betting nassau")</f>
        <v>online sports betting nassau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""&amp;$A36))"),"sportsbook nassau")</f>
        <v>sportsbook nassau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""&amp;$A36))"),"sports book nassau")</f>
        <v>sports book nassau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""&amp;$A36))"),"betting app nassau")</f>
        <v>betting app nassau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""&amp;$A36))"),"bet app nassau")</f>
        <v>bet app nassau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""&amp;$A36))"),"online betting nassau")</f>
        <v>online betting nassau</v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""&amp;$A36))"),"bet online nassau")</f>
        <v>bet online nassau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""&amp;$A36))"),"sports bets nassau")</f>
        <v>sports bets nassau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""&amp;$A36))"),"sports odds nassau")</f>
        <v>sports odds nassau</v>
      </c>
      <c r="L36" s="13"/>
      <c r="M36" s="13" t="str">
        <f>IFERROR(__xludf.DUMMYFUNCTION("""COMPUTED_VALUE"""),"sports book top")</f>
        <v>sports book top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147</v>
      </c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""&amp;$A37))"),"sports betting freeport")</f>
        <v>sports betting freeport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""&amp;$A37))"),"online sports betting freeport")</f>
        <v>online sports betting freeport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""&amp;$A37))"),"sportsbook freeport")</f>
        <v>sportsbook freeport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""&amp;$A37))"),"sports book freeport")</f>
        <v>sports book freeport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""&amp;$A37))"),"betting app freeport")</f>
        <v>betting app freeport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""&amp;$A37))"),"bet app freeport")</f>
        <v>bet app freeport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""&amp;$A37))"),"online betting freeport")</f>
        <v>online betting freeport</v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""&amp;$A37))"),"bet online freeport")</f>
        <v>bet online freeport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""&amp;$A37))"),"sports bets freeport")</f>
        <v>sports bets freeport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""&amp;$A37))"),"sports odds freeport")</f>
        <v>sports odds freeport</v>
      </c>
      <c r="L37" s="13"/>
      <c r="M37" s="13" t="str">
        <f>IFERROR(__xludf.DUMMYFUNCTION("""COMPUTED_VALUE"""),"betting app top")</f>
        <v>betting app top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 t="str">
        <f>IFERROR(__xludf.DUMMYFUNCTION("""COMPUTED_VALUE"""),"bet app top")</f>
        <v>bet app top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IFERROR(__xludf.DUMMYFUNCTION("""COMPUTED_VALUE"""),"online betting top")</f>
        <v>online betting top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IFERROR(__xludf.DUMMYFUNCTION("""COMPUTED_VALUE"""),"bet online top")</f>
        <v>bet online top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IFERROR(__xludf.DUMMYFUNCTION("""COMPUTED_VALUE"""),"sports bets top")</f>
        <v>sports bets top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IFERROR(__xludf.DUMMYFUNCTION("""COMPUTED_VALUE"""),"sports odds top")</f>
        <v>sports odds top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IFERROR(__xludf.DUMMYFUNCTION("""COMPUTED_VALUE"""),"sports betting trusted")</f>
        <v>sports betting trusted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IFERROR(__xludf.DUMMYFUNCTION("""COMPUTED_VALUE"""),"online sports betting trusted")</f>
        <v>online sports betting trusted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IFERROR(__xludf.DUMMYFUNCTION("""COMPUTED_VALUE"""),"sportsbook trusted")</f>
        <v>sportsbook trusted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IFERROR(__xludf.DUMMYFUNCTION("""COMPUTED_VALUE"""),"sports book trusted")</f>
        <v>sports book trusted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IFERROR(__xludf.DUMMYFUNCTION("""COMPUTED_VALUE"""),"betting app trusted")</f>
        <v>betting app trusted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IFERROR(__xludf.DUMMYFUNCTION("""COMPUTED_VALUE"""),"bet app trusted")</f>
        <v>bet app trusted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IFERROR(__xludf.DUMMYFUNCTION("""COMPUTED_VALUE"""),"online betting trusted")</f>
        <v>online betting trusted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IFERROR(__xludf.DUMMYFUNCTION("""COMPUTED_VALUE"""),"bet online trusted")</f>
        <v>bet online trusted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IFERROR(__xludf.DUMMYFUNCTION("""COMPUTED_VALUE"""),"sports bets trusted")</f>
        <v>sports bets trusted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IFERROR(__xludf.DUMMYFUNCTION("""COMPUTED_VALUE"""),"sports odds trusted")</f>
        <v>sports odds trusted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IFERROR(__xludf.DUMMYFUNCTION("""COMPUTED_VALUE"""),"sports betting safe")</f>
        <v>sports betting safe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IFERROR(__xludf.DUMMYFUNCTION("""COMPUTED_VALUE"""),"online sports betting safe")</f>
        <v>online sports betting safe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IFERROR(__xludf.DUMMYFUNCTION("""COMPUTED_VALUE"""),"sportsbook safe")</f>
        <v>sportsbook safe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IFERROR(__xludf.DUMMYFUNCTION("""COMPUTED_VALUE"""),"sports book safe")</f>
        <v>sports book safe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IFERROR(__xludf.DUMMYFUNCTION("""COMPUTED_VALUE"""),"betting app safe")</f>
        <v>betting app safe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IFERROR(__xludf.DUMMYFUNCTION("""COMPUTED_VALUE"""),"bet app safe")</f>
        <v>bet app safe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IFERROR(__xludf.DUMMYFUNCTION("""COMPUTED_VALUE"""),"online betting safe")</f>
        <v>online betting safe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IFERROR(__xludf.DUMMYFUNCTION("""COMPUTED_VALUE"""),"bet online safe")</f>
        <v>bet online safe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IFERROR(__xludf.DUMMYFUNCTION("""COMPUTED_VALUE"""),"sports bets safe")</f>
        <v>sports bets safe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IFERROR(__xludf.DUMMYFUNCTION("""COMPUTED_VALUE"""),"sports odds safe")</f>
        <v>sports odds safe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IFERROR(__xludf.DUMMYFUNCTION("""COMPUTED_VALUE"""),"sports betting licensed")</f>
        <v>sports betting licensed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IFERROR(__xludf.DUMMYFUNCTION("""COMPUTED_VALUE"""),"online sports betting licensed")</f>
        <v>online sports betting licensed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IFERROR(__xludf.DUMMYFUNCTION("""COMPUTED_VALUE"""),"sportsbook licensed")</f>
        <v>sportsbook licensed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IFERROR(__xludf.DUMMYFUNCTION("""COMPUTED_VALUE"""),"sports book licensed")</f>
        <v>sports book licensed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IFERROR(__xludf.DUMMYFUNCTION("""COMPUTED_VALUE"""),"betting app licensed")</f>
        <v>betting app licensed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IFERROR(__xludf.DUMMYFUNCTION("""COMPUTED_VALUE"""),"bet app licensed")</f>
        <v>bet app licensed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IFERROR(__xludf.DUMMYFUNCTION("""COMPUTED_VALUE"""),"online betting licensed")</f>
        <v>online betting licensed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IFERROR(__xludf.DUMMYFUNCTION("""COMPUTED_VALUE"""),"bet online licensed")</f>
        <v>bet online licensed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IFERROR(__xludf.DUMMYFUNCTION("""COMPUTED_VALUE"""),"sports bets licensed")</f>
        <v>sports bets licensed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IFERROR(__xludf.DUMMYFUNCTION("""COMPUTED_VALUE"""),"sports odds licensed")</f>
        <v>sports odds licensed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IFERROR(__xludf.DUMMYFUNCTION("""COMPUTED_VALUE"""),"sports betting mobile")</f>
        <v>sports betting mobile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IFERROR(__xludf.DUMMYFUNCTION("""COMPUTED_VALUE"""),"online sports betting mobile")</f>
        <v>online sports betting mobile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IFERROR(__xludf.DUMMYFUNCTION("""COMPUTED_VALUE"""),"sportsbook mobile")</f>
        <v>sportsbook mobile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IFERROR(__xludf.DUMMYFUNCTION("""COMPUTED_VALUE"""),"sports book mobile")</f>
        <v>sports book mobile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IFERROR(__xludf.DUMMYFUNCTION("""COMPUTED_VALUE"""),"betting app mobile")</f>
        <v>betting app mobile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IFERROR(__xludf.DUMMYFUNCTION("""COMPUTED_VALUE"""),"bet app mobile")</f>
        <v>bet app mobile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IFERROR(__xludf.DUMMYFUNCTION("""COMPUTED_VALUE"""),"online betting mobile")</f>
        <v>online betting mobile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IFERROR(__xludf.DUMMYFUNCTION("""COMPUTED_VALUE"""),"bet online mobile")</f>
        <v>bet online mobile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IFERROR(__xludf.DUMMYFUNCTION("""COMPUTED_VALUE"""),"sports bets mobile")</f>
        <v>sports bets mobile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IFERROR(__xludf.DUMMYFUNCTION("""COMPUTED_VALUE"""),"sports odds mobile")</f>
        <v>sports odds mobile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IFERROR(__xludf.DUMMYFUNCTION("""COMPUTED_VALUE"""),"sports betting app")</f>
        <v>sports betting app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IFERROR(__xludf.DUMMYFUNCTION("""COMPUTED_VALUE"""),"online sports betting app")</f>
        <v>online sports betting app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IFERROR(__xludf.DUMMYFUNCTION("""COMPUTED_VALUE"""),"sportsbook app")</f>
        <v>sportsbook app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IFERROR(__xludf.DUMMYFUNCTION("""COMPUTED_VALUE"""),"sports book app")</f>
        <v>sports book app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IFERROR(__xludf.DUMMYFUNCTION("""COMPUTED_VALUE"""),"betting app")</f>
        <v>betting app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IFERROR(__xludf.DUMMYFUNCTION("""COMPUTED_VALUE"""),"bet app")</f>
        <v>bet app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IFERROR(__xludf.DUMMYFUNCTION("""COMPUTED_VALUE"""),"online betting app")</f>
        <v>online betting app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IFERROR(__xludf.DUMMYFUNCTION("""COMPUTED_VALUE"""),"bet online app")</f>
        <v>bet online app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IFERROR(__xludf.DUMMYFUNCTION("""COMPUTED_VALUE"""),"sports bets app")</f>
        <v>sports bets app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IFERROR(__xludf.DUMMYFUNCTION("""COMPUTED_VALUE"""),"sports odds app")</f>
        <v>sports odds app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IFERROR(__xludf.DUMMYFUNCTION("""COMPUTED_VALUE"""),"sports betting live odds")</f>
        <v>sports betting live odds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IFERROR(__xludf.DUMMYFUNCTION("""COMPUTED_VALUE"""),"online sports betting live odds")</f>
        <v>online sports betting live odds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IFERROR(__xludf.DUMMYFUNCTION("""COMPUTED_VALUE"""),"sportsbook live odds")</f>
        <v>sportsbook live odds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IFERROR(__xludf.DUMMYFUNCTION("""COMPUTED_VALUE"""),"sports book live odds")</f>
        <v>sports book live odds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IFERROR(__xludf.DUMMYFUNCTION("""COMPUTED_VALUE"""),"betting app live odds")</f>
        <v>betting app live odds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IFERROR(__xludf.DUMMYFUNCTION("""COMPUTED_VALUE"""),"bet app live odds")</f>
        <v>bet app live odds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IFERROR(__xludf.DUMMYFUNCTION("""COMPUTED_VALUE"""),"online betting live odds")</f>
        <v>online betting live odds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IFERROR(__xludf.DUMMYFUNCTION("""COMPUTED_VALUE"""),"bet online live odds")</f>
        <v>bet online live odds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IFERROR(__xludf.DUMMYFUNCTION("""COMPUTED_VALUE"""),"sports bets live odds")</f>
        <v>sports bets live odds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IFERROR(__xludf.DUMMYFUNCTION("""COMPUTED_VALUE"""),"sports odds live odds")</f>
        <v>sports odds live odds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IFERROR(__xludf.DUMMYFUNCTION("""COMPUTED_VALUE"""),"sports betting odds")</f>
        <v>sports betting odds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IFERROR(__xludf.DUMMYFUNCTION("""COMPUTED_VALUE"""),"online sports betting odds")</f>
        <v>online sports betting odds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IFERROR(__xludf.DUMMYFUNCTION("""COMPUTED_VALUE"""),"sportsbook odds")</f>
        <v>sportsbook odds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IFERROR(__xludf.DUMMYFUNCTION("""COMPUTED_VALUE"""),"sports book odds")</f>
        <v>sports book odds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IFERROR(__xludf.DUMMYFUNCTION("""COMPUTED_VALUE"""),"betting app odds")</f>
        <v>betting app odds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IFERROR(__xludf.DUMMYFUNCTION("""COMPUTED_VALUE"""),"bet app odds")</f>
        <v>bet app odds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IFERROR(__xludf.DUMMYFUNCTION("""COMPUTED_VALUE"""),"online betting odds")</f>
        <v>online betting odds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IFERROR(__xludf.DUMMYFUNCTION("""COMPUTED_VALUE"""),"bet online odds")</f>
        <v>bet online odds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IFERROR(__xludf.DUMMYFUNCTION("""COMPUTED_VALUE"""),"sports bets odds")</f>
        <v>sports bets odds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IFERROR(__xludf.DUMMYFUNCTION("""COMPUTED_VALUE"""),"sports odds")</f>
        <v>sports odds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IFERROR(__xludf.DUMMYFUNCTION("""COMPUTED_VALUE"""),"sports betting betting odds")</f>
        <v>sports betting betting odds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IFERROR(__xludf.DUMMYFUNCTION("""COMPUTED_VALUE"""),"online sports betting betting odds")</f>
        <v>online sports betting betting odds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IFERROR(__xludf.DUMMYFUNCTION("""COMPUTED_VALUE"""),"sportsbook betting odds")</f>
        <v>sportsbook betting odds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IFERROR(__xludf.DUMMYFUNCTION("""COMPUTED_VALUE"""),"sports book betting odds")</f>
        <v>sports book betting odds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IFERROR(__xludf.DUMMYFUNCTION("""COMPUTED_VALUE"""),"betting app betting odds")</f>
        <v>betting app betting odds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IFERROR(__xludf.DUMMYFUNCTION("""COMPUTED_VALUE"""),"bet app betting odds")</f>
        <v>bet app betting odds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IFERROR(__xludf.DUMMYFUNCTION("""COMPUTED_VALUE"""),"online betting betting odds")</f>
        <v>online betting betting odds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IFERROR(__xludf.DUMMYFUNCTION("""COMPUTED_VALUE"""),"bet online betting odds")</f>
        <v>bet online betting odds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IFERROR(__xludf.DUMMYFUNCTION("""COMPUTED_VALUE"""),"sports bets betting odds")</f>
        <v>sports bets betting odds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IFERROR(__xludf.DUMMYFUNCTION("""COMPUTED_VALUE"""),"sports odds betting odds")</f>
        <v>sports odds betting odds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IFERROR(__xludf.DUMMYFUNCTION("""COMPUTED_VALUE"""),"sports betting predictions")</f>
        <v>sports betting predictions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IFERROR(__xludf.DUMMYFUNCTION("""COMPUTED_VALUE"""),"online sports betting predictions")</f>
        <v>online sports betting predictions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IFERROR(__xludf.DUMMYFUNCTION("""COMPUTED_VALUE"""),"sportsbook predictions")</f>
        <v>sportsbook predictions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IFERROR(__xludf.DUMMYFUNCTION("""COMPUTED_VALUE"""),"sports book predictions")</f>
        <v>sports book predictions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IFERROR(__xludf.DUMMYFUNCTION("""COMPUTED_VALUE"""),"betting app predictions")</f>
        <v>betting app predictions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IFERROR(__xludf.DUMMYFUNCTION("""COMPUTED_VALUE"""),"bet app predictions")</f>
        <v>bet app predictions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IFERROR(__xludf.DUMMYFUNCTION("""COMPUTED_VALUE"""),"online betting predictions")</f>
        <v>online betting predictions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IFERROR(__xludf.DUMMYFUNCTION("""COMPUTED_VALUE"""),"bet online predictions")</f>
        <v>bet online predictions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IFERROR(__xludf.DUMMYFUNCTION("""COMPUTED_VALUE"""),"sports bets predictions")</f>
        <v>sports bets predictions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IFERROR(__xludf.DUMMYFUNCTION("""COMPUTED_VALUE"""),"sports odds predictions")</f>
        <v>sports odds predictions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IFERROR(__xludf.DUMMYFUNCTION("""COMPUTED_VALUE"""),"sports betting picks")</f>
        <v>sports betting picks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IFERROR(__xludf.DUMMYFUNCTION("""COMPUTED_VALUE"""),"online sports betting picks")</f>
        <v>online sports betting picks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IFERROR(__xludf.DUMMYFUNCTION("""COMPUTED_VALUE"""),"sportsbook picks")</f>
        <v>sportsbook picks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IFERROR(__xludf.DUMMYFUNCTION("""COMPUTED_VALUE"""),"sports book picks")</f>
        <v>sports book picks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IFERROR(__xludf.DUMMYFUNCTION("""COMPUTED_VALUE"""),"betting app picks")</f>
        <v>betting app picks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IFERROR(__xludf.DUMMYFUNCTION("""COMPUTED_VALUE"""),"bet app picks")</f>
        <v>bet app picks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IFERROR(__xludf.DUMMYFUNCTION("""COMPUTED_VALUE"""),"online betting picks")</f>
        <v>online betting picks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IFERROR(__xludf.DUMMYFUNCTION("""COMPUTED_VALUE"""),"bet online picks")</f>
        <v>bet online picks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IFERROR(__xludf.DUMMYFUNCTION("""COMPUTED_VALUE"""),"sports bets picks")</f>
        <v>sports bets picks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IFERROR(__xludf.DUMMYFUNCTION("""COMPUTED_VALUE"""),"sports odds picks")</f>
        <v>sports odds picks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IFERROR(__xludf.DUMMYFUNCTION("""COMPUTED_VALUE"""),"sports betting tips")</f>
        <v>sports betting tips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IFERROR(__xludf.DUMMYFUNCTION("""COMPUTED_VALUE"""),"online sports betting tips")</f>
        <v>online sports betting tips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IFERROR(__xludf.DUMMYFUNCTION("""COMPUTED_VALUE"""),"sportsbook tips")</f>
        <v>sportsbook tips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IFERROR(__xludf.DUMMYFUNCTION("""COMPUTED_VALUE"""),"sports book tips")</f>
        <v>sports book tips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IFERROR(__xludf.DUMMYFUNCTION("""COMPUTED_VALUE"""),"betting app tips")</f>
        <v>betting app tips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IFERROR(__xludf.DUMMYFUNCTION("""COMPUTED_VALUE"""),"bet app tips")</f>
        <v>bet app tips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IFERROR(__xludf.DUMMYFUNCTION("""COMPUTED_VALUE"""),"online betting tips")</f>
        <v>online betting tips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IFERROR(__xludf.DUMMYFUNCTION("""COMPUTED_VALUE"""),"bet online tips")</f>
        <v>bet online tips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IFERROR(__xludf.DUMMYFUNCTION("""COMPUTED_VALUE"""),"sports bets tips")</f>
        <v>sports bets tips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IFERROR(__xludf.DUMMYFUNCTION("""COMPUTED_VALUE"""),"sports odds tips")</f>
        <v>sports odds tips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IFERROR(__xludf.DUMMYFUNCTION("""COMPUTED_VALUE"""),"sports betting parlay")</f>
        <v>sports betting parlay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IFERROR(__xludf.DUMMYFUNCTION("""COMPUTED_VALUE"""),"online sports betting parlay")</f>
        <v>online sports betting parlay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IFERROR(__xludf.DUMMYFUNCTION("""COMPUTED_VALUE"""),"sportsbook parlay")</f>
        <v>sportsbook parlay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IFERROR(__xludf.DUMMYFUNCTION("""COMPUTED_VALUE"""),"sports book parlay")</f>
        <v>sports book parlay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IFERROR(__xludf.DUMMYFUNCTION("""COMPUTED_VALUE"""),"betting app parlay")</f>
        <v>betting app parlay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IFERROR(__xludf.DUMMYFUNCTION("""COMPUTED_VALUE"""),"bet app parlay")</f>
        <v>bet app parlay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IFERROR(__xludf.DUMMYFUNCTION("""COMPUTED_VALUE"""),"online betting parlay")</f>
        <v>online betting parlay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IFERROR(__xludf.DUMMYFUNCTION("""COMPUTED_VALUE"""),"bet online parlay")</f>
        <v>bet online parlay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IFERROR(__xludf.DUMMYFUNCTION("""COMPUTED_VALUE"""),"sports bets parlay")</f>
        <v>sports bets parlay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IFERROR(__xludf.DUMMYFUNCTION("""COMPUTED_VALUE"""),"sports odds parlay")</f>
        <v>sports odds parlay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IFERROR(__xludf.DUMMYFUNCTION("""COMPUTED_VALUE"""),"sports betting parlays")</f>
        <v>sports betting parlays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IFERROR(__xludf.DUMMYFUNCTION("""COMPUTED_VALUE"""),"online sports betting parlays")</f>
        <v>online sports betting parlays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IFERROR(__xludf.DUMMYFUNCTION("""COMPUTED_VALUE"""),"sportsbook parlays")</f>
        <v>sportsbook parlays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IFERROR(__xludf.DUMMYFUNCTION("""COMPUTED_VALUE"""),"sports book parlays")</f>
        <v>sports book parlays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IFERROR(__xludf.DUMMYFUNCTION("""COMPUTED_VALUE"""),"betting app parlays")</f>
        <v>betting app parlays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IFERROR(__xludf.DUMMYFUNCTION("""COMPUTED_VALUE"""),"bet app parlays")</f>
        <v>bet app parlays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IFERROR(__xludf.DUMMYFUNCTION("""COMPUTED_VALUE"""),"online betting parlays")</f>
        <v>online betting parlays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IFERROR(__xludf.DUMMYFUNCTION("""COMPUTED_VALUE"""),"bet online parlays")</f>
        <v>bet online parlays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IFERROR(__xludf.DUMMYFUNCTION("""COMPUTED_VALUE"""),"sports bets parlays")</f>
        <v>sports bets parlays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IFERROR(__xludf.DUMMYFUNCTION("""COMPUTED_VALUE"""),"sports odds parlays")</f>
        <v>sports odds parlays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IFERROR(__xludf.DUMMYFUNCTION("""COMPUTED_VALUE"""),"sports betting accumulator")</f>
        <v>sports betting accumulator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IFERROR(__xludf.DUMMYFUNCTION("""COMPUTED_VALUE"""),"online sports betting accumulator")</f>
        <v>online sports betting accumulator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IFERROR(__xludf.DUMMYFUNCTION("""COMPUTED_VALUE"""),"sportsbook accumulator")</f>
        <v>sportsbook accumulator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IFERROR(__xludf.DUMMYFUNCTION("""COMPUTED_VALUE"""),"sports book accumulator")</f>
        <v>sports book accumulator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IFERROR(__xludf.DUMMYFUNCTION("""COMPUTED_VALUE"""),"betting app accumulator")</f>
        <v>betting app accumulator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IFERROR(__xludf.DUMMYFUNCTION("""COMPUTED_VALUE"""),"bet app accumulator")</f>
        <v>bet app accumulator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IFERROR(__xludf.DUMMYFUNCTION("""COMPUTED_VALUE"""),"online betting accumulator")</f>
        <v>online betting accumulator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IFERROR(__xludf.DUMMYFUNCTION("""COMPUTED_VALUE"""),"bet online accumulator")</f>
        <v>bet online accumulator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IFERROR(__xludf.DUMMYFUNCTION("""COMPUTED_VALUE"""),"sports bets accumulator")</f>
        <v>sports bets accumulator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IFERROR(__xludf.DUMMYFUNCTION("""COMPUTED_VALUE"""),"sports odds accumulator")</f>
        <v>sports odds accumulator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IFERROR(__xludf.DUMMYFUNCTION("""COMPUTED_VALUE"""),"sports betting live betting")</f>
        <v>sports betting live betting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IFERROR(__xludf.DUMMYFUNCTION("""COMPUTED_VALUE"""),"online sports betting live betting")</f>
        <v>online sports betting live betting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IFERROR(__xludf.DUMMYFUNCTION("""COMPUTED_VALUE"""),"sportsbook live betting")</f>
        <v>sportsbook live betting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IFERROR(__xludf.DUMMYFUNCTION("""COMPUTED_VALUE"""),"sports book live betting")</f>
        <v>sports book live betting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IFERROR(__xludf.DUMMYFUNCTION("""COMPUTED_VALUE"""),"betting app live betting")</f>
        <v>betting app live betting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IFERROR(__xludf.DUMMYFUNCTION("""COMPUTED_VALUE"""),"bet app live betting")</f>
        <v>bet app live betting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IFERROR(__xludf.DUMMYFUNCTION("""COMPUTED_VALUE"""),"online betting live betting")</f>
        <v>online betting live betting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IFERROR(__xludf.DUMMYFUNCTION("""COMPUTED_VALUE"""),"bet online live betting")</f>
        <v>bet online live betting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IFERROR(__xludf.DUMMYFUNCTION("""COMPUTED_VALUE"""),"sports bets live betting")</f>
        <v>sports bets live betting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IFERROR(__xludf.DUMMYFUNCTION("""COMPUTED_VALUE"""),"sports odds live betting")</f>
        <v>sports odds live betting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IFERROR(__xludf.DUMMYFUNCTION("""COMPUTED_VALUE"""),"sports betting in play betting")</f>
        <v>sports betting in play betting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IFERROR(__xludf.DUMMYFUNCTION("""COMPUTED_VALUE"""),"online sports betting in play betting")</f>
        <v>online sports betting in play betting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IFERROR(__xludf.DUMMYFUNCTION("""COMPUTED_VALUE"""),"sportsbook in play betting")</f>
        <v>sportsbook in play betting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IFERROR(__xludf.DUMMYFUNCTION("""COMPUTED_VALUE"""),"sports book in play betting")</f>
        <v>sports book in play betting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IFERROR(__xludf.DUMMYFUNCTION("""COMPUTED_VALUE"""),"betting app in play betting")</f>
        <v>betting app in play betting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IFERROR(__xludf.DUMMYFUNCTION("""COMPUTED_VALUE"""),"bet app in play betting")</f>
        <v>bet app in play betting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IFERROR(__xludf.DUMMYFUNCTION("""COMPUTED_VALUE"""),"online betting in play betting")</f>
        <v>online betting in play betting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IFERROR(__xludf.DUMMYFUNCTION("""COMPUTED_VALUE"""),"bet online in play betting")</f>
        <v>bet online in play betting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IFERROR(__xludf.DUMMYFUNCTION("""COMPUTED_VALUE"""),"sports bets in play betting")</f>
        <v>sports bets in play betting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IFERROR(__xludf.DUMMYFUNCTION("""COMPUTED_VALUE"""),"sports odds in play betting")</f>
        <v>sports odds in play betting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IFERROR(__xludf.DUMMYFUNCTION("""COMPUTED_VALUE"""),"sports betting in-play betting")</f>
        <v>sports betting in-play betting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IFERROR(__xludf.DUMMYFUNCTION("""COMPUTED_VALUE"""),"online sports betting in-play betting")</f>
        <v>online sports betting in-play betting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IFERROR(__xludf.DUMMYFUNCTION("""COMPUTED_VALUE"""),"sportsbook in-play betting")</f>
        <v>sportsbook in-play betting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IFERROR(__xludf.DUMMYFUNCTION("""COMPUTED_VALUE"""),"sports book in-play betting")</f>
        <v>sports book in-play betting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IFERROR(__xludf.DUMMYFUNCTION("""COMPUTED_VALUE"""),"betting app in-play betting")</f>
        <v>betting app in-play betting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IFERROR(__xludf.DUMMYFUNCTION("""COMPUTED_VALUE"""),"bet app in-play betting")</f>
        <v>bet app in-play betting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IFERROR(__xludf.DUMMYFUNCTION("""COMPUTED_VALUE"""),"online betting in-play betting")</f>
        <v>online betting in-play betting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IFERROR(__xludf.DUMMYFUNCTION("""COMPUTED_VALUE"""),"bet online in-play betting")</f>
        <v>bet online in-play betting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IFERROR(__xludf.DUMMYFUNCTION("""COMPUTED_VALUE"""),"sports bets in-play betting")</f>
        <v>sports bets in-play betting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IFERROR(__xludf.DUMMYFUNCTION("""COMPUTED_VALUE"""),"sports odds in-play betting")</f>
        <v>sports odds in-play betting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IFERROR(__xludf.DUMMYFUNCTION("""COMPUTED_VALUE"""),"sports betting bet")</f>
        <v>sports betting bet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IFERROR(__xludf.DUMMYFUNCTION("""COMPUTED_VALUE"""),"online sports betting bet")</f>
        <v>online sports betting bet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IFERROR(__xludf.DUMMYFUNCTION("""COMPUTED_VALUE"""),"sportsbook bet")</f>
        <v>sportsbook bet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IFERROR(__xludf.DUMMYFUNCTION("""COMPUTED_VALUE"""),"sports book bet")</f>
        <v>sports book bet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IFERROR(__xludf.DUMMYFUNCTION("""COMPUTED_VALUE"""),"betting app bet")</f>
        <v>betting app bet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IFERROR(__xludf.DUMMYFUNCTION("""COMPUTED_VALUE"""),"bet app")</f>
        <v>bet app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IFERROR(__xludf.DUMMYFUNCTION("""COMPUTED_VALUE"""),"online betting bet")</f>
        <v>online betting bet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IFERROR(__xludf.DUMMYFUNCTION("""COMPUTED_VALUE"""),"bet online")</f>
        <v>bet online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IFERROR(__xludf.DUMMYFUNCTION("""COMPUTED_VALUE"""),"sports bets bet")</f>
        <v>sports bets bet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IFERROR(__xludf.DUMMYFUNCTION("""COMPUTED_VALUE"""),"sports odds bet")</f>
        <v>sports odds bet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IFERROR(__xludf.DUMMYFUNCTION("""COMPUTED_VALUE"""),"sports betting bets")</f>
        <v>sports betting bets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IFERROR(__xludf.DUMMYFUNCTION("""COMPUTED_VALUE"""),"online sports betting bets")</f>
        <v>online sports betting bets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IFERROR(__xludf.DUMMYFUNCTION("""COMPUTED_VALUE"""),"sportsbook bets")</f>
        <v>sportsbook bets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IFERROR(__xludf.DUMMYFUNCTION("""COMPUTED_VALUE"""),"sports book bets")</f>
        <v>sports book bets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IFERROR(__xludf.DUMMYFUNCTION("""COMPUTED_VALUE"""),"betting app bets")</f>
        <v>betting app bets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IFERROR(__xludf.DUMMYFUNCTION("""COMPUTED_VALUE"""),"bet app")</f>
        <v>bet app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IFERROR(__xludf.DUMMYFUNCTION("""COMPUTED_VALUE"""),"online betting bets")</f>
        <v>online betting bets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IFERROR(__xludf.DUMMYFUNCTION("""COMPUTED_VALUE"""),"bet online")</f>
        <v>bet online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IFERROR(__xludf.DUMMYFUNCTION("""COMPUTED_VALUE"""),"sports bets")</f>
        <v>sports bets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IFERROR(__xludf.DUMMYFUNCTION("""COMPUTED_VALUE"""),"sports odds bets")</f>
        <v>sports odds bets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IFERROR(__xludf.DUMMYFUNCTION("""COMPUTED_VALUE"""),"sports betting")</f>
        <v>sports betting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IFERROR(__xludf.DUMMYFUNCTION("""COMPUTED_VALUE"""),"online sports betting")</f>
        <v>online sports betting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IFERROR(__xludf.DUMMYFUNCTION("""COMPUTED_VALUE"""),"sportsbook betting")</f>
        <v>sportsbook betting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IFERROR(__xludf.DUMMYFUNCTION("""COMPUTED_VALUE"""),"sports book betting")</f>
        <v>sports book betting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IFERROR(__xludf.DUMMYFUNCTION("""COMPUTED_VALUE"""),"betting app")</f>
        <v>betting app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IFERROR(__xludf.DUMMYFUNCTION("""COMPUTED_VALUE"""),"bet app betting")</f>
        <v>bet app betting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IFERROR(__xludf.DUMMYFUNCTION("""COMPUTED_VALUE"""),"online betting")</f>
        <v>online betting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IFERROR(__xludf.DUMMYFUNCTION("""COMPUTED_VALUE"""),"bet online betting")</f>
        <v>bet online betting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IFERROR(__xludf.DUMMYFUNCTION("""COMPUTED_VALUE"""),"sports bets betting")</f>
        <v>sports bets betting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IFERROR(__xludf.DUMMYFUNCTION("""COMPUTED_VALUE"""),"sports odds betting")</f>
        <v>sports odds betting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IFERROR(__xludf.DUMMYFUNCTION("""COMPUTED_VALUE"""),"sports betting deposit")</f>
        <v>sports betting deposit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IFERROR(__xludf.DUMMYFUNCTION("""COMPUTED_VALUE"""),"online sports betting deposit")</f>
        <v>online sports betting deposit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IFERROR(__xludf.DUMMYFUNCTION("""COMPUTED_VALUE"""),"sportsbook deposit")</f>
        <v>sportsbook deposit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IFERROR(__xludf.DUMMYFUNCTION("""COMPUTED_VALUE"""),"sports book deposit")</f>
        <v>sports book deposit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IFERROR(__xludf.DUMMYFUNCTION("""COMPUTED_VALUE"""),"betting app deposit")</f>
        <v>betting app deposit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IFERROR(__xludf.DUMMYFUNCTION("""COMPUTED_VALUE"""),"bet app deposit")</f>
        <v>bet app deposit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IFERROR(__xludf.DUMMYFUNCTION("""COMPUTED_VALUE"""),"online betting deposit")</f>
        <v>online betting deposit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IFERROR(__xludf.DUMMYFUNCTION("""COMPUTED_VALUE"""),"bet online deposit")</f>
        <v>bet online deposit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IFERROR(__xludf.DUMMYFUNCTION("""COMPUTED_VALUE"""),"sports bets deposit")</f>
        <v>sports bets deposit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IFERROR(__xludf.DUMMYFUNCTION("""COMPUTED_VALUE"""),"sports odds deposit")</f>
        <v>sports odds deposit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IFERROR(__xludf.DUMMYFUNCTION("""COMPUTED_VALUE"""),"sports betting withdrawal")</f>
        <v>sports betting withdrawal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IFERROR(__xludf.DUMMYFUNCTION("""COMPUTED_VALUE"""),"online sports betting withdrawal")</f>
        <v>online sports betting withdrawal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IFERROR(__xludf.DUMMYFUNCTION("""COMPUTED_VALUE"""),"sportsbook withdrawal")</f>
        <v>sportsbook withdrawal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IFERROR(__xludf.DUMMYFUNCTION("""COMPUTED_VALUE"""),"sports book withdrawal")</f>
        <v>sports book withdrawal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IFERROR(__xludf.DUMMYFUNCTION("""COMPUTED_VALUE"""),"betting app withdrawal")</f>
        <v>betting app withdrawal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IFERROR(__xludf.DUMMYFUNCTION("""COMPUTED_VALUE"""),"bet app withdrawal")</f>
        <v>bet app withdrawal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IFERROR(__xludf.DUMMYFUNCTION("""COMPUTED_VALUE"""),"online betting withdrawal")</f>
        <v>online betting withdrawal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IFERROR(__xludf.DUMMYFUNCTION("""COMPUTED_VALUE"""),"bet online withdrawal")</f>
        <v>bet online withdrawal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IFERROR(__xludf.DUMMYFUNCTION("""COMPUTED_VALUE"""),"sports bets withdrawal")</f>
        <v>sports bets withdrawal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IFERROR(__xludf.DUMMYFUNCTION("""COMPUTED_VALUE"""),"sports odds withdrawal")</f>
        <v>sports odds withdrawal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IFERROR(__xludf.DUMMYFUNCTION("""COMPUTED_VALUE"""),"sports betting login")</f>
        <v>sports betting login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IFERROR(__xludf.DUMMYFUNCTION("""COMPUTED_VALUE"""),"online sports betting login")</f>
        <v>online sports betting login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IFERROR(__xludf.DUMMYFUNCTION("""COMPUTED_VALUE"""),"sportsbook login")</f>
        <v>sportsbook login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IFERROR(__xludf.DUMMYFUNCTION("""COMPUTED_VALUE"""),"sports book login")</f>
        <v>sports book login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IFERROR(__xludf.DUMMYFUNCTION("""COMPUTED_VALUE"""),"betting app login")</f>
        <v>betting app login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IFERROR(__xludf.DUMMYFUNCTION("""COMPUTED_VALUE"""),"bet app login")</f>
        <v>bet app login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IFERROR(__xludf.DUMMYFUNCTION("""COMPUTED_VALUE"""),"online betting login")</f>
        <v>online betting login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IFERROR(__xludf.DUMMYFUNCTION("""COMPUTED_VALUE"""),"bet online login")</f>
        <v>bet online login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IFERROR(__xludf.DUMMYFUNCTION("""COMPUTED_VALUE"""),"sports bets login")</f>
        <v>sports bets login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IFERROR(__xludf.DUMMYFUNCTION("""COMPUTED_VALUE"""),"sports odds login")</f>
        <v>sports odds login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IFERROR(__xludf.DUMMYFUNCTION("""COMPUTED_VALUE"""),"sports betting review")</f>
        <v>sports betting review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IFERROR(__xludf.DUMMYFUNCTION("""COMPUTED_VALUE"""),"online sports betting review")</f>
        <v>online sports betting review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IFERROR(__xludf.DUMMYFUNCTION("""COMPUTED_VALUE"""),"sportsbook review")</f>
        <v>sportsbook review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IFERROR(__xludf.DUMMYFUNCTION("""COMPUTED_VALUE"""),"sports book review")</f>
        <v>sports book review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IFERROR(__xludf.DUMMYFUNCTION("""COMPUTED_VALUE"""),"betting app review")</f>
        <v>betting app review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IFERROR(__xludf.DUMMYFUNCTION("""COMPUTED_VALUE"""),"bet app review")</f>
        <v>bet app review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IFERROR(__xludf.DUMMYFUNCTION("""COMPUTED_VALUE"""),"online betting review")</f>
        <v>online betting review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IFERROR(__xludf.DUMMYFUNCTION("""COMPUTED_VALUE"""),"bet online review")</f>
        <v>bet online review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IFERROR(__xludf.DUMMYFUNCTION("""COMPUTED_VALUE"""),"sports bets review")</f>
        <v>sports bets review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IFERROR(__xludf.DUMMYFUNCTION("""COMPUTED_VALUE"""),"sports odds review")</f>
        <v>sports odds review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IFERROR(__xludf.DUMMYFUNCTION("""COMPUTED_VALUE"""),"sports betting reviews")</f>
        <v>sports betting reviews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IFERROR(__xludf.DUMMYFUNCTION("""COMPUTED_VALUE"""),"online sports betting reviews")</f>
        <v>online sports betting reviews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IFERROR(__xludf.DUMMYFUNCTION("""COMPUTED_VALUE"""),"sportsbook reviews")</f>
        <v>sportsbook reviews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IFERROR(__xludf.DUMMYFUNCTION("""COMPUTED_VALUE"""),"sports book reviews")</f>
        <v>sports book reviews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IFERROR(__xludf.DUMMYFUNCTION("""COMPUTED_VALUE"""),"betting app reviews")</f>
        <v>betting app reviews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IFERROR(__xludf.DUMMYFUNCTION("""COMPUTED_VALUE"""),"bet app reviews")</f>
        <v>bet app reviews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IFERROR(__xludf.DUMMYFUNCTION("""COMPUTED_VALUE"""),"online betting reviews")</f>
        <v>online betting reviews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IFERROR(__xludf.DUMMYFUNCTION("""COMPUTED_VALUE"""),"bet online reviews")</f>
        <v>bet online reviews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IFERROR(__xludf.DUMMYFUNCTION("""COMPUTED_VALUE"""),"sports bets reviews")</f>
        <v>sports bets reviews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IFERROR(__xludf.DUMMYFUNCTION("""COMPUTED_VALUE"""),"sports odds reviews")</f>
        <v>sports odds reviews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IFERROR(__xludf.DUMMYFUNCTION("""COMPUTED_VALUE"""),"sports betting paradise games")</f>
        <v>sports betting paradise games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IFERROR(__xludf.DUMMYFUNCTION("""COMPUTED_VALUE"""),"online sports betting paradise games")</f>
        <v>online sports betting paradise games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IFERROR(__xludf.DUMMYFUNCTION("""COMPUTED_VALUE"""),"sportsbook paradise games")</f>
        <v>sportsbook paradise games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IFERROR(__xludf.DUMMYFUNCTION("""COMPUTED_VALUE"""),"sports book paradise games")</f>
        <v>sports book paradise games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IFERROR(__xludf.DUMMYFUNCTION("""COMPUTED_VALUE"""),"betting app paradise games")</f>
        <v>betting app paradise games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IFERROR(__xludf.DUMMYFUNCTION("""COMPUTED_VALUE"""),"bet app paradise games")</f>
        <v>bet app paradise games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IFERROR(__xludf.DUMMYFUNCTION("""COMPUTED_VALUE"""),"online betting paradise games")</f>
        <v>online betting paradise games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IFERROR(__xludf.DUMMYFUNCTION("""COMPUTED_VALUE"""),"bet online paradise games")</f>
        <v>bet online paradise games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IFERROR(__xludf.DUMMYFUNCTION("""COMPUTED_VALUE"""),"sports bets paradise games")</f>
        <v>sports bets paradise games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IFERROR(__xludf.DUMMYFUNCTION("""COMPUTED_VALUE"""),"sports odds paradise games")</f>
        <v>sports odds paradise games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IFERROR(__xludf.DUMMYFUNCTION("""COMPUTED_VALUE"""),"sports betting island luck")</f>
        <v>sports betting island luck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IFERROR(__xludf.DUMMYFUNCTION("""COMPUTED_VALUE"""),"online sports betting island luck")</f>
        <v>online sports betting island luck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IFERROR(__xludf.DUMMYFUNCTION("""COMPUTED_VALUE"""),"sportsbook island luck")</f>
        <v>sportsbook island luck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IFERROR(__xludf.DUMMYFUNCTION("""COMPUTED_VALUE"""),"sports book island luck")</f>
        <v>sports book island luck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IFERROR(__xludf.DUMMYFUNCTION("""COMPUTED_VALUE"""),"betting app island luck")</f>
        <v>betting app island luck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IFERROR(__xludf.DUMMYFUNCTION("""COMPUTED_VALUE"""),"bet app island luck")</f>
        <v>bet app island luck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IFERROR(__xludf.DUMMYFUNCTION("""COMPUTED_VALUE"""),"online betting island luck")</f>
        <v>online betting island luck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IFERROR(__xludf.DUMMYFUNCTION("""COMPUTED_VALUE"""),"bet online island luck")</f>
        <v>bet online island luck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IFERROR(__xludf.DUMMYFUNCTION("""COMPUTED_VALUE"""),"sports bets island luck")</f>
        <v>sports bets island luck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IFERROR(__xludf.DUMMYFUNCTION("""COMPUTED_VALUE"""),"sports odds island luck")</f>
        <v>sports odds island luck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IFERROR(__xludf.DUMMYFUNCTION("""COMPUTED_VALUE"""),"sports betting chances")</f>
        <v>sports betting chances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IFERROR(__xludf.DUMMYFUNCTION("""COMPUTED_VALUE"""),"online sports betting chances")</f>
        <v>online sports betting chances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IFERROR(__xludf.DUMMYFUNCTION("""COMPUTED_VALUE"""),"sportsbook chances")</f>
        <v>sportsbook chances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IFERROR(__xludf.DUMMYFUNCTION("""COMPUTED_VALUE"""),"sports book chances")</f>
        <v>sports book chances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IFERROR(__xludf.DUMMYFUNCTION("""COMPUTED_VALUE"""),"betting app chances")</f>
        <v>betting app chances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IFERROR(__xludf.DUMMYFUNCTION("""COMPUTED_VALUE"""),"bet app chances")</f>
        <v>bet app chances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IFERROR(__xludf.DUMMYFUNCTION("""COMPUTED_VALUE"""),"online betting chances")</f>
        <v>online betting chances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IFERROR(__xludf.DUMMYFUNCTION("""COMPUTED_VALUE"""),"bet online chances")</f>
        <v>bet online chances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IFERROR(__xludf.DUMMYFUNCTION("""COMPUTED_VALUE"""),"sports bets chances")</f>
        <v>sports bets chances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IFERROR(__xludf.DUMMYFUNCTION("""COMPUTED_VALUE"""),"sports odds chances")</f>
        <v>sports odds chances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IFERROR(__xludf.DUMMYFUNCTION("""COMPUTED_VALUE"""),"sports betting ultra games")</f>
        <v>sports betting ultra games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IFERROR(__xludf.DUMMYFUNCTION("""COMPUTED_VALUE"""),"online sports betting ultra games")</f>
        <v>online sports betting ultra games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IFERROR(__xludf.DUMMYFUNCTION("""COMPUTED_VALUE"""),"sportsbook ultra games")</f>
        <v>sportsbook ultra games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IFERROR(__xludf.DUMMYFUNCTION("""COMPUTED_VALUE"""),"sports book ultra games")</f>
        <v>sports book ultra games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IFERROR(__xludf.DUMMYFUNCTION("""COMPUTED_VALUE"""),"betting app ultra games")</f>
        <v>betting app ultra games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IFERROR(__xludf.DUMMYFUNCTION("""COMPUTED_VALUE"""),"bet app ultra games")</f>
        <v>bet app ultra games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IFERROR(__xludf.DUMMYFUNCTION("""COMPUTED_VALUE"""),"online betting ultra games")</f>
        <v>online betting ultra games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IFERROR(__xludf.DUMMYFUNCTION("""COMPUTED_VALUE"""),"bet online ultra games")</f>
        <v>bet online ultra games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IFERROR(__xludf.DUMMYFUNCTION("""COMPUTED_VALUE"""),"sports bets ultra games")</f>
        <v>sports bets ultra games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IFERROR(__xludf.DUMMYFUNCTION("""COMPUTED_VALUE"""),"sports odds ultra games")</f>
        <v>sports odds ultra games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IFERROR(__xludf.DUMMYFUNCTION("""COMPUTED_VALUE"""),"sports betting nassau")</f>
        <v>sports betting nassau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IFERROR(__xludf.DUMMYFUNCTION("""COMPUTED_VALUE"""),"online sports betting nassau")</f>
        <v>online sports betting nassau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IFERROR(__xludf.DUMMYFUNCTION("""COMPUTED_VALUE"""),"sportsbook nassau")</f>
        <v>sportsbook nassau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IFERROR(__xludf.DUMMYFUNCTION("""COMPUTED_VALUE"""),"sports book nassau")</f>
        <v>sports book nassau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IFERROR(__xludf.DUMMYFUNCTION("""COMPUTED_VALUE"""),"betting app nassau")</f>
        <v>betting app nassau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IFERROR(__xludf.DUMMYFUNCTION("""COMPUTED_VALUE"""),"bet app nassau")</f>
        <v>bet app nassau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IFERROR(__xludf.DUMMYFUNCTION("""COMPUTED_VALUE"""),"online betting nassau")</f>
        <v>online betting nassau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IFERROR(__xludf.DUMMYFUNCTION("""COMPUTED_VALUE"""),"bet online nassau")</f>
        <v>bet online nassau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IFERROR(__xludf.DUMMYFUNCTION("""COMPUTED_VALUE"""),"sports bets nassau")</f>
        <v>sports bets nassau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IFERROR(__xludf.DUMMYFUNCTION("""COMPUTED_VALUE"""),"sports odds nassau")</f>
        <v>sports odds nassau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IFERROR(__xludf.DUMMYFUNCTION("""COMPUTED_VALUE"""),"sports betting freeport")</f>
        <v>sports betting freeport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IFERROR(__xludf.DUMMYFUNCTION("""COMPUTED_VALUE"""),"online sports betting freeport")</f>
        <v>online sports betting freeport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IFERROR(__xludf.DUMMYFUNCTION("""COMPUTED_VALUE"""),"sportsbook freeport")</f>
        <v>sportsbook freeport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IFERROR(__xludf.DUMMYFUNCTION("""COMPUTED_VALUE"""),"sports book freeport")</f>
        <v>sports book freeport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IFERROR(__xludf.DUMMYFUNCTION("""COMPUTED_VALUE"""),"betting app freeport")</f>
        <v>betting app freeport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IFERROR(__xludf.DUMMYFUNCTION("""COMPUTED_VALUE"""),"bet app freeport")</f>
        <v>bet app freeport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IFERROR(__xludf.DUMMYFUNCTION("""COMPUTED_VALUE"""),"online betting freeport")</f>
        <v>online betting freeport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IFERROR(__xludf.DUMMYFUNCTION("""COMPUTED_VALUE"""),"bet online freeport")</f>
        <v>bet online freeport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IFERROR(__xludf.DUMMYFUNCTION("""COMPUTED_VALUE"""),"sports bets freeport")</f>
        <v>sports bets freeport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IFERROR(__xludf.DUMMYFUNCTION("""COMPUTED_VALUE"""),"sports odds freeport")</f>
        <v>sports odds freeport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IFERROR(__xludf.DUMMYFUNCTION("""COMPUTED_VALUE"""),"sports betting")</f>
        <v>sports betting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IFERROR(__xludf.DUMMYFUNCTION("""COMPUTED_VALUE"""),"online sports betting")</f>
        <v>online sports betting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IFERROR(__xludf.DUMMYFUNCTION("""COMPUTED_VALUE"""),"sportsbook")</f>
        <v>sportsbook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IFERROR(__xludf.DUMMYFUNCTION("""COMPUTED_VALUE"""),"sports book")</f>
        <v>sports book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IFERROR(__xludf.DUMMYFUNCTION("""COMPUTED_VALUE"""),"betting app")</f>
        <v>betting app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IFERROR(__xludf.DUMMYFUNCTION("""COMPUTED_VALUE"""),"bet app")</f>
        <v>bet app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IFERROR(__xludf.DUMMYFUNCTION("""COMPUTED_VALUE"""),"online betting")</f>
        <v>online betting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IFERROR(__xludf.DUMMYFUNCTION("""COMPUTED_VALUE"""),"bet online")</f>
        <v>bet online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IFERROR(__xludf.DUMMYFUNCTION("""COMPUTED_VALUE"""),"sports bets")</f>
        <v>sports bets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IFERROR(__xludf.DUMMYFUNCTION("""COMPUTED_VALUE"""),"sports odds")</f>
        <v>sports odds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0" width="18.0"/>
  </cols>
  <sheetData>
    <row r="1">
      <c r="A1" s="1"/>
      <c r="B1" s="2" t="s">
        <v>179</v>
      </c>
      <c r="C1" s="2" t="s">
        <v>180</v>
      </c>
      <c r="D1" s="2" t="s">
        <v>181</v>
      </c>
      <c r="E1" s="21" t="s">
        <v>182</v>
      </c>
      <c r="F1" s="2" t="s">
        <v>183</v>
      </c>
      <c r="G1" s="2" t="s">
        <v>184</v>
      </c>
      <c r="H1" s="2" t="s">
        <v>185</v>
      </c>
      <c r="I1" s="2" t="s">
        <v>186</v>
      </c>
      <c r="J1" s="2" t="s">
        <v>187</v>
      </c>
      <c r="K1" s="22" t="s">
        <v>188</v>
      </c>
      <c r="L1" s="1"/>
      <c r="M1" s="23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""&amp;$A3))"),"nba betting bahamas")</f>
        <v>nba betting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""&amp;$A3))"),"nba bets bahamas")</f>
        <v>nba bets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""&amp;$A3))"),"nba bet bahamas")</f>
        <v>nba bet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""&amp;$A3))"),"nba odds bahamas")</f>
        <v>nba odds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""&amp;$A3))"),"nba betting odds bahamas")</f>
        <v>nba betting odds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""&amp;$A3))"),"nba scores bahamas")</f>
        <v>nba scores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""&amp;$A3))"),"nba score bahamas")</f>
        <v>nba score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""&amp;$A3))"),"nba predictions bahamas")</f>
        <v>nba predictions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""&amp;$A3))"),"nba picks bahamas")</f>
        <v>nba picks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""&amp;$A3))"),"nba schedule bahamas")</f>
        <v>nba schedule bahamas</v>
      </c>
      <c r="L3" s="13"/>
      <c r="M3" s="13" t="str">
        <f>IFERROR(__xludf.DUMMYFUNCTION("FLATTEN(B3:K38,B1:K1)"),"nba betting bahamas")</f>
        <v>nba betting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46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""&amp;$A4))"),"nba betting today")</f>
        <v>nba betting today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""&amp;$A4))"),"nba bets today")</f>
        <v>nba bets today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""&amp;$A4))"),"nba bet today")</f>
        <v>nba bet today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""&amp;$A4))"),"nba odds today")</f>
        <v>nba odds today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""&amp;$A4))"),"nba betting odds today")</f>
        <v>nba betting odds today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""&amp;$A4))"),"nba scores today")</f>
        <v>nba scores today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""&amp;$A4))"),"nba score today")</f>
        <v>nba score today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""&amp;$A4))"),"nba predictions today")</f>
        <v>nba predictions today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""&amp;$A4))"),"nba picks today")</f>
        <v>nba picks today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""&amp;$A4))"),"nba schedule today")</f>
        <v>nba schedule today</v>
      </c>
      <c r="L4" s="13"/>
      <c r="M4" s="13" t="str">
        <f>IFERROR(__xludf.DUMMYFUNCTION("""COMPUTED_VALUE"""),"nba bets bahamas")</f>
        <v>nba bets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49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""&amp;$A5))"),"nba betting tonight")</f>
        <v>nba betting tonight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""&amp;$A5))"),"nba bets tonight")</f>
        <v>nba bets tonight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""&amp;$A5))"),"nba bet tonight")</f>
        <v>nba bet tonight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""&amp;$A5))"),"nba odds tonight")</f>
        <v>nba odds tonight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""&amp;$A5))"),"nba betting odds tonight")</f>
        <v>nba betting odds tonight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""&amp;$A5))"),"nba scores tonight")</f>
        <v>nba scores tonight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""&amp;$A5))"),"nba score tonight")</f>
        <v>nba score tonight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""&amp;$A5))"),"nba predictions tonight")</f>
        <v>nba predictions tonight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""&amp;$A5))"),"nba picks tonight")</f>
        <v>nba picks tonight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""&amp;$A5))"),"nba schedule tonight")</f>
        <v>nba schedule tonight</v>
      </c>
      <c r="L5" s="13"/>
      <c r="M5" s="13" t="str">
        <f>IFERROR(__xludf.DUMMYFUNCTION("""COMPUTED_VALUE"""),"nba bet bahamas")</f>
        <v>nba bet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68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""&amp;$A6))"),"nba betting live")</f>
        <v>nba betting live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""&amp;$A6))"),"nba bets live")</f>
        <v>nba bets live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""&amp;$A6))"),"nba bet live")</f>
        <v>nba bet live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""&amp;$A6))"),"nba odds live")</f>
        <v>nba odds live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""&amp;$A6))"),"nba betting odds live")</f>
        <v>nba betting odds live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""&amp;$A6))"),"nba scores live")</f>
        <v>nba scores live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""&amp;$A6))"),"nba score live")</f>
        <v>nba score live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""&amp;$A6))"),"nba predictions live")</f>
        <v>nba predictions live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""&amp;$A6))"),"nba picks live")</f>
        <v>nba picks live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""&amp;$A6))"),"nba schedule live")</f>
        <v>nba schedule live</v>
      </c>
      <c r="L6" s="13"/>
      <c r="M6" s="13" t="str">
        <f>IFERROR(__xludf.DUMMYFUNCTION("""COMPUTED_VALUE"""),"nba odds bahamas")</f>
        <v>nba odds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199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""&amp;$A7))"),"nba betting games")</f>
        <v>nba betting games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""&amp;$A7))"),"nba bets games")</f>
        <v>nba bets games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""&amp;$A7))"),"nba bet games")</f>
        <v>nba bet games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""&amp;$A7))"),"nba odds games")</f>
        <v>nba odds games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""&amp;$A7))"),"nba betting odds games")</f>
        <v>nba betting odds games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""&amp;$A7))"),"nba scores games")</f>
        <v>nba scores games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""&amp;$A7))"),"nba score games")</f>
        <v>nba score games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""&amp;$A7))"),"nba predictions games")</f>
        <v>nba predictions games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""&amp;$A7))"),"nba picks games")</f>
        <v>nba picks games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""&amp;$A7))"),"nba schedule games")</f>
        <v>nba schedule games</v>
      </c>
      <c r="L7" s="13"/>
      <c r="M7" s="13" t="str">
        <f>IFERROR(__xludf.DUMMYFUNCTION("""COMPUTED_VALUE"""),"nba betting odds bahamas")</f>
        <v>nba betting odds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200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""&amp;$A8))"),"nba betting schedule")</f>
        <v>nba betting schedule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""&amp;$A8))"),"nba bets schedule")</f>
        <v>nba bets schedule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""&amp;$A8))"),"nba bet schedule")</f>
        <v>nba bet schedule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""&amp;$A8))"),"nba odds schedule")</f>
        <v>nba odds schedule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""&amp;$A8))"),"nba betting odds schedule")</f>
        <v>nba betting odds schedule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""&amp;$A8))"),"nba scores schedule")</f>
        <v>nba scores schedule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""&amp;$A8))"),"nba score schedule")</f>
        <v>nba score schedule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""&amp;$A8))"),"nba predictions schedule")</f>
        <v>nba predictions schedule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""&amp;$A8))"),"nba picks schedule")</f>
        <v>nba picks schedule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""&amp;$A8))"),"nba schedule")</f>
        <v>nba schedule</v>
      </c>
      <c r="L8" s="13"/>
      <c r="M8" s="13" t="str">
        <f>IFERROR(__xludf.DUMMYFUNCTION("""COMPUTED_VALUE"""),"nba scores bahamas")</f>
        <v>nba scores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201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""&amp;$A9))"),"nba betting scores")</f>
        <v>nba betting scores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""&amp;$A9))"),"nba bets scores")</f>
        <v>nba bets scores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""&amp;$A9))"),"nba bet scores")</f>
        <v>nba bet scores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""&amp;$A9))"),"nba odds scores")</f>
        <v>nba odds scores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""&amp;$A9))"),"nba betting odds scores")</f>
        <v>nba betting odds scores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""&amp;$A9))"),"nba scores")</f>
        <v>nba scores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""&amp;$A9))"),"nba score")</f>
        <v>nba score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""&amp;$A9))"),"nba predictions scores")</f>
        <v>nba predictions scores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""&amp;$A9))"),"nba picks scores")</f>
        <v>nba picks scores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""&amp;$A9))"),"nba schedule scores")</f>
        <v>nba schedule scores</v>
      </c>
      <c r="L9" s="13"/>
      <c r="M9" s="13" t="str">
        <f>IFERROR(__xludf.DUMMYFUNCTION("""COMPUTED_VALUE"""),"nba score bahamas")</f>
        <v>nba score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67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""&amp;$A10))"),"nba betting odds")</f>
        <v>nba betting odds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""&amp;$A10))"),"nba bets odds")</f>
        <v>nba bets odds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""&amp;$A10))"),"nba bet odds")</f>
        <v>nba bet odds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""&amp;$A10))"),"nba odds")</f>
        <v>nba odds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""&amp;$A10))"),"nba betting odds")</f>
        <v>nba betting odds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""&amp;$A10))"),"nba scores odds")</f>
        <v>nba scores odds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""&amp;$A10))"),"nba score odds")</f>
        <v>nba score odds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""&amp;$A10))"),"nba predictions odds")</f>
        <v>nba predictions odds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""&amp;$A10))"),"nba picks odds")</f>
        <v>nba picks odds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""&amp;$A10))"),"nba schedule odds")</f>
        <v>nba schedule odds</v>
      </c>
      <c r="L10" s="13"/>
      <c r="M10" s="13" t="str">
        <f>IFERROR(__xludf.DUMMYFUNCTION("""COMPUTED_VALUE"""),"nba predictions bahamas")</f>
        <v>nba predictions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202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""&amp;$A11))"),"nba betting spreads")</f>
        <v>nba betting spreads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""&amp;$A11))"),"nba bets spreads")</f>
        <v>nba bets spreads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""&amp;$A11))"),"nba bet spreads")</f>
        <v>nba bet spreads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""&amp;$A11))"),"nba odds spreads")</f>
        <v>nba odds spreads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""&amp;$A11))"),"nba betting odds spreads")</f>
        <v>nba betting odds spreads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""&amp;$A11))"),"nba scores spreads")</f>
        <v>nba scores spreads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""&amp;$A11))"),"nba score spreads")</f>
        <v>nba score spreads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""&amp;$A11))"),"nba predictions spreads")</f>
        <v>nba predictions spreads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""&amp;$A11))"),"nba picks spreads")</f>
        <v>nba picks spreads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""&amp;$A11))"),"nba schedule spreads")</f>
        <v>nba schedule spreads</v>
      </c>
      <c r="L11" s="13"/>
      <c r="M11" s="13" t="str">
        <f>IFERROR(__xludf.DUMMYFUNCTION("""COMPUTED_VALUE"""),"nba picks bahamas")</f>
        <v>nba picks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203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""&amp;$A12))"),"nba betting point spread")</f>
        <v>nba betting point spread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""&amp;$A12))"),"nba bets point spread")</f>
        <v>nba bets point spread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""&amp;$A12))"),"nba bet point spread")</f>
        <v>nba bet point spread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""&amp;$A12))"),"nba odds point spread")</f>
        <v>nba odds point spread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""&amp;$A12))"),"nba betting odds point spread")</f>
        <v>nba betting odds point spread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""&amp;$A12))"),"nba scores point spread")</f>
        <v>nba scores point spread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""&amp;$A12))"),"nba score point spread")</f>
        <v>nba score point spread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""&amp;$A12))"),"nba predictions point spread")</f>
        <v>nba predictions point spread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""&amp;$A12))"),"nba picks point spread")</f>
        <v>nba picks point spread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""&amp;$A12))"),"nba schedule point spread")</f>
        <v>nba schedule point spread</v>
      </c>
      <c r="L12" s="13"/>
      <c r="M12" s="13" t="str">
        <f>IFERROR(__xludf.DUMMYFUNCTION("""COMPUTED_VALUE"""),"nba schedule bahamas")</f>
        <v>nba schedule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204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""&amp;$A13))"),"nba betting moneyline")</f>
        <v>nba betting moneyline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""&amp;$A13))"),"nba bets moneyline")</f>
        <v>nba bets moneyline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""&amp;$A13))"),"nba bet moneyline")</f>
        <v>nba bet moneyline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""&amp;$A13))"),"nba odds moneyline")</f>
        <v>nba odds moneyline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""&amp;$A13))"),"nba betting odds moneyline")</f>
        <v>nba betting odds moneyline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""&amp;$A13))"),"nba scores moneyline")</f>
        <v>nba scores moneyline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""&amp;$A13))"),"nba score moneyline")</f>
        <v>nba score moneyline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""&amp;$A13))"),"nba predictions moneyline")</f>
        <v>nba predictions moneyline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""&amp;$A13))"),"nba picks moneyline")</f>
        <v>nba picks moneyline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""&amp;$A13))"),"nba schedule moneyline")</f>
        <v>nba schedule moneyline</v>
      </c>
      <c r="L13" s="13"/>
      <c r="M13" s="13" t="str">
        <f>IFERROR(__xludf.DUMMYFUNCTION("""COMPUTED_VALUE"""),"nba betting today")</f>
        <v>nba betting today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205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""&amp;$A14))"),"nba betting over under")</f>
        <v>nba betting over under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""&amp;$A14))"),"nba bets over under")</f>
        <v>nba bets over under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""&amp;$A14))"),"nba bet over under")</f>
        <v>nba bet over under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""&amp;$A14))"),"nba odds over under")</f>
        <v>nba odds over under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""&amp;$A14))"),"nba betting odds over under")</f>
        <v>nba betting odds over under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""&amp;$A14))"),"nba scores over under")</f>
        <v>nba scores over under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""&amp;$A14))"),"nba score over under")</f>
        <v>nba score over under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""&amp;$A14))"),"nba predictions over under")</f>
        <v>nba predictions over under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""&amp;$A14))"),"nba picks over under")</f>
        <v>nba picks over under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""&amp;$A14))"),"nba schedule over under")</f>
        <v>nba schedule over under</v>
      </c>
      <c r="L14" s="13"/>
      <c r="M14" s="13" t="str">
        <f>IFERROR(__xludf.DUMMYFUNCTION("""COMPUTED_VALUE"""),"nba bets today")</f>
        <v>nba bets today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206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""&amp;$A15))"),"nba betting props")</f>
        <v>nba betting props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""&amp;$A15))"),"nba bets props")</f>
        <v>nba bets props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""&amp;$A15))"),"nba bet props")</f>
        <v>nba bet props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""&amp;$A15))"),"nba odds props")</f>
        <v>nba odds props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""&amp;$A15))"),"nba betting odds props")</f>
        <v>nba betting odds props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""&amp;$A15))"),"nba scores props")</f>
        <v>nba scores props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""&amp;$A15))"),"nba score props")</f>
        <v>nba score props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""&amp;$A15))"),"nba predictions props")</f>
        <v>nba predictions props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""&amp;$A15))"),"nba picks props")</f>
        <v>nba picks props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""&amp;$A15))"),"nba schedule props")</f>
        <v>nba schedule props</v>
      </c>
      <c r="L15" s="13"/>
      <c r="M15" s="13" t="str">
        <f>IFERROR(__xludf.DUMMYFUNCTION("""COMPUTED_VALUE"""),"nba bet today")</f>
        <v>nba bet today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207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""&amp;$A16))"),"nba betting player props")</f>
        <v>nba betting player props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""&amp;$A16))"),"nba bets player props")</f>
        <v>nba bets player props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""&amp;$A16))"),"nba bet player props")</f>
        <v>nba bet player props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""&amp;$A16))"),"nba odds player props")</f>
        <v>nba odds player props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""&amp;$A16))"),"nba betting odds player props")</f>
        <v>nba betting odds player props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""&amp;$A16))"),"nba scores player props")</f>
        <v>nba scores player props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""&amp;$A16))"),"nba score player props")</f>
        <v>nba score player props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""&amp;$A16))"),"nba predictions player props")</f>
        <v>nba predictions player props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""&amp;$A16))"),"nba picks player props")</f>
        <v>nba picks player props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""&amp;$A16))"),"nba schedule player props")</f>
        <v>nba schedule player props</v>
      </c>
      <c r="L16" s="13"/>
      <c r="M16" s="13" t="str">
        <f>IFERROR(__xludf.DUMMYFUNCTION("""COMPUTED_VALUE"""),"nba odds today")</f>
        <v>nba odds today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208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""&amp;$A17))"),"nba betting injury report")</f>
        <v>nba betting injury report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""&amp;$A17))"),"nba bets injury report")</f>
        <v>nba bets injury report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""&amp;$A17))"),"nba bet injury report")</f>
        <v>nba bet injury report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""&amp;$A17))"),"nba odds injury report")</f>
        <v>nba odds injury report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""&amp;$A17))"),"nba betting odds injury report")</f>
        <v>nba betting odds injury report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""&amp;$A17))"),"nba scores injury report")</f>
        <v>nba scores injury report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""&amp;$A17))"),"nba score injury report")</f>
        <v>nba score injury report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""&amp;$A17))"),"nba predictions injury report")</f>
        <v>nba predictions injury report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""&amp;$A17))"),"nba picks injury report")</f>
        <v>nba picks injury report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""&amp;$A17))"),"nba schedule injury report")</f>
        <v>nba schedule injury report</v>
      </c>
      <c r="L17" s="13"/>
      <c r="M17" s="13" t="str">
        <f>IFERROR(__xludf.DUMMYFUNCTION("""COMPUTED_VALUE"""),"nba betting odds today")</f>
        <v>nba betting odds today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209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""&amp;$A18))"),"nba betting standings")</f>
        <v>nba betting standings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""&amp;$A18))"),"nba bets standings")</f>
        <v>nba bets standings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""&amp;$A18))"),"nba bet standings")</f>
        <v>nba bet standings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""&amp;$A18))"),"nba odds standings")</f>
        <v>nba odds standings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""&amp;$A18))"),"nba betting odds standings")</f>
        <v>nba betting odds standings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""&amp;$A18))"),"nba scores standings")</f>
        <v>nba scores standings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""&amp;$A18))"),"nba score standings")</f>
        <v>nba score standings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""&amp;$A18))"),"nba predictions standings")</f>
        <v>nba predictions standings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""&amp;$A18))"),"nba picks standings")</f>
        <v>nba picks standings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""&amp;$A18))"),"nba schedule standings")</f>
        <v>nba schedule standings</v>
      </c>
      <c r="L18" s="13"/>
      <c r="M18" s="13" t="str">
        <f>IFERROR(__xludf.DUMMYFUNCTION("""COMPUTED_VALUE"""),"nba scores today")</f>
        <v>nba scores today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210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""&amp;$A19))"),"nba betting playoffs")</f>
        <v>nba betting playoffs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""&amp;$A19))"),"nba bets playoffs")</f>
        <v>nba bets playoffs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""&amp;$A19))"),"nba bet playoffs")</f>
        <v>nba bet playoffs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""&amp;$A19))"),"nba odds playoffs")</f>
        <v>nba odds playoffs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""&amp;$A19))"),"nba betting odds playoffs")</f>
        <v>nba betting odds playoffs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""&amp;$A19))"),"nba scores playoffs")</f>
        <v>nba scores playoffs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""&amp;$A19))"),"nba score playoffs")</f>
        <v>nba score playoffs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""&amp;$A19))"),"nba predictions playoffs")</f>
        <v>nba predictions playoffs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""&amp;$A19))"),"nba picks playoffs")</f>
        <v>nba picks playoffs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""&amp;$A19))"),"nba schedule playoffs")</f>
        <v>nba schedule playoffs</v>
      </c>
      <c r="L19" s="13"/>
      <c r="M19" s="13" t="str">
        <f>IFERROR(__xludf.DUMMYFUNCTION("""COMPUTED_VALUE"""),"nba score today")</f>
        <v>nba score today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212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""&amp;$A20))"),"nba betting finals")</f>
        <v>nba betting finals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""&amp;$A20))"),"nba bets finals")</f>
        <v>nba bets finals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""&amp;$A20))"),"nba bet finals")</f>
        <v>nba bet finals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""&amp;$A20))"),"nba odds finals")</f>
        <v>nba odds finals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""&amp;$A20))"),"nba betting odds finals")</f>
        <v>nba betting odds finals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""&amp;$A20))"),"nba scores finals")</f>
        <v>nba scores finals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""&amp;$A20))"),"nba score finals")</f>
        <v>nba score finals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""&amp;$A20))"),"nba predictions finals")</f>
        <v>nba predictions finals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""&amp;$A20))"),"nba picks finals")</f>
        <v>nba picks finals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""&amp;$A20))"),"nba schedule finals")</f>
        <v>nba schedule finals</v>
      </c>
      <c r="L20" s="13"/>
      <c r="M20" s="13" t="str">
        <f>IFERROR(__xludf.DUMMYFUNCTION("""COMPUTED_VALUE"""),"nba predictions today")</f>
        <v>nba predictions today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149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""&amp;$A21))"),"nba betting parlay")</f>
        <v>nba betting parlay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""&amp;$A21))"),"nba bets parlay")</f>
        <v>nba bets parlay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""&amp;$A21))"),"nba bet parlay")</f>
        <v>nba bet parlay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""&amp;$A21))"),"nba odds parlay")</f>
        <v>nba odds parlay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""&amp;$A21))"),"nba betting odds parlay")</f>
        <v>nba betting odds parlay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""&amp;$A21))"),"nba scores parlay")</f>
        <v>nba scores parlay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""&amp;$A21))"),"nba score parlay")</f>
        <v>nba score parlay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""&amp;$A21))"),"nba predictions parlay")</f>
        <v>nba predictions parlay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""&amp;$A21))"),"nba picks parlay")</f>
        <v>nba picks parlay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""&amp;$A21))"),"nba schedule parlay")</f>
        <v>nba schedule parlay</v>
      </c>
      <c r="L21" s="13"/>
      <c r="M21" s="13" t="str">
        <f>IFERROR(__xludf.DUMMYFUNCTION("""COMPUTED_VALUE"""),"nba picks today")</f>
        <v>nba picks today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154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""&amp;$A22))"),"nba betting parlays")</f>
        <v>nba betting parlays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""&amp;$A22))"),"nba bets parlays")</f>
        <v>nba bets parlays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""&amp;$A22))"),"nba bet parlays")</f>
        <v>nba bet parlays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""&amp;$A22))"),"nba odds parlays")</f>
        <v>nba odds parlays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""&amp;$A22))"),"nba betting odds parlays")</f>
        <v>nba betting odds parlays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""&amp;$A22))"),"nba scores parlays")</f>
        <v>nba scores parlays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""&amp;$A22))"),"nba score parlays")</f>
        <v>nba score parlays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""&amp;$A22))"),"nba predictions parlays")</f>
        <v>nba predictions parlays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""&amp;$A22))"),"nba picks parlays")</f>
        <v>nba picks parlays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""&amp;$A22))"),"nba schedule parlays")</f>
        <v>nba schedule parlays</v>
      </c>
      <c r="L22" s="13"/>
      <c r="M22" s="13" t="str">
        <f>IFERROR(__xludf.DUMMYFUNCTION("""COMPUTED_VALUE"""),"nba schedule today")</f>
        <v>nba schedule today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40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""&amp;$A23))"),"nba betting bet online")</f>
        <v>nba betting bet online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""&amp;$A23))"),"nba bets bet online")</f>
        <v>nba bets bet online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""&amp;$A23))"),"nba bet bet online")</f>
        <v>nba bet bet online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""&amp;$A23))"),"nba odds bet online")</f>
        <v>nba odds bet online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""&amp;$A23))"),"nba betting odds bet online")</f>
        <v>nba betting odds bet online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""&amp;$A23))"),"nba scores bet online")</f>
        <v>nba scores bet online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""&amp;$A23))"),"nba score bet online")</f>
        <v>nba score bet online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""&amp;$A23))"),"nba predictions bet online")</f>
        <v>nba predictions bet online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""&amp;$A23))"),"nba picks bet online")</f>
        <v>nba picks bet online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""&amp;$A23))"),"nba schedule bet online")</f>
        <v>nba schedule bet online</v>
      </c>
      <c r="L23" s="13"/>
      <c r="M23" s="13" t="str">
        <f>IFERROR(__xludf.DUMMYFUNCTION("""COMPUTED_VALUE"""),"nba betting tonight")</f>
        <v>nba betting tonight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34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""&amp;$A24))"),"nba betting sportsbook")</f>
        <v>nba betting sportsbook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""&amp;$A24))"),"nba bets sportsbook")</f>
        <v>nba bets sportsbook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""&amp;$A24))"),"nba bet sportsbook")</f>
        <v>nba bet sportsbook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""&amp;$A24))"),"nba odds sportsbook")</f>
        <v>nba odds sportsbook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""&amp;$A24))"),"nba betting odds sportsbook")</f>
        <v>nba betting odds sportsbook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""&amp;$A24))"),"nba scores sportsbook")</f>
        <v>nba scores sportsbook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""&amp;$A24))"),"nba score sportsbook")</f>
        <v>nba score sportsbook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""&amp;$A24))"),"nba predictions sportsbook")</f>
        <v>nba predictions sportsbook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""&amp;$A24))"),"nba picks sportsbook")</f>
        <v>nba picks sportsbook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""&amp;$A24))"),"nba schedule sportsbook")</f>
        <v>nba schedule sportsbook</v>
      </c>
      <c r="L24" s="13"/>
      <c r="M24" s="13" t="str">
        <f>IFERROR(__xludf.DUMMYFUNCTION("""COMPUTED_VALUE"""),"nba bets tonight")</f>
        <v>nba bets tonight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36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""&amp;$A25))"),"nba betting betting app")</f>
        <v>nba betting betting app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""&amp;$A25))"),"nba bets betting app")</f>
        <v>nba bets betting app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""&amp;$A25))"),"nba bet betting app")</f>
        <v>nba bet betting app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""&amp;$A25))"),"nba odds betting app")</f>
        <v>nba odds betting app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""&amp;$A25))"),"nba betting odds betting app")</f>
        <v>nba betting odds betting app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""&amp;$A25))"),"nba scores betting app")</f>
        <v>nba scores betting app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""&amp;$A25))"),"nba score betting app")</f>
        <v>nba score betting app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""&amp;$A25))"),"nba predictions betting app")</f>
        <v>nba predictions betting app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""&amp;$A25))"),"nba picks betting app")</f>
        <v>nba picks betting app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""&amp;$A25))"),"nba schedule betting app")</f>
        <v>nba schedule betting app</v>
      </c>
      <c r="L25" s="13"/>
      <c r="M25" s="13" t="str">
        <f>IFERROR(__xludf.DUMMYFUNCTION("""COMPUTED_VALUE"""),"nba bet tonight")</f>
        <v>nba bet tonight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63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""&amp;$A26))"),"nba betting best")</f>
        <v>nba betting best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""&amp;$A26))"),"nba bets best")</f>
        <v>nba bets best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""&amp;$A26))"),"nba bet best")</f>
        <v>nba bet best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""&amp;$A26))"),"nba odds best")</f>
        <v>nba odds best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""&amp;$A26))"),"nba betting odds best")</f>
        <v>nba betting odds best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""&amp;$A26))"),"nba scores best")</f>
        <v>nba scores best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""&amp;$A26))"),"nba score best")</f>
        <v>nba score best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""&amp;$A26))"),"nba predictions best")</f>
        <v>nba predictions best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""&amp;$A26))"),"nba picks best")</f>
        <v>nba picks best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""&amp;$A26))"),"nba schedule best")</f>
        <v>nba schedule best</v>
      </c>
      <c r="L26" s="13"/>
      <c r="M26" s="13" t="str">
        <f>IFERROR(__xludf.DUMMYFUNCTION("""COMPUTED_VALUE"""),"nba odds tonight")</f>
        <v>nba odds tonight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127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""&amp;$A27))"),"nba betting predictions")</f>
        <v>nba betting predictions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""&amp;$A27))"),"nba bets predictions")</f>
        <v>nba bets predictions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""&amp;$A27))"),"nba bet predictions")</f>
        <v>nba bet predictions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""&amp;$A27))"),"nba odds predictions")</f>
        <v>nba odds predictions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""&amp;$A27))"),"nba betting odds predictions")</f>
        <v>nba betting odds predictions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""&amp;$A27))"),"nba scores predictions")</f>
        <v>nba scores predictions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""&amp;$A27))"),"nba score predictions")</f>
        <v>nba score predictions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""&amp;$A27))"),"nba predictions")</f>
        <v>nba predictions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""&amp;$A27))"),"nba picks predictions")</f>
        <v>nba picks predictions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""&amp;$A27))"),"nba schedule predictions")</f>
        <v>nba schedule predictions</v>
      </c>
      <c r="L27" s="13"/>
      <c r="M27" s="13" t="str">
        <f>IFERROR(__xludf.DUMMYFUNCTION("""COMPUTED_VALUE"""),"nba betting odds tonight")</f>
        <v>nba betting odds tonight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134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""&amp;$A28))"),"nba betting picks")</f>
        <v>nba betting picks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""&amp;$A28))"),"nba bets picks")</f>
        <v>nba bets picks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""&amp;$A28))"),"nba bet picks")</f>
        <v>nba bet picks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""&amp;$A28))"),"nba odds picks")</f>
        <v>nba odds picks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""&amp;$A28))"),"nba betting odds picks")</f>
        <v>nba betting odds picks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""&amp;$A28))"),"nba scores picks")</f>
        <v>nba scores picks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""&amp;$A28))"),"nba score picks")</f>
        <v>nba score picks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""&amp;$A28))"),"nba predictions picks")</f>
        <v>nba predictions picks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""&amp;$A28))"),"nba picks")</f>
        <v>nba picks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""&amp;$A28))"),"nba schedule picks")</f>
        <v>nba schedule picks</v>
      </c>
      <c r="L28" s="13"/>
      <c r="M28" s="13" t="str">
        <f>IFERROR(__xludf.DUMMYFUNCTION("""COMPUTED_VALUE"""),"nba scores tonight")</f>
        <v>nba scores tonight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72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""&amp;$A29))"),"nba betting results")</f>
        <v>nba betting results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""&amp;$A29))"),"nba bets results")</f>
        <v>nba bets results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""&amp;$A29))"),"nba bet results")</f>
        <v>nba bet results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""&amp;$A29))"),"nba odds results")</f>
        <v>nba odds results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""&amp;$A29))"),"nba betting odds results")</f>
        <v>nba betting odds results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""&amp;$A29))"),"nba scores results")</f>
        <v>nba scores results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""&amp;$A29))"),"nba score results")</f>
        <v>nba score results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""&amp;$A29))"),"nba predictions results")</f>
        <v>nba predictions results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""&amp;$A29))"),"nba picks results")</f>
        <v>nba picks results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""&amp;$A29))"),"nba schedule results")</f>
        <v>nba schedule results</v>
      </c>
      <c r="L29" s="13"/>
      <c r="M29" s="13" t="str">
        <f>IFERROR(__xludf.DUMMYFUNCTION("""COMPUTED_VALUE"""),"nba score tonight")</f>
        <v>nba score tonight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214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""&amp;$A30))"),"nba betting news")</f>
        <v>nba betting news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""&amp;$A30))"),"nba bets news")</f>
        <v>nba bets news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""&amp;$A30))"),"nba bet news")</f>
        <v>nba bet news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""&amp;$A30))"),"nba odds news")</f>
        <v>nba odds news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""&amp;$A30))"),"nba betting odds news")</f>
        <v>nba betting odds news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""&amp;$A30))"),"nba scores news")</f>
        <v>nba scores news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""&amp;$A30))"),"nba score news")</f>
        <v>nba score news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""&amp;$A30))"),"nba predictions news")</f>
        <v>nba predictions news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""&amp;$A30))"),"nba picks news")</f>
        <v>nba picks news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""&amp;$A30))"),"nba schedule news")</f>
        <v>nba schedule news</v>
      </c>
      <c r="L30" s="13"/>
      <c r="M30" s="13" t="str">
        <f>IFERROR(__xludf.DUMMYFUNCTION("""COMPUTED_VALUE"""),"nba predictions tonight")</f>
        <v>nba predictions tonight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100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""&amp;$A31))"),"nba betting paradise games")</f>
        <v>nba betting paradise games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""&amp;$A31))"),"nba bets paradise games")</f>
        <v>nba bets paradise games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""&amp;$A31))"),"nba bet paradise games")</f>
        <v>nba bet paradise games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""&amp;$A31))"),"nba odds paradise games")</f>
        <v>nba odds paradise games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""&amp;$A31))"),"nba betting odds paradise games")</f>
        <v>nba betting odds paradise games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""&amp;$A31))"),"nba scores paradise games")</f>
        <v>nba scores paradise games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""&amp;$A31))"),"nba score paradise games")</f>
        <v>nba score paradise games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""&amp;$A31))"),"nba predictions paradise games")</f>
        <v>nba predictions paradise games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""&amp;$A31))"),"nba picks paradise games")</f>
        <v>nba picks paradise games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""&amp;$A31))"),"nba schedule paradise games")</f>
        <v>nba schedule paradise games</v>
      </c>
      <c r="L31" s="13"/>
      <c r="M31" s="13" t="str">
        <f>IFERROR(__xludf.DUMMYFUNCTION("""COMPUTED_VALUE"""),"nba picks tonight")</f>
        <v>nba picks tonight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79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""&amp;$A32))"),"nba betting island luck")</f>
        <v>nba betting island luck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""&amp;$A32))"),"nba bets island luck")</f>
        <v>nba bets island luck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""&amp;$A32))"),"nba bet island luck")</f>
        <v>nba bet island luck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""&amp;$A32))"),"nba odds island luck")</f>
        <v>nba odds island luck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""&amp;$A32))"),"nba betting odds island luck")</f>
        <v>nba betting odds island luck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""&amp;$A32))"),"nba scores island luck")</f>
        <v>nba scores island luck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""&amp;$A32))"),"nba score island luck")</f>
        <v>nba score island luck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""&amp;$A32))"),"nba predictions island luck")</f>
        <v>nba predictions island luck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""&amp;$A32))"),"nba picks island luck")</f>
        <v>nba picks island luck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""&amp;$A32))"),"nba schedule island luck")</f>
        <v>nba schedule island luck</v>
      </c>
      <c r="L32" s="13"/>
      <c r="M32" s="13" t="str">
        <f>IFERROR(__xludf.DUMMYFUNCTION("""COMPUTED_VALUE"""),"nba schedule tonight")</f>
        <v>nba schedule tonight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83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""&amp;$A33))"),"nba betting chances")</f>
        <v>nba betting chances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""&amp;$A33))"),"nba bets chances")</f>
        <v>nba bets chances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""&amp;$A33))"),"nba bet chances")</f>
        <v>nba bet chances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""&amp;$A33))"),"nba odds chances")</f>
        <v>nba odds chances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""&amp;$A33))"),"nba betting odds chances")</f>
        <v>nba betting odds chances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""&amp;$A33))"),"nba scores chances")</f>
        <v>nba scores chances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""&amp;$A33))"),"nba score chances")</f>
        <v>nba score chances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""&amp;$A33))"),"nba predictions chances")</f>
        <v>nba predictions chances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""&amp;$A33))"),"nba picks chances")</f>
        <v>nba picks chances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""&amp;$A33))"),"nba schedule chances")</f>
        <v>nba schedule chances</v>
      </c>
      <c r="L33" s="13"/>
      <c r="M33" s="13" t="str">
        <f>IFERROR(__xludf.DUMMYFUNCTION("""COMPUTED_VALUE"""),"nba betting live")</f>
        <v>nba betting live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86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""&amp;$A34))"),"nba betting ultra games")</f>
        <v>nba betting ultra games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""&amp;$A34))"),"nba bets ultra games")</f>
        <v>nba bets ultra games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""&amp;$A34))"),"nba bet ultra games")</f>
        <v>nba bet ultra games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""&amp;$A34))"),"nba odds ultra games")</f>
        <v>nba odds ultra games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""&amp;$A34))"),"nba betting odds ultra games")</f>
        <v>nba betting odds ultra games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""&amp;$A34))"),"nba scores ultra games")</f>
        <v>nba scores ultra games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""&amp;$A34))"),"nba score ultra games")</f>
        <v>nba score ultra games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""&amp;$A34))"),"nba predictions ultra games")</f>
        <v>nba predictions ultra games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""&amp;$A34))"),"nba picks ultra games")</f>
        <v>nba picks ultra games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""&amp;$A34))"),"nba schedule ultra games")</f>
        <v>nba schedule ultra games</v>
      </c>
      <c r="L34" s="13"/>
      <c r="M34" s="13" t="str">
        <f>IFERROR(__xludf.DUMMYFUNCTION("""COMPUTED_VALUE"""),"nba bets live")</f>
        <v>nba bets live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141</v>
      </c>
      <c r="B35" s="13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""&amp;$A35))"),"nba betting nassau")</f>
        <v>nba betting nassau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""&amp;$A35))"),"nba bets nassau")</f>
        <v>nba bets nassau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""&amp;$A35))"),"nba bet nassau")</f>
        <v>nba bet nassau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""&amp;$A35))"),"nba odds nassau")</f>
        <v>nba odds nassau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""&amp;$A35))"),"nba betting odds nassau")</f>
        <v>nba betting odds nassau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""&amp;$A35))"),"nba scores nassau")</f>
        <v>nba scores nassau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""&amp;$A35))"),"nba score nassau")</f>
        <v>nba score nassau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""&amp;$A35))"),"nba predictions nassau")</f>
        <v>nba predictions nassau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""&amp;$A35))"),"nba picks nassau")</f>
        <v>nba picks nassau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""&amp;$A35))"),"nba schedule nassau")</f>
        <v>nba schedule nassau</v>
      </c>
      <c r="L35" s="13"/>
      <c r="M35" s="13" t="str">
        <f>IFERROR(__xludf.DUMMYFUNCTION("""COMPUTED_VALUE"""),"nba bet live")</f>
        <v>nba bet live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147</v>
      </c>
      <c r="B36" s="13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""&amp;$A36))"),"nba betting freeport")</f>
        <v>nba betting freeport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""&amp;$A36))"),"nba bets freeport")</f>
        <v>nba bets freeport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""&amp;$A36))"),"nba bet freeport")</f>
        <v>nba bet freeport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""&amp;$A36))"),"nba odds freeport")</f>
        <v>nba odds freeport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""&amp;$A36))"),"nba betting odds freeport")</f>
        <v>nba betting odds freeport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""&amp;$A36))"),"nba scores freeport")</f>
        <v>nba scores freeport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""&amp;$A36))"),"nba score freeport")</f>
        <v>nba score freeport</v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""&amp;$A36))"),"nba predictions freeport")</f>
        <v>nba predictions freeport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""&amp;$A36))"),"nba picks freeport")</f>
        <v>nba picks freeport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""&amp;$A36))"),"nba schedule freeport")</f>
        <v>nba schedule freeport</v>
      </c>
      <c r="L36" s="13"/>
      <c r="M36" s="13" t="str">
        <f>IFERROR(__xludf.DUMMYFUNCTION("""COMPUTED_VALUE"""),"nba odds live")</f>
        <v>nba odds live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217</v>
      </c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""&amp;$A37))"),"nba betting basketball")</f>
        <v>nba betting basketball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""&amp;$A37))"),"nba bets basketball")</f>
        <v>nba bets basketball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""&amp;$A37))"),"nba bet basketball")</f>
        <v>nba bet basketball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""&amp;$A37))"),"nba odds basketball")</f>
        <v>nba odds basketball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""&amp;$A37))"),"nba betting odds basketball")</f>
        <v>nba betting odds basketball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""&amp;$A37))"),"nba scores basketball")</f>
        <v>nba scores basketball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""&amp;$A37))"),"nba score basketball")</f>
        <v>nba score basketball</v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""&amp;$A37))"),"nba predictions basketball")</f>
        <v>nba predictions basketball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""&amp;$A37))"),"nba picks basketball")</f>
        <v>nba picks basketball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""&amp;$A37))"),"nba schedule basketball")</f>
        <v>nba schedule basketball</v>
      </c>
      <c r="L37" s="13"/>
      <c r="M37" s="13" t="str">
        <f>IFERROR(__xludf.DUMMYFUNCTION("""COMPUTED_VALUE"""),"nba betting odds live")</f>
        <v>nba betting odds live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 t="s">
        <v>218</v>
      </c>
      <c r="B38" s="13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""&amp;$A38))"),"nba betting basketball betting")</f>
        <v>nba betting basketball betting</v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""&amp;$A38))"),"nba bets basketball betting")</f>
        <v>nba bets basketball betting</v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""&amp;$A38))"),"nba bet basketball betting")</f>
        <v>nba bet basketball betting</v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""&amp;$A38))"),"nba odds basketball betting")</f>
        <v>nba odds basketball betting</v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""&amp;$A38))"),"nba betting odds basketball betting")</f>
        <v>nba betting odds basketball betting</v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""&amp;$A38))"),"nba scores basketball betting")</f>
        <v>nba scores basketball betting</v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""&amp;$A38))"),"nba score basketball betting")</f>
        <v>nba score basketball betting</v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""&amp;$A38))"),"nba predictions basketball betting")</f>
        <v>nba predictions basketball betting</v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""&amp;$A38))"),"nba picks basketball betting")</f>
        <v>nba picks basketball betting</v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""&amp;$A38))"),"nba schedule basketball betting")</f>
        <v>nba schedule basketball betting</v>
      </c>
      <c r="L38" s="13"/>
      <c r="M38" s="13" t="str">
        <f>IFERROR(__xludf.DUMMYFUNCTION("""COMPUTED_VALUE"""),"nba scores live")</f>
        <v>nba scores live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IFERROR(__xludf.DUMMYFUNCTION("""COMPUTED_VALUE"""),"nba score live")</f>
        <v>nba score live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IFERROR(__xludf.DUMMYFUNCTION("""COMPUTED_VALUE"""),"nba predictions live")</f>
        <v>nba predictions live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IFERROR(__xludf.DUMMYFUNCTION("""COMPUTED_VALUE"""),"nba picks live")</f>
        <v>nba picks live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IFERROR(__xludf.DUMMYFUNCTION("""COMPUTED_VALUE"""),"nba schedule live")</f>
        <v>nba schedule live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IFERROR(__xludf.DUMMYFUNCTION("""COMPUTED_VALUE"""),"nba betting games")</f>
        <v>nba betting games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IFERROR(__xludf.DUMMYFUNCTION("""COMPUTED_VALUE"""),"nba bets games")</f>
        <v>nba bets games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IFERROR(__xludf.DUMMYFUNCTION("""COMPUTED_VALUE"""),"nba bet games")</f>
        <v>nba bet games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IFERROR(__xludf.DUMMYFUNCTION("""COMPUTED_VALUE"""),"nba odds games")</f>
        <v>nba odds games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IFERROR(__xludf.DUMMYFUNCTION("""COMPUTED_VALUE"""),"nba betting odds games")</f>
        <v>nba betting odds games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IFERROR(__xludf.DUMMYFUNCTION("""COMPUTED_VALUE"""),"nba scores games")</f>
        <v>nba scores games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IFERROR(__xludf.DUMMYFUNCTION("""COMPUTED_VALUE"""),"nba score games")</f>
        <v>nba score games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IFERROR(__xludf.DUMMYFUNCTION("""COMPUTED_VALUE"""),"nba predictions games")</f>
        <v>nba predictions games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IFERROR(__xludf.DUMMYFUNCTION("""COMPUTED_VALUE"""),"nba picks games")</f>
        <v>nba picks games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IFERROR(__xludf.DUMMYFUNCTION("""COMPUTED_VALUE"""),"nba schedule games")</f>
        <v>nba schedule games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IFERROR(__xludf.DUMMYFUNCTION("""COMPUTED_VALUE"""),"nba betting schedule")</f>
        <v>nba betting schedule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IFERROR(__xludf.DUMMYFUNCTION("""COMPUTED_VALUE"""),"nba bets schedule")</f>
        <v>nba bets schedule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IFERROR(__xludf.DUMMYFUNCTION("""COMPUTED_VALUE"""),"nba bet schedule")</f>
        <v>nba bet schedule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IFERROR(__xludf.DUMMYFUNCTION("""COMPUTED_VALUE"""),"nba odds schedule")</f>
        <v>nba odds schedule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IFERROR(__xludf.DUMMYFUNCTION("""COMPUTED_VALUE"""),"nba betting odds schedule")</f>
        <v>nba betting odds schedule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IFERROR(__xludf.DUMMYFUNCTION("""COMPUTED_VALUE"""),"nba scores schedule")</f>
        <v>nba scores schedule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IFERROR(__xludf.DUMMYFUNCTION("""COMPUTED_VALUE"""),"nba score schedule")</f>
        <v>nba score schedule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IFERROR(__xludf.DUMMYFUNCTION("""COMPUTED_VALUE"""),"nba predictions schedule")</f>
        <v>nba predictions schedule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IFERROR(__xludf.DUMMYFUNCTION("""COMPUTED_VALUE"""),"nba picks schedule")</f>
        <v>nba picks schedule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IFERROR(__xludf.DUMMYFUNCTION("""COMPUTED_VALUE"""),"nba schedule")</f>
        <v>nba schedule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IFERROR(__xludf.DUMMYFUNCTION("""COMPUTED_VALUE"""),"nba betting scores")</f>
        <v>nba betting scores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IFERROR(__xludf.DUMMYFUNCTION("""COMPUTED_VALUE"""),"nba bets scores")</f>
        <v>nba bets scores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IFERROR(__xludf.DUMMYFUNCTION("""COMPUTED_VALUE"""),"nba bet scores")</f>
        <v>nba bet scores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IFERROR(__xludf.DUMMYFUNCTION("""COMPUTED_VALUE"""),"nba odds scores")</f>
        <v>nba odds scores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IFERROR(__xludf.DUMMYFUNCTION("""COMPUTED_VALUE"""),"nba betting odds scores")</f>
        <v>nba betting odds scores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IFERROR(__xludf.DUMMYFUNCTION("""COMPUTED_VALUE"""),"nba scores")</f>
        <v>nba scores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IFERROR(__xludf.DUMMYFUNCTION("""COMPUTED_VALUE"""),"nba score")</f>
        <v>nba score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IFERROR(__xludf.DUMMYFUNCTION("""COMPUTED_VALUE"""),"nba predictions scores")</f>
        <v>nba predictions scores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IFERROR(__xludf.DUMMYFUNCTION("""COMPUTED_VALUE"""),"nba picks scores")</f>
        <v>nba picks scores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IFERROR(__xludf.DUMMYFUNCTION("""COMPUTED_VALUE"""),"nba schedule scores")</f>
        <v>nba schedule scores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IFERROR(__xludf.DUMMYFUNCTION("""COMPUTED_VALUE"""),"nba betting odds")</f>
        <v>nba betting odds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IFERROR(__xludf.DUMMYFUNCTION("""COMPUTED_VALUE"""),"nba bets odds")</f>
        <v>nba bets odds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IFERROR(__xludf.DUMMYFUNCTION("""COMPUTED_VALUE"""),"nba bet odds")</f>
        <v>nba bet odds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IFERROR(__xludf.DUMMYFUNCTION("""COMPUTED_VALUE"""),"nba odds")</f>
        <v>nba odds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IFERROR(__xludf.DUMMYFUNCTION("""COMPUTED_VALUE"""),"nba betting odds")</f>
        <v>nba betting odds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IFERROR(__xludf.DUMMYFUNCTION("""COMPUTED_VALUE"""),"nba scores odds")</f>
        <v>nba scores odds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IFERROR(__xludf.DUMMYFUNCTION("""COMPUTED_VALUE"""),"nba score odds")</f>
        <v>nba score odds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IFERROR(__xludf.DUMMYFUNCTION("""COMPUTED_VALUE"""),"nba predictions odds")</f>
        <v>nba predictions odds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IFERROR(__xludf.DUMMYFUNCTION("""COMPUTED_VALUE"""),"nba picks odds")</f>
        <v>nba picks odds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IFERROR(__xludf.DUMMYFUNCTION("""COMPUTED_VALUE"""),"nba schedule odds")</f>
        <v>nba schedule odds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IFERROR(__xludf.DUMMYFUNCTION("""COMPUTED_VALUE"""),"nba betting spreads")</f>
        <v>nba betting spreads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IFERROR(__xludf.DUMMYFUNCTION("""COMPUTED_VALUE"""),"nba bets spreads")</f>
        <v>nba bets spreads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IFERROR(__xludf.DUMMYFUNCTION("""COMPUTED_VALUE"""),"nba bet spreads")</f>
        <v>nba bet spreads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IFERROR(__xludf.DUMMYFUNCTION("""COMPUTED_VALUE"""),"nba odds spreads")</f>
        <v>nba odds spreads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IFERROR(__xludf.DUMMYFUNCTION("""COMPUTED_VALUE"""),"nba betting odds spreads")</f>
        <v>nba betting odds spreads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IFERROR(__xludf.DUMMYFUNCTION("""COMPUTED_VALUE"""),"nba scores spreads")</f>
        <v>nba scores spreads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IFERROR(__xludf.DUMMYFUNCTION("""COMPUTED_VALUE"""),"nba score spreads")</f>
        <v>nba score spreads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IFERROR(__xludf.DUMMYFUNCTION("""COMPUTED_VALUE"""),"nba predictions spreads")</f>
        <v>nba predictions spreads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IFERROR(__xludf.DUMMYFUNCTION("""COMPUTED_VALUE"""),"nba picks spreads")</f>
        <v>nba picks spreads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IFERROR(__xludf.DUMMYFUNCTION("""COMPUTED_VALUE"""),"nba schedule spreads")</f>
        <v>nba schedule spreads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IFERROR(__xludf.DUMMYFUNCTION("""COMPUTED_VALUE"""),"nba betting point spread")</f>
        <v>nba betting point spread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IFERROR(__xludf.DUMMYFUNCTION("""COMPUTED_VALUE"""),"nba bets point spread")</f>
        <v>nba bets point spread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IFERROR(__xludf.DUMMYFUNCTION("""COMPUTED_VALUE"""),"nba bet point spread")</f>
        <v>nba bet point spread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IFERROR(__xludf.DUMMYFUNCTION("""COMPUTED_VALUE"""),"nba odds point spread")</f>
        <v>nba odds point spread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IFERROR(__xludf.DUMMYFUNCTION("""COMPUTED_VALUE"""),"nba betting odds point spread")</f>
        <v>nba betting odds point spread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IFERROR(__xludf.DUMMYFUNCTION("""COMPUTED_VALUE"""),"nba scores point spread")</f>
        <v>nba scores point spread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IFERROR(__xludf.DUMMYFUNCTION("""COMPUTED_VALUE"""),"nba score point spread")</f>
        <v>nba score point spread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IFERROR(__xludf.DUMMYFUNCTION("""COMPUTED_VALUE"""),"nba predictions point spread")</f>
        <v>nba predictions point spread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IFERROR(__xludf.DUMMYFUNCTION("""COMPUTED_VALUE"""),"nba picks point spread")</f>
        <v>nba picks point spread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IFERROR(__xludf.DUMMYFUNCTION("""COMPUTED_VALUE"""),"nba schedule point spread")</f>
        <v>nba schedule point spread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IFERROR(__xludf.DUMMYFUNCTION("""COMPUTED_VALUE"""),"nba betting moneyline")</f>
        <v>nba betting moneyline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IFERROR(__xludf.DUMMYFUNCTION("""COMPUTED_VALUE"""),"nba bets moneyline")</f>
        <v>nba bets moneyline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IFERROR(__xludf.DUMMYFUNCTION("""COMPUTED_VALUE"""),"nba bet moneyline")</f>
        <v>nba bet moneyline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IFERROR(__xludf.DUMMYFUNCTION("""COMPUTED_VALUE"""),"nba odds moneyline")</f>
        <v>nba odds moneyline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IFERROR(__xludf.DUMMYFUNCTION("""COMPUTED_VALUE"""),"nba betting odds moneyline")</f>
        <v>nba betting odds moneyline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IFERROR(__xludf.DUMMYFUNCTION("""COMPUTED_VALUE"""),"nba scores moneyline")</f>
        <v>nba scores moneyline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IFERROR(__xludf.DUMMYFUNCTION("""COMPUTED_VALUE"""),"nba score moneyline")</f>
        <v>nba score moneyline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IFERROR(__xludf.DUMMYFUNCTION("""COMPUTED_VALUE"""),"nba predictions moneyline")</f>
        <v>nba predictions moneyline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IFERROR(__xludf.DUMMYFUNCTION("""COMPUTED_VALUE"""),"nba picks moneyline")</f>
        <v>nba picks moneyline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IFERROR(__xludf.DUMMYFUNCTION("""COMPUTED_VALUE"""),"nba schedule moneyline")</f>
        <v>nba schedule moneyline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IFERROR(__xludf.DUMMYFUNCTION("""COMPUTED_VALUE"""),"nba betting over under")</f>
        <v>nba betting over under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IFERROR(__xludf.DUMMYFUNCTION("""COMPUTED_VALUE"""),"nba bets over under")</f>
        <v>nba bets over under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IFERROR(__xludf.DUMMYFUNCTION("""COMPUTED_VALUE"""),"nba bet over under")</f>
        <v>nba bet over under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IFERROR(__xludf.DUMMYFUNCTION("""COMPUTED_VALUE"""),"nba odds over under")</f>
        <v>nba odds over under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IFERROR(__xludf.DUMMYFUNCTION("""COMPUTED_VALUE"""),"nba betting odds over under")</f>
        <v>nba betting odds over under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IFERROR(__xludf.DUMMYFUNCTION("""COMPUTED_VALUE"""),"nba scores over under")</f>
        <v>nba scores over under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IFERROR(__xludf.DUMMYFUNCTION("""COMPUTED_VALUE"""),"nba score over under")</f>
        <v>nba score over under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IFERROR(__xludf.DUMMYFUNCTION("""COMPUTED_VALUE"""),"nba predictions over under")</f>
        <v>nba predictions over under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IFERROR(__xludf.DUMMYFUNCTION("""COMPUTED_VALUE"""),"nba picks over under")</f>
        <v>nba picks over under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IFERROR(__xludf.DUMMYFUNCTION("""COMPUTED_VALUE"""),"nba schedule over under")</f>
        <v>nba schedule over under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IFERROR(__xludf.DUMMYFUNCTION("""COMPUTED_VALUE"""),"nba betting props")</f>
        <v>nba betting props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IFERROR(__xludf.DUMMYFUNCTION("""COMPUTED_VALUE"""),"nba bets props")</f>
        <v>nba bets props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IFERROR(__xludf.DUMMYFUNCTION("""COMPUTED_VALUE"""),"nba bet props")</f>
        <v>nba bet props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IFERROR(__xludf.DUMMYFUNCTION("""COMPUTED_VALUE"""),"nba odds props")</f>
        <v>nba odds props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IFERROR(__xludf.DUMMYFUNCTION("""COMPUTED_VALUE"""),"nba betting odds props")</f>
        <v>nba betting odds props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IFERROR(__xludf.DUMMYFUNCTION("""COMPUTED_VALUE"""),"nba scores props")</f>
        <v>nba scores props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IFERROR(__xludf.DUMMYFUNCTION("""COMPUTED_VALUE"""),"nba score props")</f>
        <v>nba score props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IFERROR(__xludf.DUMMYFUNCTION("""COMPUTED_VALUE"""),"nba predictions props")</f>
        <v>nba predictions props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IFERROR(__xludf.DUMMYFUNCTION("""COMPUTED_VALUE"""),"nba picks props")</f>
        <v>nba picks props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IFERROR(__xludf.DUMMYFUNCTION("""COMPUTED_VALUE"""),"nba schedule props")</f>
        <v>nba schedule props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IFERROR(__xludf.DUMMYFUNCTION("""COMPUTED_VALUE"""),"nba betting player props")</f>
        <v>nba betting player props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IFERROR(__xludf.DUMMYFUNCTION("""COMPUTED_VALUE"""),"nba bets player props")</f>
        <v>nba bets player props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IFERROR(__xludf.DUMMYFUNCTION("""COMPUTED_VALUE"""),"nba bet player props")</f>
        <v>nba bet player props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IFERROR(__xludf.DUMMYFUNCTION("""COMPUTED_VALUE"""),"nba odds player props")</f>
        <v>nba odds player props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IFERROR(__xludf.DUMMYFUNCTION("""COMPUTED_VALUE"""),"nba betting odds player props")</f>
        <v>nba betting odds player props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IFERROR(__xludf.DUMMYFUNCTION("""COMPUTED_VALUE"""),"nba scores player props")</f>
        <v>nba scores player props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IFERROR(__xludf.DUMMYFUNCTION("""COMPUTED_VALUE"""),"nba score player props")</f>
        <v>nba score player props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IFERROR(__xludf.DUMMYFUNCTION("""COMPUTED_VALUE"""),"nba predictions player props")</f>
        <v>nba predictions player props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IFERROR(__xludf.DUMMYFUNCTION("""COMPUTED_VALUE"""),"nba picks player props")</f>
        <v>nba picks player props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IFERROR(__xludf.DUMMYFUNCTION("""COMPUTED_VALUE"""),"nba schedule player props")</f>
        <v>nba schedule player props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IFERROR(__xludf.DUMMYFUNCTION("""COMPUTED_VALUE"""),"nba betting injury report")</f>
        <v>nba betting injury report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IFERROR(__xludf.DUMMYFUNCTION("""COMPUTED_VALUE"""),"nba bets injury report")</f>
        <v>nba bets injury report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IFERROR(__xludf.DUMMYFUNCTION("""COMPUTED_VALUE"""),"nba bet injury report")</f>
        <v>nba bet injury report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IFERROR(__xludf.DUMMYFUNCTION("""COMPUTED_VALUE"""),"nba odds injury report")</f>
        <v>nba odds injury report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IFERROR(__xludf.DUMMYFUNCTION("""COMPUTED_VALUE"""),"nba betting odds injury report")</f>
        <v>nba betting odds injury report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IFERROR(__xludf.DUMMYFUNCTION("""COMPUTED_VALUE"""),"nba scores injury report")</f>
        <v>nba scores injury report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IFERROR(__xludf.DUMMYFUNCTION("""COMPUTED_VALUE"""),"nba score injury report")</f>
        <v>nba score injury report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IFERROR(__xludf.DUMMYFUNCTION("""COMPUTED_VALUE"""),"nba predictions injury report")</f>
        <v>nba predictions injury report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IFERROR(__xludf.DUMMYFUNCTION("""COMPUTED_VALUE"""),"nba picks injury report")</f>
        <v>nba picks injury report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IFERROR(__xludf.DUMMYFUNCTION("""COMPUTED_VALUE"""),"nba schedule injury report")</f>
        <v>nba schedule injury report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IFERROR(__xludf.DUMMYFUNCTION("""COMPUTED_VALUE"""),"nba betting standings")</f>
        <v>nba betting standings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IFERROR(__xludf.DUMMYFUNCTION("""COMPUTED_VALUE"""),"nba bets standings")</f>
        <v>nba bets standings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IFERROR(__xludf.DUMMYFUNCTION("""COMPUTED_VALUE"""),"nba bet standings")</f>
        <v>nba bet standings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IFERROR(__xludf.DUMMYFUNCTION("""COMPUTED_VALUE"""),"nba odds standings")</f>
        <v>nba odds standings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IFERROR(__xludf.DUMMYFUNCTION("""COMPUTED_VALUE"""),"nba betting odds standings")</f>
        <v>nba betting odds standings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IFERROR(__xludf.DUMMYFUNCTION("""COMPUTED_VALUE"""),"nba scores standings")</f>
        <v>nba scores standings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IFERROR(__xludf.DUMMYFUNCTION("""COMPUTED_VALUE"""),"nba score standings")</f>
        <v>nba score standings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IFERROR(__xludf.DUMMYFUNCTION("""COMPUTED_VALUE"""),"nba predictions standings")</f>
        <v>nba predictions standings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IFERROR(__xludf.DUMMYFUNCTION("""COMPUTED_VALUE"""),"nba picks standings")</f>
        <v>nba picks standings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IFERROR(__xludf.DUMMYFUNCTION("""COMPUTED_VALUE"""),"nba schedule standings")</f>
        <v>nba schedule standings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IFERROR(__xludf.DUMMYFUNCTION("""COMPUTED_VALUE"""),"nba betting playoffs")</f>
        <v>nba betting playoffs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IFERROR(__xludf.DUMMYFUNCTION("""COMPUTED_VALUE"""),"nba bets playoffs")</f>
        <v>nba bets playoffs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IFERROR(__xludf.DUMMYFUNCTION("""COMPUTED_VALUE"""),"nba bet playoffs")</f>
        <v>nba bet playoffs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IFERROR(__xludf.DUMMYFUNCTION("""COMPUTED_VALUE"""),"nba odds playoffs")</f>
        <v>nba odds playoffs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IFERROR(__xludf.DUMMYFUNCTION("""COMPUTED_VALUE"""),"nba betting odds playoffs")</f>
        <v>nba betting odds playoffs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IFERROR(__xludf.DUMMYFUNCTION("""COMPUTED_VALUE"""),"nba scores playoffs")</f>
        <v>nba scores playoffs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IFERROR(__xludf.DUMMYFUNCTION("""COMPUTED_VALUE"""),"nba score playoffs")</f>
        <v>nba score playoffs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IFERROR(__xludf.DUMMYFUNCTION("""COMPUTED_VALUE"""),"nba predictions playoffs")</f>
        <v>nba predictions playoffs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IFERROR(__xludf.DUMMYFUNCTION("""COMPUTED_VALUE"""),"nba picks playoffs")</f>
        <v>nba picks playoffs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IFERROR(__xludf.DUMMYFUNCTION("""COMPUTED_VALUE"""),"nba schedule playoffs")</f>
        <v>nba schedule playoffs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IFERROR(__xludf.DUMMYFUNCTION("""COMPUTED_VALUE"""),"nba betting finals")</f>
        <v>nba betting finals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IFERROR(__xludf.DUMMYFUNCTION("""COMPUTED_VALUE"""),"nba bets finals")</f>
        <v>nba bets finals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IFERROR(__xludf.DUMMYFUNCTION("""COMPUTED_VALUE"""),"nba bet finals")</f>
        <v>nba bet finals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IFERROR(__xludf.DUMMYFUNCTION("""COMPUTED_VALUE"""),"nba odds finals")</f>
        <v>nba odds finals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IFERROR(__xludf.DUMMYFUNCTION("""COMPUTED_VALUE"""),"nba betting odds finals")</f>
        <v>nba betting odds finals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IFERROR(__xludf.DUMMYFUNCTION("""COMPUTED_VALUE"""),"nba scores finals")</f>
        <v>nba scores finals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IFERROR(__xludf.DUMMYFUNCTION("""COMPUTED_VALUE"""),"nba score finals")</f>
        <v>nba score finals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IFERROR(__xludf.DUMMYFUNCTION("""COMPUTED_VALUE"""),"nba predictions finals")</f>
        <v>nba predictions finals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IFERROR(__xludf.DUMMYFUNCTION("""COMPUTED_VALUE"""),"nba picks finals")</f>
        <v>nba picks finals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IFERROR(__xludf.DUMMYFUNCTION("""COMPUTED_VALUE"""),"nba schedule finals")</f>
        <v>nba schedule finals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IFERROR(__xludf.DUMMYFUNCTION("""COMPUTED_VALUE"""),"nba betting parlay")</f>
        <v>nba betting parlay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IFERROR(__xludf.DUMMYFUNCTION("""COMPUTED_VALUE"""),"nba bets parlay")</f>
        <v>nba bets parlay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IFERROR(__xludf.DUMMYFUNCTION("""COMPUTED_VALUE"""),"nba bet parlay")</f>
        <v>nba bet parlay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IFERROR(__xludf.DUMMYFUNCTION("""COMPUTED_VALUE"""),"nba odds parlay")</f>
        <v>nba odds parlay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IFERROR(__xludf.DUMMYFUNCTION("""COMPUTED_VALUE"""),"nba betting odds parlay")</f>
        <v>nba betting odds parlay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IFERROR(__xludf.DUMMYFUNCTION("""COMPUTED_VALUE"""),"nba scores parlay")</f>
        <v>nba scores parlay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IFERROR(__xludf.DUMMYFUNCTION("""COMPUTED_VALUE"""),"nba score parlay")</f>
        <v>nba score parlay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IFERROR(__xludf.DUMMYFUNCTION("""COMPUTED_VALUE"""),"nba predictions parlay")</f>
        <v>nba predictions parlay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IFERROR(__xludf.DUMMYFUNCTION("""COMPUTED_VALUE"""),"nba picks parlay")</f>
        <v>nba picks parlay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IFERROR(__xludf.DUMMYFUNCTION("""COMPUTED_VALUE"""),"nba schedule parlay")</f>
        <v>nba schedule parlay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IFERROR(__xludf.DUMMYFUNCTION("""COMPUTED_VALUE"""),"nba betting parlays")</f>
        <v>nba betting parlays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IFERROR(__xludf.DUMMYFUNCTION("""COMPUTED_VALUE"""),"nba bets parlays")</f>
        <v>nba bets parlays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IFERROR(__xludf.DUMMYFUNCTION("""COMPUTED_VALUE"""),"nba bet parlays")</f>
        <v>nba bet parlays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IFERROR(__xludf.DUMMYFUNCTION("""COMPUTED_VALUE"""),"nba odds parlays")</f>
        <v>nba odds parlays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IFERROR(__xludf.DUMMYFUNCTION("""COMPUTED_VALUE"""),"nba betting odds parlays")</f>
        <v>nba betting odds parlays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IFERROR(__xludf.DUMMYFUNCTION("""COMPUTED_VALUE"""),"nba scores parlays")</f>
        <v>nba scores parlays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IFERROR(__xludf.DUMMYFUNCTION("""COMPUTED_VALUE"""),"nba score parlays")</f>
        <v>nba score parlays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IFERROR(__xludf.DUMMYFUNCTION("""COMPUTED_VALUE"""),"nba predictions parlays")</f>
        <v>nba predictions parlays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IFERROR(__xludf.DUMMYFUNCTION("""COMPUTED_VALUE"""),"nba picks parlays")</f>
        <v>nba picks parlays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IFERROR(__xludf.DUMMYFUNCTION("""COMPUTED_VALUE"""),"nba schedule parlays")</f>
        <v>nba schedule parlays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IFERROR(__xludf.DUMMYFUNCTION("""COMPUTED_VALUE"""),"nba betting bet online")</f>
        <v>nba betting bet online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IFERROR(__xludf.DUMMYFUNCTION("""COMPUTED_VALUE"""),"nba bets bet online")</f>
        <v>nba bets bet online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IFERROR(__xludf.DUMMYFUNCTION("""COMPUTED_VALUE"""),"nba bet bet online")</f>
        <v>nba bet bet online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IFERROR(__xludf.DUMMYFUNCTION("""COMPUTED_VALUE"""),"nba odds bet online")</f>
        <v>nba odds bet online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IFERROR(__xludf.DUMMYFUNCTION("""COMPUTED_VALUE"""),"nba betting odds bet online")</f>
        <v>nba betting odds bet online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IFERROR(__xludf.DUMMYFUNCTION("""COMPUTED_VALUE"""),"nba scores bet online")</f>
        <v>nba scores bet online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IFERROR(__xludf.DUMMYFUNCTION("""COMPUTED_VALUE"""),"nba score bet online")</f>
        <v>nba score bet online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IFERROR(__xludf.DUMMYFUNCTION("""COMPUTED_VALUE"""),"nba predictions bet online")</f>
        <v>nba predictions bet online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IFERROR(__xludf.DUMMYFUNCTION("""COMPUTED_VALUE"""),"nba picks bet online")</f>
        <v>nba picks bet online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IFERROR(__xludf.DUMMYFUNCTION("""COMPUTED_VALUE"""),"nba schedule bet online")</f>
        <v>nba schedule bet online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IFERROR(__xludf.DUMMYFUNCTION("""COMPUTED_VALUE"""),"nba betting sportsbook")</f>
        <v>nba betting sportsbook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IFERROR(__xludf.DUMMYFUNCTION("""COMPUTED_VALUE"""),"nba bets sportsbook")</f>
        <v>nba bets sportsbook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IFERROR(__xludf.DUMMYFUNCTION("""COMPUTED_VALUE"""),"nba bet sportsbook")</f>
        <v>nba bet sportsbook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IFERROR(__xludf.DUMMYFUNCTION("""COMPUTED_VALUE"""),"nba odds sportsbook")</f>
        <v>nba odds sportsbook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IFERROR(__xludf.DUMMYFUNCTION("""COMPUTED_VALUE"""),"nba betting odds sportsbook")</f>
        <v>nba betting odds sportsbook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IFERROR(__xludf.DUMMYFUNCTION("""COMPUTED_VALUE"""),"nba scores sportsbook")</f>
        <v>nba scores sportsbook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IFERROR(__xludf.DUMMYFUNCTION("""COMPUTED_VALUE"""),"nba score sportsbook")</f>
        <v>nba score sportsbook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IFERROR(__xludf.DUMMYFUNCTION("""COMPUTED_VALUE"""),"nba predictions sportsbook")</f>
        <v>nba predictions sportsbook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IFERROR(__xludf.DUMMYFUNCTION("""COMPUTED_VALUE"""),"nba picks sportsbook")</f>
        <v>nba picks sportsbook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IFERROR(__xludf.DUMMYFUNCTION("""COMPUTED_VALUE"""),"nba schedule sportsbook")</f>
        <v>nba schedule sportsbook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IFERROR(__xludf.DUMMYFUNCTION("""COMPUTED_VALUE"""),"nba betting betting app")</f>
        <v>nba betting betting app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IFERROR(__xludf.DUMMYFUNCTION("""COMPUTED_VALUE"""),"nba bets betting app")</f>
        <v>nba bets betting app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IFERROR(__xludf.DUMMYFUNCTION("""COMPUTED_VALUE"""),"nba bet betting app")</f>
        <v>nba bet betting app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IFERROR(__xludf.DUMMYFUNCTION("""COMPUTED_VALUE"""),"nba odds betting app")</f>
        <v>nba odds betting app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IFERROR(__xludf.DUMMYFUNCTION("""COMPUTED_VALUE"""),"nba betting odds betting app")</f>
        <v>nba betting odds betting app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IFERROR(__xludf.DUMMYFUNCTION("""COMPUTED_VALUE"""),"nba scores betting app")</f>
        <v>nba scores betting app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IFERROR(__xludf.DUMMYFUNCTION("""COMPUTED_VALUE"""),"nba score betting app")</f>
        <v>nba score betting app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IFERROR(__xludf.DUMMYFUNCTION("""COMPUTED_VALUE"""),"nba predictions betting app")</f>
        <v>nba predictions betting app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IFERROR(__xludf.DUMMYFUNCTION("""COMPUTED_VALUE"""),"nba picks betting app")</f>
        <v>nba picks betting app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IFERROR(__xludf.DUMMYFUNCTION("""COMPUTED_VALUE"""),"nba schedule betting app")</f>
        <v>nba schedule betting app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IFERROR(__xludf.DUMMYFUNCTION("""COMPUTED_VALUE"""),"nba betting best")</f>
        <v>nba betting best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IFERROR(__xludf.DUMMYFUNCTION("""COMPUTED_VALUE"""),"nba bets best")</f>
        <v>nba bets best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IFERROR(__xludf.DUMMYFUNCTION("""COMPUTED_VALUE"""),"nba bet best")</f>
        <v>nba bet best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IFERROR(__xludf.DUMMYFUNCTION("""COMPUTED_VALUE"""),"nba odds best")</f>
        <v>nba odds best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IFERROR(__xludf.DUMMYFUNCTION("""COMPUTED_VALUE"""),"nba betting odds best")</f>
        <v>nba betting odds best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IFERROR(__xludf.DUMMYFUNCTION("""COMPUTED_VALUE"""),"nba scores best")</f>
        <v>nba scores best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IFERROR(__xludf.DUMMYFUNCTION("""COMPUTED_VALUE"""),"nba score best")</f>
        <v>nba score best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IFERROR(__xludf.DUMMYFUNCTION("""COMPUTED_VALUE"""),"nba predictions best")</f>
        <v>nba predictions best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IFERROR(__xludf.DUMMYFUNCTION("""COMPUTED_VALUE"""),"nba picks best")</f>
        <v>nba picks best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IFERROR(__xludf.DUMMYFUNCTION("""COMPUTED_VALUE"""),"nba schedule best")</f>
        <v>nba schedule best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IFERROR(__xludf.DUMMYFUNCTION("""COMPUTED_VALUE"""),"nba betting predictions")</f>
        <v>nba betting predictions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IFERROR(__xludf.DUMMYFUNCTION("""COMPUTED_VALUE"""),"nba bets predictions")</f>
        <v>nba bets predictions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IFERROR(__xludf.DUMMYFUNCTION("""COMPUTED_VALUE"""),"nba bet predictions")</f>
        <v>nba bet predictions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IFERROR(__xludf.DUMMYFUNCTION("""COMPUTED_VALUE"""),"nba odds predictions")</f>
        <v>nba odds predictions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IFERROR(__xludf.DUMMYFUNCTION("""COMPUTED_VALUE"""),"nba betting odds predictions")</f>
        <v>nba betting odds predictions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IFERROR(__xludf.DUMMYFUNCTION("""COMPUTED_VALUE"""),"nba scores predictions")</f>
        <v>nba scores predictions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IFERROR(__xludf.DUMMYFUNCTION("""COMPUTED_VALUE"""),"nba score predictions")</f>
        <v>nba score predictions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IFERROR(__xludf.DUMMYFUNCTION("""COMPUTED_VALUE"""),"nba predictions")</f>
        <v>nba predictions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IFERROR(__xludf.DUMMYFUNCTION("""COMPUTED_VALUE"""),"nba picks predictions")</f>
        <v>nba picks predictions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IFERROR(__xludf.DUMMYFUNCTION("""COMPUTED_VALUE"""),"nba schedule predictions")</f>
        <v>nba schedule predictions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IFERROR(__xludf.DUMMYFUNCTION("""COMPUTED_VALUE"""),"nba betting picks")</f>
        <v>nba betting picks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IFERROR(__xludf.DUMMYFUNCTION("""COMPUTED_VALUE"""),"nba bets picks")</f>
        <v>nba bets picks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IFERROR(__xludf.DUMMYFUNCTION("""COMPUTED_VALUE"""),"nba bet picks")</f>
        <v>nba bet picks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IFERROR(__xludf.DUMMYFUNCTION("""COMPUTED_VALUE"""),"nba odds picks")</f>
        <v>nba odds picks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IFERROR(__xludf.DUMMYFUNCTION("""COMPUTED_VALUE"""),"nba betting odds picks")</f>
        <v>nba betting odds picks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IFERROR(__xludf.DUMMYFUNCTION("""COMPUTED_VALUE"""),"nba scores picks")</f>
        <v>nba scores picks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IFERROR(__xludf.DUMMYFUNCTION("""COMPUTED_VALUE"""),"nba score picks")</f>
        <v>nba score picks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IFERROR(__xludf.DUMMYFUNCTION("""COMPUTED_VALUE"""),"nba predictions picks")</f>
        <v>nba predictions picks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IFERROR(__xludf.DUMMYFUNCTION("""COMPUTED_VALUE"""),"nba picks")</f>
        <v>nba picks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IFERROR(__xludf.DUMMYFUNCTION("""COMPUTED_VALUE"""),"nba schedule picks")</f>
        <v>nba schedule picks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IFERROR(__xludf.DUMMYFUNCTION("""COMPUTED_VALUE"""),"nba betting results")</f>
        <v>nba betting results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IFERROR(__xludf.DUMMYFUNCTION("""COMPUTED_VALUE"""),"nba bets results")</f>
        <v>nba bets results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IFERROR(__xludf.DUMMYFUNCTION("""COMPUTED_VALUE"""),"nba bet results")</f>
        <v>nba bet results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IFERROR(__xludf.DUMMYFUNCTION("""COMPUTED_VALUE"""),"nba odds results")</f>
        <v>nba odds results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IFERROR(__xludf.DUMMYFUNCTION("""COMPUTED_VALUE"""),"nba betting odds results")</f>
        <v>nba betting odds results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IFERROR(__xludf.DUMMYFUNCTION("""COMPUTED_VALUE"""),"nba scores results")</f>
        <v>nba scores results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IFERROR(__xludf.DUMMYFUNCTION("""COMPUTED_VALUE"""),"nba score results")</f>
        <v>nba score results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IFERROR(__xludf.DUMMYFUNCTION("""COMPUTED_VALUE"""),"nba predictions results")</f>
        <v>nba predictions results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IFERROR(__xludf.DUMMYFUNCTION("""COMPUTED_VALUE"""),"nba picks results")</f>
        <v>nba picks results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IFERROR(__xludf.DUMMYFUNCTION("""COMPUTED_VALUE"""),"nba schedule results")</f>
        <v>nba schedule results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IFERROR(__xludf.DUMMYFUNCTION("""COMPUTED_VALUE"""),"nba betting news")</f>
        <v>nba betting news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IFERROR(__xludf.DUMMYFUNCTION("""COMPUTED_VALUE"""),"nba bets news")</f>
        <v>nba bets news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IFERROR(__xludf.DUMMYFUNCTION("""COMPUTED_VALUE"""),"nba bet news")</f>
        <v>nba bet news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IFERROR(__xludf.DUMMYFUNCTION("""COMPUTED_VALUE"""),"nba odds news")</f>
        <v>nba odds news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IFERROR(__xludf.DUMMYFUNCTION("""COMPUTED_VALUE"""),"nba betting odds news")</f>
        <v>nba betting odds news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IFERROR(__xludf.DUMMYFUNCTION("""COMPUTED_VALUE"""),"nba scores news")</f>
        <v>nba scores news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IFERROR(__xludf.DUMMYFUNCTION("""COMPUTED_VALUE"""),"nba score news")</f>
        <v>nba score news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IFERROR(__xludf.DUMMYFUNCTION("""COMPUTED_VALUE"""),"nba predictions news")</f>
        <v>nba predictions news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IFERROR(__xludf.DUMMYFUNCTION("""COMPUTED_VALUE"""),"nba picks news")</f>
        <v>nba picks news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IFERROR(__xludf.DUMMYFUNCTION("""COMPUTED_VALUE"""),"nba schedule news")</f>
        <v>nba schedule news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IFERROR(__xludf.DUMMYFUNCTION("""COMPUTED_VALUE"""),"nba betting paradise games")</f>
        <v>nba betting paradise games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IFERROR(__xludf.DUMMYFUNCTION("""COMPUTED_VALUE"""),"nba bets paradise games")</f>
        <v>nba bets paradise games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IFERROR(__xludf.DUMMYFUNCTION("""COMPUTED_VALUE"""),"nba bet paradise games")</f>
        <v>nba bet paradise games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IFERROR(__xludf.DUMMYFUNCTION("""COMPUTED_VALUE"""),"nba odds paradise games")</f>
        <v>nba odds paradise games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IFERROR(__xludf.DUMMYFUNCTION("""COMPUTED_VALUE"""),"nba betting odds paradise games")</f>
        <v>nba betting odds paradise games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IFERROR(__xludf.DUMMYFUNCTION("""COMPUTED_VALUE"""),"nba scores paradise games")</f>
        <v>nba scores paradise games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IFERROR(__xludf.DUMMYFUNCTION("""COMPUTED_VALUE"""),"nba score paradise games")</f>
        <v>nba score paradise games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IFERROR(__xludf.DUMMYFUNCTION("""COMPUTED_VALUE"""),"nba predictions paradise games")</f>
        <v>nba predictions paradise games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IFERROR(__xludf.DUMMYFUNCTION("""COMPUTED_VALUE"""),"nba picks paradise games")</f>
        <v>nba picks paradise games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IFERROR(__xludf.DUMMYFUNCTION("""COMPUTED_VALUE"""),"nba schedule paradise games")</f>
        <v>nba schedule paradise games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IFERROR(__xludf.DUMMYFUNCTION("""COMPUTED_VALUE"""),"nba betting island luck")</f>
        <v>nba betting island luck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IFERROR(__xludf.DUMMYFUNCTION("""COMPUTED_VALUE"""),"nba bets island luck")</f>
        <v>nba bets island luck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IFERROR(__xludf.DUMMYFUNCTION("""COMPUTED_VALUE"""),"nba bet island luck")</f>
        <v>nba bet island luck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IFERROR(__xludf.DUMMYFUNCTION("""COMPUTED_VALUE"""),"nba odds island luck")</f>
        <v>nba odds island luck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IFERROR(__xludf.DUMMYFUNCTION("""COMPUTED_VALUE"""),"nba betting odds island luck")</f>
        <v>nba betting odds island luck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IFERROR(__xludf.DUMMYFUNCTION("""COMPUTED_VALUE"""),"nba scores island luck")</f>
        <v>nba scores island luck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IFERROR(__xludf.DUMMYFUNCTION("""COMPUTED_VALUE"""),"nba score island luck")</f>
        <v>nba score island luck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IFERROR(__xludf.DUMMYFUNCTION("""COMPUTED_VALUE"""),"nba predictions island luck")</f>
        <v>nba predictions island luck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IFERROR(__xludf.DUMMYFUNCTION("""COMPUTED_VALUE"""),"nba picks island luck")</f>
        <v>nba picks island luck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IFERROR(__xludf.DUMMYFUNCTION("""COMPUTED_VALUE"""),"nba schedule island luck")</f>
        <v>nba schedule island luck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IFERROR(__xludf.DUMMYFUNCTION("""COMPUTED_VALUE"""),"nba betting chances")</f>
        <v>nba betting chances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IFERROR(__xludf.DUMMYFUNCTION("""COMPUTED_VALUE"""),"nba bets chances")</f>
        <v>nba bets chances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IFERROR(__xludf.DUMMYFUNCTION("""COMPUTED_VALUE"""),"nba bet chances")</f>
        <v>nba bet chances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IFERROR(__xludf.DUMMYFUNCTION("""COMPUTED_VALUE"""),"nba odds chances")</f>
        <v>nba odds chances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IFERROR(__xludf.DUMMYFUNCTION("""COMPUTED_VALUE"""),"nba betting odds chances")</f>
        <v>nba betting odds chances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IFERROR(__xludf.DUMMYFUNCTION("""COMPUTED_VALUE"""),"nba scores chances")</f>
        <v>nba scores chances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IFERROR(__xludf.DUMMYFUNCTION("""COMPUTED_VALUE"""),"nba score chances")</f>
        <v>nba score chances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IFERROR(__xludf.DUMMYFUNCTION("""COMPUTED_VALUE"""),"nba predictions chances")</f>
        <v>nba predictions chances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IFERROR(__xludf.DUMMYFUNCTION("""COMPUTED_VALUE"""),"nba picks chances")</f>
        <v>nba picks chances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IFERROR(__xludf.DUMMYFUNCTION("""COMPUTED_VALUE"""),"nba schedule chances")</f>
        <v>nba schedule chances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IFERROR(__xludf.DUMMYFUNCTION("""COMPUTED_VALUE"""),"nba betting ultra games")</f>
        <v>nba betting ultra games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IFERROR(__xludf.DUMMYFUNCTION("""COMPUTED_VALUE"""),"nba bets ultra games")</f>
        <v>nba bets ultra games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IFERROR(__xludf.DUMMYFUNCTION("""COMPUTED_VALUE"""),"nba bet ultra games")</f>
        <v>nba bet ultra games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IFERROR(__xludf.DUMMYFUNCTION("""COMPUTED_VALUE"""),"nba odds ultra games")</f>
        <v>nba odds ultra games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IFERROR(__xludf.DUMMYFUNCTION("""COMPUTED_VALUE"""),"nba betting odds ultra games")</f>
        <v>nba betting odds ultra games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IFERROR(__xludf.DUMMYFUNCTION("""COMPUTED_VALUE"""),"nba scores ultra games")</f>
        <v>nba scores ultra games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IFERROR(__xludf.DUMMYFUNCTION("""COMPUTED_VALUE"""),"nba score ultra games")</f>
        <v>nba score ultra games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IFERROR(__xludf.DUMMYFUNCTION("""COMPUTED_VALUE"""),"nba predictions ultra games")</f>
        <v>nba predictions ultra games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IFERROR(__xludf.DUMMYFUNCTION("""COMPUTED_VALUE"""),"nba picks ultra games")</f>
        <v>nba picks ultra games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IFERROR(__xludf.DUMMYFUNCTION("""COMPUTED_VALUE"""),"nba schedule ultra games")</f>
        <v>nba schedule ultra games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IFERROR(__xludf.DUMMYFUNCTION("""COMPUTED_VALUE"""),"nba betting nassau")</f>
        <v>nba betting nassau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IFERROR(__xludf.DUMMYFUNCTION("""COMPUTED_VALUE"""),"nba bets nassau")</f>
        <v>nba bets nassau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IFERROR(__xludf.DUMMYFUNCTION("""COMPUTED_VALUE"""),"nba bet nassau")</f>
        <v>nba bet nassau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IFERROR(__xludf.DUMMYFUNCTION("""COMPUTED_VALUE"""),"nba odds nassau")</f>
        <v>nba odds nassau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IFERROR(__xludf.DUMMYFUNCTION("""COMPUTED_VALUE"""),"nba betting odds nassau")</f>
        <v>nba betting odds nassau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IFERROR(__xludf.DUMMYFUNCTION("""COMPUTED_VALUE"""),"nba scores nassau")</f>
        <v>nba scores nassau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IFERROR(__xludf.DUMMYFUNCTION("""COMPUTED_VALUE"""),"nba score nassau")</f>
        <v>nba score nassau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IFERROR(__xludf.DUMMYFUNCTION("""COMPUTED_VALUE"""),"nba predictions nassau")</f>
        <v>nba predictions nassau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IFERROR(__xludf.DUMMYFUNCTION("""COMPUTED_VALUE"""),"nba picks nassau")</f>
        <v>nba picks nassau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IFERROR(__xludf.DUMMYFUNCTION("""COMPUTED_VALUE"""),"nba schedule nassau")</f>
        <v>nba schedule nassau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IFERROR(__xludf.DUMMYFUNCTION("""COMPUTED_VALUE"""),"nba betting freeport")</f>
        <v>nba betting freeport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IFERROR(__xludf.DUMMYFUNCTION("""COMPUTED_VALUE"""),"nba bets freeport")</f>
        <v>nba bets freeport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IFERROR(__xludf.DUMMYFUNCTION("""COMPUTED_VALUE"""),"nba bet freeport")</f>
        <v>nba bet freeport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IFERROR(__xludf.DUMMYFUNCTION("""COMPUTED_VALUE"""),"nba odds freeport")</f>
        <v>nba odds freeport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IFERROR(__xludf.DUMMYFUNCTION("""COMPUTED_VALUE"""),"nba betting odds freeport")</f>
        <v>nba betting odds freeport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IFERROR(__xludf.DUMMYFUNCTION("""COMPUTED_VALUE"""),"nba scores freeport")</f>
        <v>nba scores freeport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IFERROR(__xludf.DUMMYFUNCTION("""COMPUTED_VALUE"""),"nba score freeport")</f>
        <v>nba score freeport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IFERROR(__xludf.DUMMYFUNCTION("""COMPUTED_VALUE"""),"nba predictions freeport")</f>
        <v>nba predictions freeport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IFERROR(__xludf.DUMMYFUNCTION("""COMPUTED_VALUE"""),"nba picks freeport")</f>
        <v>nba picks freeport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IFERROR(__xludf.DUMMYFUNCTION("""COMPUTED_VALUE"""),"nba schedule freeport")</f>
        <v>nba schedule freeport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IFERROR(__xludf.DUMMYFUNCTION("""COMPUTED_VALUE"""),"nba betting basketball")</f>
        <v>nba betting basketball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IFERROR(__xludf.DUMMYFUNCTION("""COMPUTED_VALUE"""),"nba bets basketball")</f>
        <v>nba bets basketball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IFERROR(__xludf.DUMMYFUNCTION("""COMPUTED_VALUE"""),"nba bet basketball")</f>
        <v>nba bet basketball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IFERROR(__xludf.DUMMYFUNCTION("""COMPUTED_VALUE"""),"nba odds basketball")</f>
        <v>nba odds basketball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IFERROR(__xludf.DUMMYFUNCTION("""COMPUTED_VALUE"""),"nba betting odds basketball")</f>
        <v>nba betting odds basketball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IFERROR(__xludf.DUMMYFUNCTION("""COMPUTED_VALUE"""),"nba scores basketball")</f>
        <v>nba scores basketball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IFERROR(__xludf.DUMMYFUNCTION("""COMPUTED_VALUE"""),"nba score basketball")</f>
        <v>nba score basketball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IFERROR(__xludf.DUMMYFUNCTION("""COMPUTED_VALUE"""),"nba predictions basketball")</f>
        <v>nba predictions basketball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IFERROR(__xludf.DUMMYFUNCTION("""COMPUTED_VALUE"""),"nba picks basketball")</f>
        <v>nba picks basketball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IFERROR(__xludf.DUMMYFUNCTION("""COMPUTED_VALUE"""),"nba schedule basketball")</f>
        <v>nba schedule basketball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IFERROR(__xludf.DUMMYFUNCTION("""COMPUTED_VALUE"""),"nba betting basketball betting")</f>
        <v>nba betting basketball betting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IFERROR(__xludf.DUMMYFUNCTION("""COMPUTED_VALUE"""),"nba bets basketball betting")</f>
        <v>nba bets basketball betting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IFERROR(__xludf.DUMMYFUNCTION("""COMPUTED_VALUE"""),"nba bet basketball betting")</f>
        <v>nba bet basketball betting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IFERROR(__xludf.DUMMYFUNCTION("""COMPUTED_VALUE"""),"nba odds basketball betting")</f>
        <v>nba odds basketball betting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IFERROR(__xludf.DUMMYFUNCTION("""COMPUTED_VALUE"""),"nba betting odds basketball betting")</f>
        <v>nba betting odds basketball betting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IFERROR(__xludf.DUMMYFUNCTION("""COMPUTED_VALUE"""),"nba scores basketball betting")</f>
        <v>nba scores basketball betting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IFERROR(__xludf.DUMMYFUNCTION("""COMPUTED_VALUE"""),"nba score basketball betting")</f>
        <v>nba score basketball betting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IFERROR(__xludf.DUMMYFUNCTION("""COMPUTED_VALUE"""),"nba predictions basketball betting")</f>
        <v>nba predictions basketball betting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IFERROR(__xludf.DUMMYFUNCTION("""COMPUTED_VALUE"""),"nba picks basketball betting")</f>
        <v>nba picks basketball betting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IFERROR(__xludf.DUMMYFUNCTION("""COMPUTED_VALUE"""),"nba schedule basketball betting")</f>
        <v>nba schedule basketball betting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IFERROR(__xludf.DUMMYFUNCTION("""COMPUTED_VALUE"""),"nba betting")</f>
        <v>nba betting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IFERROR(__xludf.DUMMYFUNCTION("""COMPUTED_VALUE"""),"nba bets")</f>
        <v>nba bets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IFERROR(__xludf.DUMMYFUNCTION("""COMPUTED_VALUE"""),"nba bet")</f>
        <v>nba bet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IFERROR(__xludf.DUMMYFUNCTION("""COMPUTED_VALUE"""),"nba odds")</f>
        <v>nba odds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IFERROR(__xludf.DUMMYFUNCTION("""COMPUTED_VALUE"""),"nba betting odds")</f>
        <v>nba betting odds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IFERROR(__xludf.DUMMYFUNCTION("""COMPUTED_VALUE"""),"nba scores")</f>
        <v>nba scores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IFERROR(__xludf.DUMMYFUNCTION("""COMPUTED_VALUE"""),"nba score")</f>
        <v>nba score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IFERROR(__xludf.DUMMYFUNCTION("""COMPUTED_VALUE"""),"nba predictions")</f>
        <v>nba predictions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IFERROR(__xludf.DUMMYFUNCTION("""COMPUTED_VALUE"""),"nba picks")</f>
        <v>nba picks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IFERROR(__xludf.DUMMYFUNCTION("""COMPUTED_VALUE"""),"nba schedule")</f>
        <v>nba schedule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1" width="18.0"/>
  </cols>
  <sheetData>
    <row r="1">
      <c r="A1" s="1"/>
      <c r="B1" s="2" t="s">
        <v>189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196</v>
      </c>
      <c r="J1" s="2" t="s">
        <v>197</v>
      </c>
      <c r="K1" s="2" t="s">
        <v>198</v>
      </c>
      <c r="L1" s="1"/>
      <c r="M1" s="2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""&amp;$A3))"),"nfl betting bahamas")</f>
        <v>nfl betting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""&amp;$A3))"),"nfl bets bahamas")</f>
        <v>nfl bets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""&amp;$A3))"),"nfl bet bahamas")</f>
        <v>nfl bet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""&amp;$A3))"),"nfl odds bahamas")</f>
        <v>nfl odds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""&amp;$A3))"),"nfl betting odds bahamas")</f>
        <v>nfl betting odds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""&amp;$A3))"),"nfl scores bahamas")</f>
        <v>nfl scores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""&amp;$A3))"),"nfl score bahamas")</f>
        <v>nfl score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""&amp;$A3))"),"nfl predictions bahamas")</f>
        <v>nfl predictions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""&amp;$A3))"),"nfl picks bahamas")</f>
        <v>nfl picks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""&amp;$A3))"),"nfl schedule bahamas")</f>
        <v>nfl schedule bahamas</v>
      </c>
      <c r="L3" s="13"/>
      <c r="M3" s="13" t="str">
        <f>IFERROR(__xludf.DUMMYFUNCTION("FLATTEN(B3:K39,B1:K1)"),"nfl betting bahamas")</f>
        <v>nfl betting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46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""&amp;$A4))"),"nfl betting today")</f>
        <v>nfl betting today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""&amp;$A4))"),"nfl bets today")</f>
        <v>nfl bets today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""&amp;$A4))"),"nfl bet today")</f>
        <v>nfl bet today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""&amp;$A4))"),"nfl odds today")</f>
        <v>nfl odds today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""&amp;$A4))"),"nfl betting odds today")</f>
        <v>nfl betting odds today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""&amp;$A4))"),"nfl scores today")</f>
        <v>nfl scores today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""&amp;$A4))"),"nfl score today")</f>
        <v>nfl score today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""&amp;$A4))"),"nfl predictions today")</f>
        <v>nfl predictions today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""&amp;$A4))"),"nfl picks today")</f>
        <v>nfl picks today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""&amp;$A4))"),"nfl schedule today")</f>
        <v>nfl schedule today</v>
      </c>
      <c r="L4" s="13"/>
      <c r="M4" s="13" t="str">
        <f>IFERROR(__xludf.DUMMYFUNCTION("""COMPUTED_VALUE"""),"nfl bets bahamas")</f>
        <v>nfl bets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49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""&amp;$A5))"),"nfl betting tonight")</f>
        <v>nfl betting tonight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""&amp;$A5))"),"nfl bets tonight")</f>
        <v>nfl bets tonight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""&amp;$A5))"),"nfl bet tonight")</f>
        <v>nfl bet tonight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""&amp;$A5))"),"nfl odds tonight")</f>
        <v>nfl odds tonight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""&amp;$A5))"),"nfl betting odds tonight")</f>
        <v>nfl betting odds tonight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""&amp;$A5))"),"nfl scores tonight")</f>
        <v>nfl scores tonight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""&amp;$A5))"),"nfl score tonight")</f>
        <v>nfl score tonight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""&amp;$A5))"),"nfl predictions tonight")</f>
        <v>nfl predictions tonight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""&amp;$A5))"),"nfl picks tonight")</f>
        <v>nfl picks tonight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""&amp;$A5))"),"nfl schedule tonight")</f>
        <v>nfl schedule tonight</v>
      </c>
      <c r="L5" s="13"/>
      <c r="M5" s="13" t="str">
        <f>IFERROR(__xludf.DUMMYFUNCTION("""COMPUTED_VALUE"""),"nfl bet bahamas")</f>
        <v>nfl bet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68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""&amp;$A6))"),"nfl betting live")</f>
        <v>nfl betting live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""&amp;$A6))"),"nfl bets live")</f>
        <v>nfl bets live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""&amp;$A6))"),"nfl bet live")</f>
        <v>nfl bet live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""&amp;$A6))"),"nfl odds live")</f>
        <v>nfl odds live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""&amp;$A6))"),"nfl betting odds live")</f>
        <v>nfl betting odds live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""&amp;$A6))"),"nfl scores live")</f>
        <v>nfl scores live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""&amp;$A6))"),"nfl score live")</f>
        <v>nfl score live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""&amp;$A6))"),"nfl predictions live")</f>
        <v>nfl predictions live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""&amp;$A6))"),"nfl picks live")</f>
        <v>nfl picks live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""&amp;$A6))"),"nfl schedule live")</f>
        <v>nfl schedule live</v>
      </c>
      <c r="L6" s="13"/>
      <c r="M6" s="13" t="str">
        <f>IFERROR(__xludf.DUMMYFUNCTION("""COMPUTED_VALUE"""),"nfl odds bahamas")</f>
        <v>nfl odds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199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""&amp;$A7))"),"nfl betting games")</f>
        <v>nfl betting games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""&amp;$A7))"),"nfl bets games")</f>
        <v>nfl bets games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""&amp;$A7))"),"nfl bet games")</f>
        <v>nfl bet games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""&amp;$A7))"),"nfl odds games")</f>
        <v>nfl odds games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""&amp;$A7))"),"nfl betting odds games")</f>
        <v>nfl betting odds games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""&amp;$A7))"),"nfl scores games")</f>
        <v>nfl scores games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""&amp;$A7))"),"nfl score games")</f>
        <v>nfl score games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""&amp;$A7))"),"nfl predictions games")</f>
        <v>nfl predictions games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""&amp;$A7))"),"nfl picks games")</f>
        <v>nfl picks games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""&amp;$A7))"),"nfl schedule games")</f>
        <v>nfl schedule games</v>
      </c>
      <c r="L7" s="13"/>
      <c r="M7" s="13" t="str">
        <f>IFERROR(__xludf.DUMMYFUNCTION("""COMPUTED_VALUE"""),"nfl betting odds bahamas")</f>
        <v>nfl betting odds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200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""&amp;$A8))"),"nfl betting schedule")</f>
        <v>nfl betting schedule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""&amp;$A8))"),"nfl bets schedule")</f>
        <v>nfl bets schedule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""&amp;$A8))"),"nfl bet schedule")</f>
        <v>nfl bet schedule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""&amp;$A8))"),"nfl odds schedule")</f>
        <v>nfl odds schedule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""&amp;$A8))"),"nfl betting odds schedule")</f>
        <v>nfl betting odds schedule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""&amp;$A8))"),"nfl scores schedule")</f>
        <v>nfl scores schedule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""&amp;$A8))"),"nfl score schedule")</f>
        <v>nfl score schedule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""&amp;$A8))"),"nfl predictions schedule")</f>
        <v>nfl predictions schedule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""&amp;$A8))"),"nfl picks schedule")</f>
        <v>nfl picks schedule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""&amp;$A8))"),"nfl schedule")</f>
        <v>nfl schedule</v>
      </c>
      <c r="L8" s="13"/>
      <c r="M8" s="13" t="str">
        <f>IFERROR(__xludf.DUMMYFUNCTION("""COMPUTED_VALUE"""),"nfl scores bahamas")</f>
        <v>nfl scores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201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""&amp;$A9))"),"nfl betting scores")</f>
        <v>nfl betting scores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""&amp;$A9))"),"nfl bets scores")</f>
        <v>nfl bets scores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""&amp;$A9))"),"nfl bet scores")</f>
        <v>nfl bet scores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""&amp;$A9))"),"nfl odds scores")</f>
        <v>nfl odds scores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""&amp;$A9))"),"nfl betting odds scores")</f>
        <v>nfl betting odds scores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""&amp;$A9))"),"nfl scores")</f>
        <v>nfl scores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""&amp;$A9))"),"nfl score")</f>
        <v>nfl score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""&amp;$A9))"),"nfl predictions scores")</f>
        <v>nfl predictions scores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""&amp;$A9))"),"nfl picks scores")</f>
        <v>nfl picks scores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""&amp;$A9))"),"nfl schedule scores")</f>
        <v>nfl schedule scores</v>
      </c>
      <c r="L9" s="13"/>
      <c r="M9" s="13" t="str">
        <f>IFERROR(__xludf.DUMMYFUNCTION("""COMPUTED_VALUE"""),"nfl score bahamas")</f>
        <v>nfl score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67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""&amp;$A10))"),"nfl betting odds")</f>
        <v>nfl betting odds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""&amp;$A10))"),"nfl bets odds")</f>
        <v>nfl bets odds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""&amp;$A10))"),"nfl bet odds")</f>
        <v>nfl bet odds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""&amp;$A10))"),"nfl odds")</f>
        <v>nfl odds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""&amp;$A10))"),"nfl betting odds")</f>
        <v>nfl betting odds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""&amp;$A10))"),"nfl scores odds")</f>
        <v>nfl scores odds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""&amp;$A10))"),"nfl score odds")</f>
        <v>nfl score odds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""&amp;$A10))"),"nfl predictions odds")</f>
        <v>nfl predictions odds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""&amp;$A10))"),"nfl picks odds")</f>
        <v>nfl picks odds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""&amp;$A10))"),"nfl schedule odds")</f>
        <v>nfl schedule odds</v>
      </c>
      <c r="L10" s="13"/>
      <c r="M10" s="13" t="str">
        <f>IFERROR(__xludf.DUMMYFUNCTION("""COMPUTED_VALUE"""),"nfl predictions bahamas")</f>
        <v>nfl predictions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202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""&amp;$A11))"),"nfl betting spreads")</f>
        <v>nfl betting spreads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""&amp;$A11))"),"nfl bets spreads")</f>
        <v>nfl bets spreads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""&amp;$A11))"),"nfl bet spreads")</f>
        <v>nfl bet spreads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""&amp;$A11))"),"nfl odds spreads")</f>
        <v>nfl odds spreads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""&amp;$A11))"),"nfl betting odds spreads")</f>
        <v>nfl betting odds spreads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""&amp;$A11))"),"nfl scores spreads")</f>
        <v>nfl scores spreads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""&amp;$A11))"),"nfl score spreads")</f>
        <v>nfl score spreads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""&amp;$A11))"),"nfl predictions spreads")</f>
        <v>nfl predictions spreads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""&amp;$A11))"),"nfl picks spreads")</f>
        <v>nfl picks spreads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""&amp;$A11))"),"nfl schedule spreads")</f>
        <v>nfl schedule spreads</v>
      </c>
      <c r="L11" s="13"/>
      <c r="M11" s="13" t="str">
        <f>IFERROR(__xludf.DUMMYFUNCTION("""COMPUTED_VALUE"""),"nfl picks bahamas")</f>
        <v>nfl picks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203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""&amp;$A12))"),"nfl betting point spread")</f>
        <v>nfl betting point spread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""&amp;$A12))"),"nfl bets point spread")</f>
        <v>nfl bets point spread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""&amp;$A12))"),"nfl bet point spread")</f>
        <v>nfl bet point spread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""&amp;$A12))"),"nfl odds point spread")</f>
        <v>nfl odds point spread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""&amp;$A12))"),"nfl betting odds point spread")</f>
        <v>nfl betting odds point spread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""&amp;$A12))"),"nfl scores point spread")</f>
        <v>nfl scores point spread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""&amp;$A12))"),"nfl score point spread")</f>
        <v>nfl score point spread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""&amp;$A12))"),"nfl predictions point spread")</f>
        <v>nfl predictions point spread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""&amp;$A12))"),"nfl picks point spread")</f>
        <v>nfl picks point spread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""&amp;$A12))"),"nfl schedule point spread")</f>
        <v>nfl schedule point spread</v>
      </c>
      <c r="L12" s="13"/>
      <c r="M12" s="13" t="str">
        <f>IFERROR(__xludf.DUMMYFUNCTION("""COMPUTED_VALUE"""),"nfl schedule bahamas")</f>
        <v>nfl schedule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204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""&amp;$A13))"),"nfl betting moneyline")</f>
        <v>nfl betting moneyline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""&amp;$A13))"),"nfl bets moneyline")</f>
        <v>nfl bets moneyline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""&amp;$A13))"),"nfl bet moneyline")</f>
        <v>nfl bet moneyline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""&amp;$A13))"),"nfl odds moneyline")</f>
        <v>nfl odds moneyline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""&amp;$A13))"),"nfl betting odds moneyline")</f>
        <v>nfl betting odds moneyline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""&amp;$A13))"),"nfl scores moneyline")</f>
        <v>nfl scores moneyline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""&amp;$A13))"),"nfl score moneyline")</f>
        <v>nfl score moneyline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""&amp;$A13))"),"nfl predictions moneyline")</f>
        <v>nfl predictions moneyline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""&amp;$A13))"),"nfl picks moneyline")</f>
        <v>nfl picks moneyline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""&amp;$A13))"),"nfl schedule moneyline")</f>
        <v>nfl schedule moneyline</v>
      </c>
      <c r="L13" s="13"/>
      <c r="M13" s="13" t="str">
        <f>IFERROR(__xludf.DUMMYFUNCTION("""COMPUTED_VALUE"""),"nfl betting today")</f>
        <v>nfl betting today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205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""&amp;$A14))"),"nfl betting over under")</f>
        <v>nfl betting over under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""&amp;$A14))"),"nfl bets over under")</f>
        <v>nfl bets over under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""&amp;$A14))"),"nfl bet over under")</f>
        <v>nfl bet over under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""&amp;$A14))"),"nfl odds over under")</f>
        <v>nfl odds over under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""&amp;$A14))"),"nfl betting odds over under")</f>
        <v>nfl betting odds over under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""&amp;$A14))"),"nfl scores over under")</f>
        <v>nfl scores over under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""&amp;$A14))"),"nfl score over under")</f>
        <v>nfl score over under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""&amp;$A14))"),"nfl predictions over under")</f>
        <v>nfl predictions over under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""&amp;$A14))"),"nfl picks over under")</f>
        <v>nfl picks over under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""&amp;$A14))"),"nfl schedule over under")</f>
        <v>nfl schedule over under</v>
      </c>
      <c r="L14" s="13"/>
      <c r="M14" s="13" t="str">
        <f>IFERROR(__xludf.DUMMYFUNCTION("""COMPUTED_VALUE"""),"nfl bets today")</f>
        <v>nfl bets today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206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""&amp;$A15))"),"nfl betting props")</f>
        <v>nfl betting props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""&amp;$A15))"),"nfl bets props")</f>
        <v>nfl bets props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""&amp;$A15))"),"nfl bet props")</f>
        <v>nfl bet props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""&amp;$A15))"),"nfl odds props")</f>
        <v>nfl odds props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""&amp;$A15))"),"nfl betting odds props")</f>
        <v>nfl betting odds props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""&amp;$A15))"),"nfl scores props")</f>
        <v>nfl scores props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""&amp;$A15))"),"nfl score props")</f>
        <v>nfl score props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""&amp;$A15))"),"nfl predictions props")</f>
        <v>nfl predictions props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""&amp;$A15))"),"nfl picks props")</f>
        <v>nfl picks props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""&amp;$A15))"),"nfl schedule props")</f>
        <v>nfl schedule props</v>
      </c>
      <c r="L15" s="13"/>
      <c r="M15" s="13" t="str">
        <f>IFERROR(__xludf.DUMMYFUNCTION("""COMPUTED_VALUE"""),"nfl bet today")</f>
        <v>nfl bet today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207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""&amp;$A16))"),"nfl betting player props")</f>
        <v>nfl betting player props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""&amp;$A16))"),"nfl bets player props")</f>
        <v>nfl bets player props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""&amp;$A16))"),"nfl bet player props")</f>
        <v>nfl bet player props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""&amp;$A16))"),"nfl odds player props")</f>
        <v>nfl odds player props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""&amp;$A16))"),"nfl betting odds player props")</f>
        <v>nfl betting odds player props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""&amp;$A16))"),"nfl scores player props")</f>
        <v>nfl scores player props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""&amp;$A16))"),"nfl score player props")</f>
        <v>nfl score player props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""&amp;$A16))"),"nfl predictions player props")</f>
        <v>nfl predictions player props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""&amp;$A16))"),"nfl picks player props")</f>
        <v>nfl picks player props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""&amp;$A16))"),"nfl schedule player props")</f>
        <v>nfl schedule player props</v>
      </c>
      <c r="L16" s="13"/>
      <c r="M16" s="13" t="str">
        <f>IFERROR(__xludf.DUMMYFUNCTION("""COMPUTED_VALUE"""),"nfl odds today")</f>
        <v>nfl odds today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208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""&amp;$A17))"),"nfl betting injury report")</f>
        <v>nfl betting injury report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""&amp;$A17))"),"nfl bets injury report")</f>
        <v>nfl bets injury report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""&amp;$A17))"),"nfl bet injury report")</f>
        <v>nfl bet injury report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""&amp;$A17))"),"nfl odds injury report")</f>
        <v>nfl odds injury report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""&amp;$A17))"),"nfl betting odds injury report")</f>
        <v>nfl betting odds injury report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""&amp;$A17))"),"nfl scores injury report")</f>
        <v>nfl scores injury report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""&amp;$A17))"),"nfl score injury report")</f>
        <v>nfl score injury report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""&amp;$A17))"),"nfl predictions injury report")</f>
        <v>nfl predictions injury report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""&amp;$A17))"),"nfl picks injury report")</f>
        <v>nfl picks injury report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""&amp;$A17))"),"nfl schedule injury report")</f>
        <v>nfl schedule injury report</v>
      </c>
      <c r="L17" s="13"/>
      <c r="M17" s="13" t="str">
        <f>IFERROR(__xludf.DUMMYFUNCTION("""COMPUTED_VALUE"""),"nfl betting odds today")</f>
        <v>nfl betting odds today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209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""&amp;$A18))"),"nfl betting standings")</f>
        <v>nfl betting standings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""&amp;$A18))"),"nfl bets standings")</f>
        <v>nfl bets standings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""&amp;$A18))"),"nfl bet standings")</f>
        <v>nfl bet standings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""&amp;$A18))"),"nfl odds standings")</f>
        <v>nfl odds standings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""&amp;$A18))"),"nfl betting odds standings")</f>
        <v>nfl betting odds standings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""&amp;$A18))"),"nfl scores standings")</f>
        <v>nfl scores standings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""&amp;$A18))"),"nfl score standings")</f>
        <v>nfl score standings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""&amp;$A18))"),"nfl predictions standings")</f>
        <v>nfl predictions standings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""&amp;$A18))"),"nfl picks standings")</f>
        <v>nfl picks standings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""&amp;$A18))"),"nfl schedule standings")</f>
        <v>nfl schedule standings</v>
      </c>
      <c r="L18" s="13"/>
      <c r="M18" s="13" t="str">
        <f>IFERROR(__xludf.DUMMYFUNCTION("""COMPUTED_VALUE"""),"nfl scores today")</f>
        <v>nfl scores today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210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""&amp;$A19))"),"nfl betting playoffs")</f>
        <v>nfl betting playoffs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""&amp;$A19))"),"nfl bets playoffs")</f>
        <v>nfl bets playoffs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""&amp;$A19))"),"nfl bet playoffs")</f>
        <v>nfl bet playoffs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""&amp;$A19))"),"nfl odds playoffs")</f>
        <v>nfl odds playoffs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""&amp;$A19))"),"nfl betting odds playoffs")</f>
        <v>nfl betting odds playoffs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""&amp;$A19))"),"nfl scores playoffs")</f>
        <v>nfl scores playoffs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""&amp;$A19))"),"nfl score playoffs")</f>
        <v>nfl score playoffs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""&amp;$A19))"),"nfl predictions playoffs")</f>
        <v>nfl predictions playoffs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""&amp;$A19))"),"nfl picks playoffs")</f>
        <v>nfl picks playoffs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""&amp;$A19))"),"nfl schedule playoffs")</f>
        <v>nfl schedule playoffs</v>
      </c>
      <c r="L19" s="13"/>
      <c r="M19" s="13" t="str">
        <f>IFERROR(__xludf.DUMMYFUNCTION("""COMPUTED_VALUE"""),"nfl score today")</f>
        <v>nfl score today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211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""&amp;$A20))"),"nfl betting super bowl")</f>
        <v>nfl betting super bowl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""&amp;$A20))"),"nfl bets super bowl")</f>
        <v>nfl bets super bowl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""&amp;$A20))"),"nfl bet super bowl")</f>
        <v>nfl bet super bowl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""&amp;$A20))"),"nfl odds super bowl")</f>
        <v>nfl odds super bowl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""&amp;$A20))"),"nfl betting odds super bowl")</f>
        <v>nfl betting odds super bowl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""&amp;$A20))"),"nfl scores super bowl")</f>
        <v>nfl scores super bowl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""&amp;$A20))"),"nfl score super bowl")</f>
        <v>nfl score super bowl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""&amp;$A20))"),"nfl predictions super bowl")</f>
        <v>nfl predictions super bowl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""&amp;$A20))"),"nfl picks super bowl")</f>
        <v>nfl picks super bowl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""&amp;$A20))"),"nfl schedule super bowl")</f>
        <v>nfl schedule super bowl</v>
      </c>
      <c r="L20" s="13"/>
      <c r="M20" s="13" t="str">
        <f>IFERROR(__xludf.DUMMYFUNCTION("""COMPUTED_VALUE"""),"nfl predictions today")</f>
        <v>nfl predictions today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213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""&amp;$A21))"),"nfl betting playoff picture")</f>
        <v>nfl betting playoff picture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""&amp;$A21))"),"nfl bets playoff picture")</f>
        <v>nfl bets playoff picture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""&amp;$A21))"),"nfl bet playoff picture")</f>
        <v>nfl bet playoff picture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""&amp;$A21))"),"nfl odds playoff picture")</f>
        <v>nfl odds playoff picture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""&amp;$A21))"),"nfl betting odds playoff picture")</f>
        <v>nfl betting odds playoff picture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""&amp;$A21))"),"nfl scores playoff picture")</f>
        <v>nfl scores playoff picture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""&amp;$A21))"),"nfl score playoff picture")</f>
        <v>nfl score playoff picture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""&amp;$A21))"),"nfl predictions playoff picture")</f>
        <v>nfl predictions playoff picture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""&amp;$A21))"),"nfl picks playoff picture")</f>
        <v>nfl picks playoff picture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""&amp;$A21))"),"nfl schedule playoff picture")</f>
        <v>nfl schedule playoff picture</v>
      </c>
      <c r="L21" s="13"/>
      <c r="M21" s="13" t="str">
        <f>IFERROR(__xludf.DUMMYFUNCTION("""COMPUTED_VALUE"""),"nfl picks today")</f>
        <v>nfl picks today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149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""&amp;$A22))"),"nfl betting parlay")</f>
        <v>nfl betting parlay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""&amp;$A22))"),"nfl bets parlay")</f>
        <v>nfl bets parlay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""&amp;$A22))"),"nfl bet parlay")</f>
        <v>nfl bet parlay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""&amp;$A22))"),"nfl odds parlay")</f>
        <v>nfl odds parlay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""&amp;$A22))"),"nfl betting odds parlay")</f>
        <v>nfl betting odds parlay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""&amp;$A22))"),"nfl scores parlay")</f>
        <v>nfl scores parlay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""&amp;$A22))"),"nfl score parlay")</f>
        <v>nfl score parlay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""&amp;$A22))"),"nfl predictions parlay")</f>
        <v>nfl predictions parlay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""&amp;$A22))"),"nfl picks parlay")</f>
        <v>nfl picks parlay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""&amp;$A22))"),"nfl schedule parlay")</f>
        <v>nfl schedule parlay</v>
      </c>
      <c r="L22" s="13"/>
      <c r="M22" s="13" t="str">
        <f>IFERROR(__xludf.DUMMYFUNCTION("""COMPUTED_VALUE"""),"nfl schedule today")</f>
        <v>nfl schedule today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154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""&amp;$A23))"),"nfl betting parlays")</f>
        <v>nfl betting parlays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""&amp;$A23))"),"nfl bets parlays")</f>
        <v>nfl bets parlays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""&amp;$A23))"),"nfl bet parlays")</f>
        <v>nfl bet parlays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""&amp;$A23))"),"nfl odds parlays")</f>
        <v>nfl odds parlays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""&amp;$A23))"),"nfl betting odds parlays")</f>
        <v>nfl betting odds parlays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""&amp;$A23))"),"nfl scores parlays")</f>
        <v>nfl scores parlays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""&amp;$A23))"),"nfl score parlays")</f>
        <v>nfl score parlays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""&amp;$A23))"),"nfl predictions parlays")</f>
        <v>nfl predictions parlays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""&amp;$A23))"),"nfl picks parlays")</f>
        <v>nfl picks parlays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""&amp;$A23))"),"nfl schedule parlays")</f>
        <v>nfl schedule parlays</v>
      </c>
      <c r="L23" s="13"/>
      <c r="M23" s="13" t="str">
        <f>IFERROR(__xludf.DUMMYFUNCTION("""COMPUTED_VALUE"""),"nfl betting tonight")</f>
        <v>nfl betting tonight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40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""&amp;$A24))"),"nfl betting bet online")</f>
        <v>nfl betting bet online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""&amp;$A24))"),"nfl bets bet online")</f>
        <v>nfl bets bet online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""&amp;$A24))"),"nfl bet bet online")</f>
        <v>nfl bet bet online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""&amp;$A24))"),"nfl odds bet online")</f>
        <v>nfl odds bet online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""&amp;$A24))"),"nfl betting odds bet online")</f>
        <v>nfl betting odds bet online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""&amp;$A24))"),"nfl scores bet online")</f>
        <v>nfl scores bet online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""&amp;$A24))"),"nfl score bet online")</f>
        <v>nfl score bet online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""&amp;$A24))"),"nfl predictions bet online")</f>
        <v>nfl predictions bet online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""&amp;$A24))"),"nfl picks bet online")</f>
        <v>nfl picks bet online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""&amp;$A24))"),"nfl schedule bet online")</f>
        <v>nfl schedule bet online</v>
      </c>
      <c r="L24" s="13"/>
      <c r="M24" s="13" t="str">
        <f>IFERROR(__xludf.DUMMYFUNCTION("""COMPUTED_VALUE"""),"nfl bets tonight")</f>
        <v>nfl bets tonight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34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""&amp;$A25))"),"nfl betting sportsbook")</f>
        <v>nfl betting sportsbook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""&amp;$A25))"),"nfl bets sportsbook")</f>
        <v>nfl bets sportsbook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""&amp;$A25))"),"nfl bet sportsbook")</f>
        <v>nfl bet sportsbook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""&amp;$A25))"),"nfl odds sportsbook")</f>
        <v>nfl odds sportsbook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""&amp;$A25))"),"nfl betting odds sportsbook")</f>
        <v>nfl betting odds sportsbook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""&amp;$A25))"),"nfl scores sportsbook")</f>
        <v>nfl scores sportsbook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""&amp;$A25))"),"nfl score sportsbook")</f>
        <v>nfl score sportsbook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""&amp;$A25))"),"nfl predictions sportsbook")</f>
        <v>nfl predictions sportsbook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""&amp;$A25))"),"nfl picks sportsbook")</f>
        <v>nfl picks sportsbook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""&amp;$A25))"),"nfl schedule sportsbook")</f>
        <v>nfl schedule sportsbook</v>
      </c>
      <c r="L25" s="13"/>
      <c r="M25" s="13" t="str">
        <f>IFERROR(__xludf.DUMMYFUNCTION("""COMPUTED_VALUE"""),"nfl bet tonight")</f>
        <v>nfl bet tonight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36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""&amp;$A26))"),"nfl betting betting app")</f>
        <v>nfl betting betting app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""&amp;$A26))"),"nfl bets betting app")</f>
        <v>nfl bets betting app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""&amp;$A26))"),"nfl bet betting app")</f>
        <v>nfl bet betting app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""&amp;$A26))"),"nfl odds betting app")</f>
        <v>nfl odds betting app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""&amp;$A26))"),"nfl betting odds betting app")</f>
        <v>nfl betting odds betting app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""&amp;$A26))"),"nfl scores betting app")</f>
        <v>nfl scores betting app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""&amp;$A26))"),"nfl score betting app")</f>
        <v>nfl score betting app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""&amp;$A26))"),"nfl predictions betting app")</f>
        <v>nfl predictions betting app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""&amp;$A26))"),"nfl picks betting app")</f>
        <v>nfl picks betting app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""&amp;$A26))"),"nfl schedule betting app")</f>
        <v>nfl schedule betting app</v>
      </c>
      <c r="L26" s="13"/>
      <c r="M26" s="13" t="str">
        <f>IFERROR(__xludf.DUMMYFUNCTION("""COMPUTED_VALUE"""),"nfl odds tonight")</f>
        <v>nfl odds tonight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63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""&amp;$A27))"),"nfl betting best")</f>
        <v>nfl betting best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""&amp;$A27))"),"nfl bets best")</f>
        <v>nfl bets best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""&amp;$A27))"),"nfl bet best")</f>
        <v>nfl bet best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""&amp;$A27))"),"nfl odds best")</f>
        <v>nfl odds best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""&amp;$A27))"),"nfl betting odds best")</f>
        <v>nfl betting odds best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""&amp;$A27))"),"nfl scores best")</f>
        <v>nfl scores best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""&amp;$A27))"),"nfl score best")</f>
        <v>nfl score best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""&amp;$A27))"),"nfl predictions best")</f>
        <v>nfl predictions best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""&amp;$A27))"),"nfl picks best")</f>
        <v>nfl picks best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""&amp;$A27))"),"nfl schedule best")</f>
        <v>nfl schedule best</v>
      </c>
      <c r="L27" s="13"/>
      <c r="M27" s="13" t="str">
        <f>IFERROR(__xludf.DUMMYFUNCTION("""COMPUTED_VALUE"""),"nfl betting odds tonight")</f>
        <v>nfl betting odds tonight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127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""&amp;$A28))"),"nfl betting predictions")</f>
        <v>nfl betting predictions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""&amp;$A28))"),"nfl bets predictions")</f>
        <v>nfl bets predictions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""&amp;$A28))"),"nfl bet predictions")</f>
        <v>nfl bet predictions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""&amp;$A28))"),"nfl odds predictions")</f>
        <v>nfl odds predictions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""&amp;$A28))"),"nfl betting odds predictions")</f>
        <v>nfl betting odds predictions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""&amp;$A28))"),"nfl scores predictions")</f>
        <v>nfl scores predictions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""&amp;$A28))"),"nfl score predictions")</f>
        <v>nfl score predictions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""&amp;$A28))"),"nfl predictions")</f>
        <v>nfl predictions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""&amp;$A28))"),"nfl picks predictions")</f>
        <v>nfl picks predictions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""&amp;$A28))"),"nfl schedule predictions")</f>
        <v>nfl schedule predictions</v>
      </c>
      <c r="L28" s="13"/>
      <c r="M28" s="13" t="str">
        <f>IFERROR(__xludf.DUMMYFUNCTION("""COMPUTED_VALUE"""),"nfl scores tonight")</f>
        <v>nfl scores tonight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134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""&amp;$A29))"),"nfl betting picks")</f>
        <v>nfl betting picks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""&amp;$A29))"),"nfl bets picks")</f>
        <v>nfl bets picks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""&amp;$A29))"),"nfl bet picks")</f>
        <v>nfl bet picks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""&amp;$A29))"),"nfl odds picks")</f>
        <v>nfl odds picks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""&amp;$A29))"),"nfl betting odds picks")</f>
        <v>nfl betting odds picks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""&amp;$A29))"),"nfl scores picks")</f>
        <v>nfl scores picks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""&amp;$A29))"),"nfl score picks")</f>
        <v>nfl score picks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""&amp;$A29))"),"nfl predictions picks")</f>
        <v>nfl predictions picks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""&amp;$A29))"),"nfl picks")</f>
        <v>nfl picks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""&amp;$A29))"),"nfl schedule picks")</f>
        <v>nfl schedule picks</v>
      </c>
      <c r="L29" s="13"/>
      <c r="M29" s="13" t="str">
        <f>IFERROR(__xludf.DUMMYFUNCTION("""COMPUTED_VALUE"""),"nfl score tonight")</f>
        <v>nfl score tonight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72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""&amp;$A30))"),"nfl betting results")</f>
        <v>nfl betting results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""&amp;$A30))"),"nfl bets results")</f>
        <v>nfl bets results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""&amp;$A30))"),"nfl bet results")</f>
        <v>nfl bet results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""&amp;$A30))"),"nfl odds results")</f>
        <v>nfl odds results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""&amp;$A30))"),"nfl betting odds results")</f>
        <v>nfl betting odds results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""&amp;$A30))"),"nfl scores results")</f>
        <v>nfl scores results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""&amp;$A30))"),"nfl score results")</f>
        <v>nfl score results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""&amp;$A30))"),"nfl predictions results")</f>
        <v>nfl predictions results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""&amp;$A30))"),"nfl picks results")</f>
        <v>nfl picks results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""&amp;$A30))"),"nfl schedule results")</f>
        <v>nfl schedule results</v>
      </c>
      <c r="L30" s="13"/>
      <c r="M30" s="13" t="str">
        <f>IFERROR(__xludf.DUMMYFUNCTION("""COMPUTED_VALUE"""),"nfl predictions tonight")</f>
        <v>nfl predictions tonight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214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""&amp;$A31))"),"nfl betting news")</f>
        <v>nfl betting news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""&amp;$A31))"),"nfl bets news")</f>
        <v>nfl bets news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""&amp;$A31))"),"nfl bet news")</f>
        <v>nfl bet news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""&amp;$A31))"),"nfl odds news")</f>
        <v>nfl odds news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""&amp;$A31))"),"nfl betting odds news")</f>
        <v>nfl betting odds news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""&amp;$A31))"),"nfl scores news")</f>
        <v>nfl scores news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""&amp;$A31))"),"nfl score news")</f>
        <v>nfl score news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""&amp;$A31))"),"nfl predictions news")</f>
        <v>nfl predictions news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""&amp;$A31))"),"nfl picks news")</f>
        <v>nfl picks news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""&amp;$A31))"),"nfl schedule news")</f>
        <v>nfl schedule news</v>
      </c>
      <c r="L31" s="13"/>
      <c r="M31" s="13" t="str">
        <f>IFERROR(__xludf.DUMMYFUNCTION("""COMPUTED_VALUE"""),"nfl picks tonight")</f>
        <v>nfl picks tonight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215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""&amp;$A32))"),"nfl betting american football")</f>
        <v>nfl betting american football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""&amp;$A32))"),"nfl bets american football")</f>
        <v>nfl bets american football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""&amp;$A32))"),"nfl bet american football")</f>
        <v>nfl bet american football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""&amp;$A32))"),"nfl odds american football")</f>
        <v>nfl odds american football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""&amp;$A32))"),"nfl betting odds american football")</f>
        <v>nfl betting odds american football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""&amp;$A32))"),"nfl scores american football")</f>
        <v>nfl scores american football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""&amp;$A32))"),"nfl score american football")</f>
        <v>nfl score american football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""&amp;$A32))"),"nfl predictions american football")</f>
        <v>nfl predictions american football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""&amp;$A32))"),"nfl picks american football")</f>
        <v>nfl picks american football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""&amp;$A32))"),"nfl schedule american football")</f>
        <v>nfl schedule american football</v>
      </c>
      <c r="L32" s="13"/>
      <c r="M32" s="13" t="str">
        <f>IFERROR(__xludf.DUMMYFUNCTION("""COMPUTED_VALUE"""),"nfl schedule tonight")</f>
        <v>nfl schedule tonight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100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""&amp;$A33))"),"nfl betting paradise games")</f>
        <v>nfl betting paradise games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""&amp;$A33))"),"nfl bets paradise games")</f>
        <v>nfl bets paradise games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""&amp;$A33))"),"nfl bet paradise games")</f>
        <v>nfl bet paradise games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""&amp;$A33))"),"nfl odds paradise games")</f>
        <v>nfl odds paradise games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""&amp;$A33))"),"nfl betting odds paradise games")</f>
        <v>nfl betting odds paradise games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""&amp;$A33))"),"nfl scores paradise games")</f>
        <v>nfl scores paradise games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""&amp;$A33))"),"nfl score paradise games")</f>
        <v>nfl score paradise games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""&amp;$A33))"),"nfl predictions paradise games")</f>
        <v>nfl predictions paradise games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""&amp;$A33))"),"nfl picks paradise games")</f>
        <v>nfl picks paradise games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""&amp;$A33))"),"nfl schedule paradise games")</f>
        <v>nfl schedule paradise games</v>
      </c>
      <c r="L33" s="13"/>
      <c r="M33" s="13" t="str">
        <f>IFERROR(__xludf.DUMMYFUNCTION("""COMPUTED_VALUE"""),"nfl betting live")</f>
        <v>nfl betting live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79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""&amp;$A34))"),"nfl betting island luck")</f>
        <v>nfl betting island luck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""&amp;$A34))"),"nfl bets island luck")</f>
        <v>nfl bets island luck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""&amp;$A34))"),"nfl bet island luck")</f>
        <v>nfl bet island luck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""&amp;$A34))"),"nfl odds island luck")</f>
        <v>nfl odds island luck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""&amp;$A34))"),"nfl betting odds island luck")</f>
        <v>nfl betting odds island luck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""&amp;$A34))"),"nfl scores island luck")</f>
        <v>nfl scores island luck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""&amp;$A34))"),"nfl score island luck")</f>
        <v>nfl score island luck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""&amp;$A34))"),"nfl predictions island luck")</f>
        <v>nfl predictions island luck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""&amp;$A34))"),"nfl picks island luck")</f>
        <v>nfl picks island luck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""&amp;$A34))"),"nfl schedule island luck")</f>
        <v>nfl schedule island luck</v>
      </c>
      <c r="L34" s="13"/>
      <c r="M34" s="13" t="str">
        <f>IFERROR(__xludf.DUMMYFUNCTION("""COMPUTED_VALUE"""),"nfl bets live")</f>
        <v>nfl bets live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83</v>
      </c>
      <c r="B35" s="13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""&amp;$A35))"),"nfl betting chances")</f>
        <v>nfl betting chances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""&amp;$A35))"),"nfl bets chances")</f>
        <v>nfl bets chances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""&amp;$A35))"),"nfl bet chances")</f>
        <v>nfl bet chances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""&amp;$A35))"),"nfl odds chances")</f>
        <v>nfl odds chances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""&amp;$A35))"),"nfl betting odds chances")</f>
        <v>nfl betting odds chances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""&amp;$A35))"),"nfl scores chances")</f>
        <v>nfl scores chances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""&amp;$A35))"),"nfl score chances")</f>
        <v>nfl score chances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""&amp;$A35))"),"nfl predictions chances")</f>
        <v>nfl predictions chances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""&amp;$A35))"),"nfl picks chances")</f>
        <v>nfl picks chances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""&amp;$A35))"),"nfl schedule chances")</f>
        <v>nfl schedule chances</v>
      </c>
      <c r="L35" s="13"/>
      <c r="M35" s="13" t="str">
        <f>IFERROR(__xludf.DUMMYFUNCTION("""COMPUTED_VALUE"""),"nfl bet live")</f>
        <v>nfl bet live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86</v>
      </c>
      <c r="B36" s="13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""&amp;$A36))"),"nfl betting ultra games")</f>
        <v>nfl betting ultra games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""&amp;$A36))"),"nfl bets ultra games")</f>
        <v>nfl bets ultra games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""&amp;$A36))"),"nfl bet ultra games")</f>
        <v>nfl bet ultra games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""&amp;$A36))"),"nfl odds ultra games")</f>
        <v>nfl odds ultra games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""&amp;$A36))"),"nfl betting odds ultra games")</f>
        <v>nfl betting odds ultra games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""&amp;$A36))"),"nfl scores ultra games")</f>
        <v>nfl scores ultra games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""&amp;$A36))"),"nfl score ultra games")</f>
        <v>nfl score ultra games</v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""&amp;$A36))"),"nfl predictions ultra games")</f>
        <v>nfl predictions ultra games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""&amp;$A36))"),"nfl picks ultra games")</f>
        <v>nfl picks ultra games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""&amp;$A36))"),"nfl schedule ultra games")</f>
        <v>nfl schedule ultra games</v>
      </c>
      <c r="L36" s="13"/>
      <c r="M36" s="13" t="str">
        <f>IFERROR(__xludf.DUMMYFUNCTION("""COMPUTED_VALUE"""),"nfl odds live")</f>
        <v>nfl odds live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141</v>
      </c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""&amp;$A37))"),"nfl betting nassau")</f>
        <v>nfl betting nassau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""&amp;$A37))"),"nfl bets nassau")</f>
        <v>nfl bets nassau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""&amp;$A37))"),"nfl bet nassau")</f>
        <v>nfl bet nassau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""&amp;$A37))"),"nfl odds nassau")</f>
        <v>nfl odds nassau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""&amp;$A37))"),"nfl betting odds nassau")</f>
        <v>nfl betting odds nassau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""&amp;$A37))"),"nfl scores nassau")</f>
        <v>nfl scores nassau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""&amp;$A37))"),"nfl score nassau")</f>
        <v>nfl score nassau</v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""&amp;$A37))"),"nfl predictions nassau")</f>
        <v>nfl predictions nassau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""&amp;$A37))"),"nfl picks nassau")</f>
        <v>nfl picks nassau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""&amp;$A37))"),"nfl schedule nassau")</f>
        <v>nfl schedule nassau</v>
      </c>
      <c r="L37" s="13"/>
      <c r="M37" s="13" t="str">
        <f>IFERROR(__xludf.DUMMYFUNCTION("""COMPUTED_VALUE"""),"nfl betting odds live")</f>
        <v>nfl betting odds live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 t="s">
        <v>147</v>
      </c>
      <c r="B38" s="13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""&amp;$A38))"),"nfl betting freeport")</f>
        <v>nfl betting freeport</v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""&amp;$A38))"),"nfl bets freeport")</f>
        <v>nfl bets freeport</v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""&amp;$A38))"),"nfl bet freeport")</f>
        <v>nfl bet freeport</v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""&amp;$A38))"),"nfl odds freeport")</f>
        <v>nfl odds freeport</v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""&amp;$A38))"),"nfl betting odds freeport")</f>
        <v>nfl betting odds freeport</v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""&amp;$A38))"),"nfl scores freeport")</f>
        <v>nfl scores freeport</v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""&amp;$A38))"),"nfl score freeport")</f>
        <v>nfl score freeport</v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""&amp;$A38))"),"nfl predictions freeport")</f>
        <v>nfl predictions freeport</v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""&amp;$A38))"),"nfl picks freeport")</f>
        <v>nfl picks freeport</v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""&amp;$A38))"),"nfl schedule freeport")</f>
        <v>nfl schedule freeport</v>
      </c>
      <c r="L38" s="13"/>
      <c r="M38" s="13" t="str">
        <f>IFERROR(__xludf.DUMMYFUNCTION("""COMPUTED_VALUE"""),"nfl scores live")</f>
        <v>nfl scores live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 t="s">
        <v>216</v>
      </c>
      <c r="B39" s="13" t="str">
        <f>IFERROR(__xludf.DUMMYFUNCTION("IF($A39="""","""",IF(OR(REGEXMATCH(LOWER(B$1),""(^| )""&amp;LOWER($A39)&amp;""($| )""),AND(RIGHT(LOWER($A39),1)=""s"",REGEXMATCH(LOWER(B$1),""(^| )""&amp;LEFT(LOWER($A39),LEN($A39)-1)&amp;""($| )""))),B$1,B$1&amp;"" ""&amp;$A39))"),"nfl betting football betting")</f>
        <v>nfl betting football betting</v>
      </c>
      <c r="C39" s="13" t="str">
        <f>IFERROR(__xludf.DUMMYFUNCTION("IF($A39="""","""",IF(OR(REGEXMATCH(LOWER(C$1),""(^| )""&amp;LOWER($A39)&amp;""($| )""),AND(RIGHT(LOWER($A39),1)=""s"",REGEXMATCH(LOWER(C$1),""(^| )""&amp;LEFT(LOWER($A39),LEN($A39)-1)&amp;""($| )""))),C$1,C$1&amp;"" ""&amp;$A39))"),"nfl bets football betting")</f>
        <v>nfl bets football betting</v>
      </c>
      <c r="D39" s="13" t="str">
        <f>IFERROR(__xludf.DUMMYFUNCTION("IF($A39="""","""",IF(OR(REGEXMATCH(LOWER(D$1),""(^| )""&amp;LOWER($A39)&amp;""($| )""),AND(RIGHT(LOWER($A39),1)=""s"",REGEXMATCH(LOWER(D$1),""(^| )""&amp;LEFT(LOWER($A39),LEN($A39)-1)&amp;""($| )""))),D$1,D$1&amp;"" ""&amp;$A39))"),"nfl bet football betting")</f>
        <v>nfl bet football betting</v>
      </c>
      <c r="E39" s="13" t="str">
        <f>IFERROR(__xludf.DUMMYFUNCTION("IF($A39="""","""",IF(OR(REGEXMATCH(LOWER(E$1),""(^| )""&amp;LOWER($A39)&amp;""($| )""),AND(RIGHT(LOWER($A39),1)=""s"",REGEXMATCH(LOWER(E$1),""(^| )""&amp;LEFT(LOWER($A39),LEN($A39)-1)&amp;""($| )""))),E$1,E$1&amp;"" ""&amp;$A39))"),"nfl odds football betting")</f>
        <v>nfl odds football betting</v>
      </c>
      <c r="F39" s="13" t="str">
        <f>IFERROR(__xludf.DUMMYFUNCTION("IF($A39="""","""",IF(OR(REGEXMATCH(LOWER(F$1),""(^| )""&amp;LOWER($A39)&amp;""($| )""),AND(RIGHT(LOWER($A39),1)=""s"",REGEXMATCH(LOWER(F$1),""(^| )""&amp;LEFT(LOWER($A39),LEN($A39)-1)&amp;""($| )""))),F$1,F$1&amp;"" ""&amp;$A39))"),"nfl betting odds football betting")</f>
        <v>nfl betting odds football betting</v>
      </c>
      <c r="G39" s="13" t="str">
        <f>IFERROR(__xludf.DUMMYFUNCTION("IF($A39="""","""",IF(OR(REGEXMATCH(LOWER(G$1),""(^| )""&amp;LOWER($A39)&amp;""($| )""),AND(RIGHT(LOWER($A39),1)=""s"",REGEXMATCH(LOWER(G$1),""(^| )""&amp;LEFT(LOWER($A39),LEN($A39)-1)&amp;""($| )""))),G$1,G$1&amp;"" ""&amp;$A39))"),"nfl scores football betting")</f>
        <v>nfl scores football betting</v>
      </c>
      <c r="H39" s="13" t="str">
        <f>IFERROR(__xludf.DUMMYFUNCTION("IF($A39="""","""",IF(OR(REGEXMATCH(LOWER(H$1),""(^| )""&amp;LOWER($A39)&amp;""($| )""),AND(RIGHT(LOWER($A39),1)=""s"",REGEXMATCH(LOWER(H$1),""(^| )""&amp;LEFT(LOWER($A39),LEN($A39)-1)&amp;""($| )""))),H$1,H$1&amp;"" ""&amp;$A39))"),"nfl score football betting")</f>
        <v>nfl score football betting</v>
      </c>
      <c r="I39" s="13" t="str">
        <f>IFERROR(__xludf.DUMMYFUNCTION("IF($A39="""","""",IF(OR(REGEXMATCH(LOWER(I$1),""(^| )""&amp;LOWER($A39)&amp;""($| )""),AND(RIGHT(LOWER($A39),1)=""s"",REGEXMATCH(LOWER(I$1),""(^| )""&amp;LEFT(LOWER($A39),LEN($A39)-1)&amp;""($| )""))),I$1,I$1&amp;"" ""&amp;$A39))"),"nfl predictions football betting")</f>
        <v>nfl predictions football betting</v>
      </c>
      <c r="J39" s="13" t="str">
        <f>IFERROR(__xludf.DUMMYFUNCTION("IF($A39="""","""",IF(OR(REGEXMATCH(LOWER(J$1),""(^| )""&amp;LOWER($A39)&amp;""($| )""),AND(RIGHT(LOWER($A39),1)=""s"",REGEXMATCH(LOWER(J$1),""(^| )""&amp;LEFT(LOWER($A39),LEN($A39)-1)&amp;""($| )""))),J$1,J$1&amp;"" ""&amp;$A39))"),"nfl picks football betting")</f>
        <v>nfl picks football betting</v>
      </c>
      <c r="K39" s="13" t="str">
        <f>IFERROR(__xludf.DUMMYFUNCTION("IF($A39="""","""",IF(OR(REGEXMATCH(LOWER(K$1),""(^| )""&amp;LOWER($A39)&amp;""($| )""),AND(RIGHT(LOWER($A39),1)=""s"",REGEXMATCH(LOWER(K$1),""(^| )""&amp;LEFT(LOWER($A39),LEN($A39)-1)&amp;""($| )""))),K$1,K$1&amp;"" ""&amp;$A39))"),"nfl schedule football betting")</f>
        <v>nfl schedule football betting</v>
      </c>
      <c r="L39" s="13"/>
      <c r="M39" s="13" t="str">
        <f>IFERROR(__xludf.DUMMYFUNCTION("""COMPUTED_VALUE"""),"nfl score live")</f>
        <v>nfl score live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IFERROR(__xludf.DUMMYFUNCTION("""COMPUTED_VALUE"""),"nfl predictions live")</f>
        <v>nfl predictions live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IFERROR(__xludf.DUMMYFUNCTION("""COMPUTED_VALUE"""),"nfl picks live")</f>
        <v>nfl picks live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IFERROR(__xludf.DUMMYFUNCTION("""COMPUTED_VALUE"""),"nfl schedule live")</f>
        <v>nfl schedule live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IFERROR(__xludf.DUMMYFUNCTION("""COMPUTED_VALUE"""),"nfl betting games")</f>
        <v>nfl betting games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IFERROR(__xludf.DUMMYFUNCTION("""COMPUTED_VALUE"""),"nfl bets games")</f>
        <v>nfl bets games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IFERROR(__xludf.DUMMYFUNCTION("""COMPUTED_VALUE"""),"nfl bet games")</f>
        <v>nfl bet games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IFERROR(__xludf.DUMMYFUNCTION("""COMPUTED_VALUE"""),"nfl odds games")</f>
        <v>nfl odds games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IFERROR(__xludf.DUMMYFUNCTION("""COMPUTED_VALUE"""),"nfl betting odds games")</f>
        <v>nfl betting odds games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IFERROR(__xludf.DUMMYFUNCTION("""COMPUTED_VALUE"""),"nfl scores games")</f>
        <v>nfl scores games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IFERROR(__xludf.DUMMYFUNCTION("""COMPUTED_VALUE"""),"nfl score games")</f>
        <v>nfl score games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IFERROR(__xludf.DUMMYFUNCTION("""COMPUTED_VALUE"""),"nfl predictions games")</f>
        <v>nfl predictions games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IFERROR(__xludf.DUMMYFUNCTION("""COMPUTED_VALUE"""),"nfl picks games")</f>
        <v>nfl picks games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IFERROR(__xludf.DUMMYFUNCTION("""COMPUTED_VALUE"""),"nfl schedule games")</f>
        <v>nfl schedule games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IFERROR(__xludf.DUMMYFUNCTION("""COMPUTED_VALUE"""),"nfl betting schedule")</f>
        <v>nfl betting schedule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IFERROR(__xludf.DUMMYFUNCTION("""COMPUTED_VALUE"""),"nfl bets schedule")</f>
        <v>nfl bets schedule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IFERROR(__xludf.DUMMYFUNCTION("""COMPUTED_VALUE"""),"nfl bet schedule")</f>
        <v>nfl bet schedule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IFERROR(__xludf.DUMMYFUNCTION("""COMPUTED_VALUE"""),"nfl odds schedule")</f>
        <v>nfl odds schedule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IFERROR(__xludf.DUMMYFUNCTION("""COMPUTED_VALUE"""),"nfl betting odds schedule")</f>
        <v>nfl betting odds schedule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IFERROR(__xludf.DUMMYFUNCTION("""COMPUTED_VALUE"""),"nfl scores schedule")</f>
        <v>nfl scores schedule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IFERROR(__xludf.DUMMYFUNCTION("""COMPUTED_VALUE"""),"nfl score schedule")</f>
        <v>nfl score schedule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IFERROR(__xludf.DUMMYFUNCTION("""COMPUTED_VALUE"""),"nfl predictions schedule")</f>
        <v>nfl predictions schedule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IFERROR(__xludf.DUMMYFUNCTION("""COMPUTED_VALUE"""),"nfl picks schedule")</f>
        <v>nfl picks schedule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IFERROR(__xludf.DUMMYFUNCTION("""COMPUTED_VALUE"""),"nfl schedule")</f>
        <v>nfl schedule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IFERROR(__xludf.DUMMYFUNCTION("""COMPUTED_VALUE"""),"nfl betting scores")</f>
        <v>nfl betting scores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IFERROR(__xludf.DUMMYFUNCTION("""COMPUTED_VALUE"""),"nfl bets scores")</f>
        <v>nfl bets scores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IFERROR(__xludf.DUMMYFUNCTION("""COMPUTED_VALUE"""),"nfl bet scores")</f>
        <v>nfl bet scores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IFERROR(__xludf.DUMMYFUNCTION("""COMPUTED_VALUE"""),"nfl odds scores")</f>
        <v>nfl odds scores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IFERROR(__xludf.DUMMYFUNCTION("""COMPUTED_VALUE"""),"nfl betting odds scores")</f>
        <v>nfl betting odds scores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IFERROR(__xludf.DUMMYFUNCTION("""COMPUTED_VALUE"""),"nfl scores")</f>
        <v>nfl scores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IFERROR(__xludf.DUMMYFUNCTION("""COMPUTED_VALUE"""),"nfl score")</f>
        <v>nfl score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IFERROR(__xludf.DUMMYFUNCTION("""COMPUTED_VALUE"""),"nfl predictions scores")</f>
        <v>nfl predictions scores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IFERROR(__xludf.DUMMYFUNCTION("""COMPUTED_VALUE"""),"nfl picks scores")</f>
        <v>nfl picks scores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IFERROR(__xludf.DUMMYFUNCTION("""COMPUTED_VALUE"""),"nfl schedule scores")</f>
        <v>nfl schedule scores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IFERROR(__xludf.DUMMYFUNCTION("""COMPUTED_VALUE"""),"nfl betting odds")</f>
        <v>nfl betting odds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IFERROR(__xludf.DUMMYFUNCTION("""COMPUTED_VALUE"""),"nfl bets odds")</f>
        <v>nfl bets odds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IFERROR(__xludf.DUMMYFUNCTION("""COMPUTED_VALUE"""),"nfl bet odds")</f>
        <v>nfl bet odds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IFERROR(__xludf.DUMMYFUNCTION("""COMPUTED_VALUE"""),"nfl odds")</f>
        <v>nfl odds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IFERROR(__xludf.DUMMYFUNCTION("""COMPUTED_VALUE"""),"nfl betting odds")</f>
        <v>nfl betting odds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IFERROR(__xludf.DUMMYFUNCTION("""COMPUTED_VALUE"""),"nfl scores odds")</f>
        <v>nfl scores odds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IFERROR(__xludf.DUMMYFUNCTION("""COMPUTED_VALUE"""),"nfl score odds")</f>
        <v>nfl score odds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IFERROR(__xludf.DUMMYFUNCTION("""COMPUTED_VALUE"""),"nfl predictions odds")</f>
        <v>nfl predictions odds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IFERROR(__xludf.DUMMYFUNCTION("""COMPUTED_VALUE"""),"nfl picks odds")</f>
        <v>nfl picks odds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IFERROR(__xludf.DUMMYFUNCTION("""COMPUTED_VALUE"""),"nfl schedule odds")</f>
        <v>nfl schedule odds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IFERROR(__xludf.DUMMYFUNCTION("""COMPUTED_VALUE"""),"nfl betting spreads")</f>
        <v>nfl betting spreads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IFERROR(__xludf.DUMMYFUNCTION("""COMPUTED_VALUE"""),"nfl bets spreads")</f>
        <v>nfl bets spreads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IFERROR(__xludf.DUMMYFUNCTION("""COMPUTED_VALUE"""),"nfl bet spreads")</f>
        <v>nfl bet spreads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IFERROR(__xludf.DUMMYFUNCTION("""COMPUTED_VALUE"""),"nfl odds spreads")</f>
        <v>nfl odds spreads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IFERROR(__xludf.DUMMYFUNCTION("""COMPUTED_VALUE"""),"nfl betting odds spreads")</f>
        <v>nfl betting odds spreads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IFERROR(__xludf.DUMMYFUNCTION("""COMPUTED_VALUE"""),"nfl scores spreads")</f>
        <v>nfl scores spreads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IFERROR(__xludf.DUMMYFUNCTION("""COMPUTED_VALUE"""),"nfl score spreads")</f>
        <v>nfl score spreads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IFERROR(__xludf.DUMMYFUNCTION("""COMPUTED_VALUE"""),"nfl predictions spreads")</f>
        <v>nfl predictions spreads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IFERROR(__xludf.DUMMYFUNCTION("""COMPUTED_VALUE"""),"nfl picks spreads")</f>
        <v>nfl picks spreads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IFERROR(__xludf.DUMMYFUNCTION("""COMPUTED_VALUE"""),"nfl schedule spreads")</f>
        <v>nfl schedule spreads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IFERROR(__xludf.DUMMYFUNCTION("""COMPUTED_VALUE"""),"nfl betting point spread")</f>
        <v>nfl betting point spread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IFERROR(__xludf.DUMMYFUNCTION("""COMPUTED_VALUE"""),"nfl bets point spread")</f>
        <v>nfl bets point spread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IFERROR(__xludf.DUMMYFUNCTION("""COMPUTED_VALUE"""),"nfl bet point spread")</f>
        <v>nfl bet point spread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IFERROR(__xludf.DUMMYFUNCTION("""COMPUTED_VALUE"""),"nfl odds point spread")</f>
        <v>nfl odds point spread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IFERROR(__xludf.DUMMYFUNCTION("""COMPUTED_VALUE"""),"nfl betting odds point spread")</f>
        <v>nfl betting odds point spread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IFERROR(__xludf.DUMMYFUNCTION("""COMPUTED_VALUE"""),"nfl scores point spread")</f>
        <v>nfl scores point spread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IFERROR(__xludf.DUMMYFUNCTION("""COMPUTED_VALUE"""),"nfl score point spread")</f>
        <v>nfl score point spread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IFERROR(__xludf.DUMMYFUNCTION("""COMPUTED_VALUE"""),"nfl predictions point spread")</f>
        <v>nfl predictions point spread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IFERROR(__xludf.DUMMYFUNCTION("""COMPUTED_VALUE"""),"nfl picks point spread")</f>
        <v>nfl picks point spread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IFERROR(__xludf.DUMMYFUNCTION("""COMPUTED_VALUE"""),"nfl schedule point spread")</f>
        <v>nfl schedule point spread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IFERROR(__xludf.DUMMYFUNCTION("""COMPUTED_VALUE"""),"nfl betting moneyline")</f>
        <v>nfl betting moneyline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IFERROR(__xludf.DUMMYFUNCTION("""COMPUTED_VALUE"""),"nfl bets moneyline")</f>
        <v>nfl bets moneyline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IFERROR(__xludf.DUMMYFUNCTION("""COMPUTED_VALUE"""),"nfl bet moneyline")</f>
        <v>nfl bet moneyline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IFERROR(__xludf.DUMMYFUNCTION("""COMPUTED_VALUE"""),"nfl odds moneyline")</f>
        <v>nfl odds moneyline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IFERROR(__xludf.DUMMYFUNCTION("""COMPUTED_VALUE"""),"nfl betting odds moneyline")</f>
        <v>nfl betting odds moneyline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IFERROR(__xludf.DUMMYFUNCTION("""COMPUTED_VALUE"""),"nfl scores moneyline")</f>
        <v>nfl scores moneyline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IFERROR(__xludf.DUMMYFUNCTION("""COMPUTED_VALUE"""),"nfl score moneyline")</f>
        <v>nfl score moneyline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IFERROR(__xludf.DUMMYFUNCTION("""COMPUTED_VALUE"""),"nfl predictions moneyline")</f>
        <v>nfl predictions moneyline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IFERROR(__xludf.DUMMYFUNCTION("""COMPUTED_VALUE"""),"nfl picks moneyline")</f>
        <v>nfl picks moneyline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IFERROR(__xludf.DUMMYFUNCTION("""COMPUTED_VALUE"""),"nfl schedule moneyline")</f>
        <v>nfl schedule moneyline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IFERROR(__xludf.DUMMYFUNCTION("""COMPUTED_VALUE"""),"nfl betting over under")</f>
        <v>nfl betting over under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IFERROR(__xludf.DUMMYFUNCTION("""COMPUTED_VALUE"""),"nfl bets over under")</f>
        <v>nfl bets over under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IFERROR(__xludf.DUMMYFUNCTION("""COMPUTED_VALUE"""),"nfl bet over under")</f>
        <v>nfl bet over under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IFERROR(__xludf.DUMMYFUNCTION("""COMPUTED_VALUE"""),"nfl odds over under")</f>
        <v>nfl odds over under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IFERROR(__xludf.DUMMYFUNCTION("""COMPUTED_VALUE"""),"nfl betting odds over under")</f>
        <v>nfl betting odds over under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IFERROR(__xludf.DUMMYFUNCTION("""COMPUTED_VALUE"""),"nfl scores over under")</f>
        <v>nfl scores over under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IFERROR(__xludf.DUMMYFUNCTION("""COMPUTED_VALUE"""),"nfl score over under")</f>
        <v>nfl score over under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IFERROR(__xludf.DUMMYFUNCTION("""COMPUTED_VALUE"""),"nfl predictions over under")</f>
        <v>nfl predictions over under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IFERROR(__xludf.DUMMYFUNCTION("""COMPUTED_VALUE"""),"nfl picks over under")</f>
        <v>nfl picks over under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IFERROR(__xludf.DUMMYFUNCTION("""COMPUTED_VALUE"""),"nfl schedule over under")</f>
        <v>nfl schedule over under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IFERROR(__xludf.DUMMYFUNCTION("""COMPUTED_VALUE"""),"nfl betting props")</f>
        <v>nfl betting props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IFERROR(__xludf.DUMMYFUNCTION("""COMPUTED_VALUE"""),"nfl bets props")</f>
        <v>nfl bets props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IFERROR(__xludf.DUMMYFUNCTION("""COMPUTED_VALUE"""),"nfl bet props")</f>
        <v>nfl bet props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IFERROR(__xludf.DUMMYFUNCTION("""COMPUTED_VALUE"""),"nfl odds props")</f>
        <v>nfl odds props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IFERROR(__xludf.DUMMYFUNCTION("""COMPUTED_VALUE"""),"nfl betting odds props")</f>
        <v>nfl betting odds props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IFERROR(__xludf.DUMMYFUNCTION("""COMPUTED_VALUE"""),"nfl scores props")</f>
        <v>nfl scores props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IFERROR(__xludf.DUMMYFUNCTION("""COMPUTED_VALUE"""),"nfl score props")</f>
        <v>nfl score props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IFERROR(__xludf.DUMMYFUNCTION("""COMPUTED_VALUE"""),"nfl predictions props")</f>
        <v>nfl predictions props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IFERROR(__xludf.DUMMYFUNCTION("""COMPUTED_VALUE"""),"nfl picks props")</f>
        <v>nfl picks props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IFERROR(__xludf.DUMMYFUNCTION("""COMPUTED_VALUE"""),"nfl schedule props")</f>
        <v>nfl schedule props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IFERROR(__xludf.DUMMYFUNCTION("""COMPUTED_VALUE"""),"nfl betting player props")</f>
        <v>nfl betting player props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IFERROR(__xludf.DUMMYFUNCTION("""COMPUTED_VALUE"""),"nfl bets player props")</f>
        <v>nfl bets player props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IFERROR(__xludf.DUMMYFUNCTION("""COMPUTED_VALUE"""),"nfl bet player props")</f>
        <v>nfl bet player props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IFERROR(__xludf.DUMMYFUNCTION("""COMPUTED_VALUE"""),"nfl odds player props")</f>
        <v>nfl odds player props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IFERROR(__xludf.DUMMYFUNCTION("""COMPUTED_VALUE"""),"nfl betting odds player props")</f>
        <v>nfl betting odds player props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IFERROR(__xludf.DUMMYFUNCTION("""COMPUTED_VALUE"""),"nfl scores player props")</f>
        <v>nfl scores player props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IFERROR(__xludf.DUMMYFUNCTION("""COMPUTED_VALUE"""),"nfl score player props")</f>
        <v>nfl score player props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IFERROR(__xludf.DUMMYFUNCTION("""COMPUTED_VALUE"""),"nfl predictions player props")</f>
        <v>nfl predictions player props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IFERROR(__xludf.DUMMYFUNCTION("""COMPUTED_VALUE"""),"nfl picks player props")</f>
        <v>nfl picks player props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IFERROR(__xludf.DUMMYFUNCTION("""COMPUTED_VALUE"""),"nfl schedule player props")</f>
        <v>nfl schedule player props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IFERROR(__xludf.DUMMYFUNCTION("""COMPUTED_VALUE"""),"nfl betting injury report")</f>
        <v>nfl betting injury report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IFERROR(__xludf.DUMMYFUNCTION("""COMPUTED_VALUE"""),"nfl bets injury report")</f>
        <v>nfl bets injury report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IFERROR(__xludf.DUMMYFUNCTION("""COMPUTED_VALUE"""),"nfl bet injury report")</f>
        <v>nfl bet injury report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IFERROR(__xludf.DUMMYFUNCTION("""COMPUTED_VALUE"""),"nfl odds injury report")</f>
        <v>nfl odds injury report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IFERROR(__xludf.DUMMYFUNCTION("""COMPUTED_VALUE"""),"nfl betting odds injury report")</f>
        <v>nfl betting odds injury report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IFERROR(__xludf.DUMMYFUNCTION("""COMPUTED_VALUE"""),"nfl scores injury report")</f>
        <v>nfl scores injury report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IFERROR(__xludf.DUMMYFUNCTION("""COMPUTED_VALUE"""),"nfl score injury report")</f>
        <v>nfl score injury report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IFERROR(__xludf.DUMMYFUNCTION("""COMPUTED_VALUE"""),"nfl predictions injury report")</f>
        <v>nfl predictions injury report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IFERROR(__xludf.DUMMYFUNCTION("""COMPUTED_VALUE"""),"nfl picks injury report")</f>
        <v>nfl picks injury report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IFERROR(__xludf.DUMMYFUNCTION("""COMPUTED_VALUE"""),"nfl schedule injury report")</f>
        <v>nfl schedule injury report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IFERROR(__xludf.DUMMYFUNCTION("""COMPUTED_VALUE"""),"nfl betting standings")</f>
        <v>nfl betting standings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IFERROR(__xludf.DUMMYFUNCTION("""COMPUTED_VALUE"""),"nfl bets standings")</f>
        <v>nfl bets standings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IFERROR(__xludf.DUMMYFUNCTION("""COMPUTED_VALUE"""),"nfl bet standings")</f>
        <v>nfl bet standings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IFERROR(__xludf.DUMMYFUNCTION("""COMPUTED_VALUE"""),"nfl odds standings")</f>
        <v>nfl odds standings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IFERROR(__xludf.DUMMYFUNCTION("""COMPUTED_VALUE"""),"nfl betting odds standings")</f>
        <v>nfl betting odds standings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IFERROR(__xludf.DUMMYFUNCTION("""COMPUTED_VALUE"""),"nfl scores standings")</f>
        <v>nfl scores standings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IFERROR(__xludf.DUMMYFUNCTION("""COMPUTED_VALUE"""),"nfl score standings")</f>
        <v>nfl score standings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IFERROR(__xludf.DUMMYFUNCTION("""COMPUTED_VALUE"""),"nfl predictions standings")</f>
        <v>nfl predictions standings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IFERROR(__xludf.DUMMYFUNCTION("""COMPUTED_VALUE"""),"nfl picks standings")</f>
        <v>nfl picks standings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IFERROR(__xludf.DUMMYFUNCTION("""COMPUTED_VALUE"""),"nfl schedule standings")</f>
        <v>nfl schedule standings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IFERROR(__xludf.DUMMYFUNCTION("""COMPUTED_VALUE"""),"nfl betting playoffs")</f>
        <v>nfl betting playoffs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IFERROR(__xludf.DUMMYFUNCTION("""COMPUTED_VALUE"""),"nfl bets playoffs")</f>
        <v>nfl bets playoffs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IFERROR(__xludf.DUMMYFUNCTION("""COMPUTED_VALUE"""),"nfl bet playoffs")</f>
        <v>nfl bet playoffs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IFERROR(__xludf.DUMMYFUNCTION("""COMPUTED_VALUE"""),"nfl odds playoffs")</f>
        <v>nfl odds playoffs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IFERROR(__xludf.DUMMYFUNCTION("""COMPUTED_VALUE"""),"nfl betting odds playoffs")</f>
        <v>nfl betting odds playoffs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IFERROR(__xludf.DUMMYFUNCTION("""COMPUTED_VALUE"""),"nfl scores playoffs")</f>
        <v>nfl scores playoffs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IFERROR(__xludf.DUMMYFUNCTION("""COMPUTED_VALUE"""),"nfl score playoffs")</f>
        <v>nfl score playoffs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IFERROR(__xludf.DUMMYFUNCTION("""COMPUTED_VALUE"""),"nfl predictions playoffs")</f>
        <v>nfl predictions playoffs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IFERROR(__xludf.DUMMYFUNCTION("""COMPUTED_VALUE"""),"nfl picks playoffs")</f>
        <v>nfl picks playoffs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IFERROR(__xludf.DUMMYFUNCTION("""COMPUTED_VALUE"""),"nfl schedule playoffs")</f>
        <v>nfl schedule playoffs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IFERROR(__xludf.DUMMYFUNCTION("""COMPUTED_VALUE"""),"nfl betting super bowl")</f>
        <v>nfl betting super bowl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IFERROR(__xludf.DUMMYFUNCTION("""COMPUTED_VALUE"""),"nfl bets super bowl")</f>
        <v>nfl bets super bowl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IFERROR(__xludf.DUMMYFUNCTION("""COMPUTED_VALUE"""),"nfl bet super bowl")</f>
        <v>nfl bet super bowl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IFERROR(__xludf.DUMMYFUNCTION("""COMPUTED_VALUE"""),"nfl odds super bowl")</f>
        <v>nfl odds super bowl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IFERROR(__xludf.DUMMYFUNCTION("""COMPUTED_VALUE"""),"nfl betting odds super bowl")</f>
        <v>nfl betting odds super bowl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IFERROR(__xludf.DUMMYFUNCTION("""COMPUTED_VALUE"""),"nfl scores super bowl")</f>
        <v>nfl scores super bowl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IFERROR(__xludf.DUMMYFUNCTION("""COMPUTED_VALUE"""),"nfl score super bowl")</f>
        <v>nfl score super bowl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IFERROR(__xludf.DUMMYFUNCTION("""COMPUTED_VALUE"""),"nfl predictions super bowl")</f>
        <v>nfl predictions super bowl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IFERROR(__xludf.DUMMYFUNCTION("""COMPUTED_VALUE"""),"nfl picks super bowl")</f>
        <v>nfl picks super bowl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IFERROR(__xludf.DUMMYFUNCTION("""COMPUTED_VALUE"""),"nfl schedule super bowl")</f>
        <v>nfl schedule super bowl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IFERROR(__xludf.DUMMYFUNCTION("""COMPUTED_VALUE"""),"nfl betting playoff picture")</f>
        <v>nfl betting playoff picture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IFERROR(__xludf.DUMMYFUNCTION("""COMPUTED_VALUE"""),"nfl bets playoff picture")</f>
        <v>nfl bets playoff picture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IFERROR(__xludf.DUMMYFUNCTION("""COMPUTED_VALUE"""),"nfl bet playoff picture")</f>
        <v>nfl bet playoff picture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IFERROR(__xludf.DUMMYFUNCTION("""COMPUTED_VALUE"""),"nfl odds playoff picture")</f>
        <v>nfl odds playoff picture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IFERROR(__xludf.DUMMYFUNCTION("""COMPUTED_VALUE"""),"nfl betting odds playoff picture")</f>
        <v>nfl betting odds playoff picture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IFERROR(__xludf.DUMMYFUNCTION("""COMPUTED_VALUE"""),"nfl scores playoff picture")</f>
        <v>nfl scores playoff picture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IFERROR(__xludf.DUMMYFUNCTION("""COMPUTED_VALUE"""),"nfl score playoff picture")</f>
        <v>nfl score playoff picture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IFERROR(__xludf.DUMMYFUNCTION("""COMPUTED_VALUE"""),"nfl predictions playoff picture")</f>
        <v>nfl predictions playoff picture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IFERROR(__xludf.DUMMYFUNCTION("""COMPUTED_VALUE"""),"nfl picks playoff picture")</f>
        <v>nfl picks playoff picture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IFERROR(__xludf.DUMMYFUNCTION("""COMPUTED_VALUE"""),"nfl schedule playoff picture")</f>
        <v>nfl schedule playoff picture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IFERROR(__xludf.DUMMYFUNCTION("""COMPUTED_VALUE"""),"nfl betting parlay")</f>
        <v>nfl betting parlay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IFERROR(__xludf.DUMMYFUNCTION("""COMPUTED_VALUE"""),"nfl bets parlay")</f>
        <v>nfl bets parlay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IFERROR(__xludf.DUMMYFUNCTION("""COMPUTED_VALUE"""),"nfl bet parlay")</f>
        <v>nfl bet parlay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IFERROR(__xludf.DUMMYFUNCTION("""COMPUTED_VALUE"""),"nfl odds parlay")</f>
        <v>nfl odds parlay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IFERROR(__xludf.DUMMYFUNCTION("""COMPUTED_VALUE"""),"nfl betting odds parlay")</f>
        <v>nfl betting odds parlay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IFERROR(__xludf.DUMMYFUNCTION("""COMPUTED_VALUE"""),"nfl scores parlay")</f>
        <v>nfl scores parlay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IFERROR(__xludf.DUMMYFUNCTION("""COMPUTED_VALUE"""),"nfl score parlay")</f>
        <v>nfl score parlay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IFERROR(__xludf.DUMMYFUNCTION("""COMPUTED_VALUE"""),"nfl predictions parlay")</f>
        <v>nfl predictions parlay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IFERROR(__xludf.DUMMYFUNCTION("""COMPUTED_VALUE"""),"nfl picks parlay")</f>
        <v>nfl picks parlay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IFERROR(__xludf.DUMMYFUNCTION("""COMPUTED_VALUE"""),"nfl schedule parlay")</f>
        <v>nfl schedule parlay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IFERROR(__xludf.DUMMYFUNCTION("""COMPUTED_VALUE"""),"nfl betting parlays")</f>
        <v>nfl betting parlays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IFERROR(__xludf.DUMMYFUNCTION("""COMPUTED_VALUE"""),"nfl bets parlays")</f>
        <v>nfl bets parlays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IFERROR(__xludf.DUMMYFUNCTION("""COMPUTED_VALUE"""),"nfl bet parlays")</f>
        <v>nfl bet parlays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IFERROR(__xludf.DUMMYFUNCTION("""COMPUTED_VALUE"""),"nfl odds parlays")</f>
        <v>nfl odds parlays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IFERROR(__xludf.DUMMYFUNCTION("""COMPUTED_VALUE"""),"nfl betting odds parlays")</f>
        <v>nfl betting odds parlays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IFERROR(__xludf.DUMMYFUNCTION("""COMPUTED_VALUE"""),"nfl scores parlays")</f>
        <v>nfl scores parlays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IFERROR(__xludf.DUMMYFUNCTION("""COMPUTED_VALUE"""),"nfl score parlays")</f>
        <v>nfl score parlays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IFERROR(__xludf.DUMMYFUNCTION("""COMPUTED_VALUE"""),"nfl predictions parlays")</f>
        <v>nfl predictions parlays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IFERROR(__xludf.DUMMYFUNCTION("""COMPUTED_VALUE"""),"nfl picks parlays")</f>
        <v>nfl picks parlays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IFERROR(__xludf.DUMMYFUNCTION("""COMPUTED_VALUE"""),"nfl schedule parlays")</f>
        <v>nfl schedule parlays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IFERROR(__xludf.DUMMYFUNCTION("""COMPUTED_VALUE"""),"nfl betting bet online")</f>
        <v>nfl betting bet online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IFERROR(__xludf.DUMMYFUNCTION("""COMPUTED_VALUE"""),"nfl bets bet online")</f>
        <v>nfl bets bet online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IFERROR(__xludf.DUMMYFUNCTION("""COMPUTED_VALUE"""),"nfl bet bet online")</f>
        <v>nfl bet bet online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IFERROR(__xludf.DUMMYFUNCTION("""COMPUTED_VALUE"""),"nfl odds bet online")</f>
        <v>nfl odds bet online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IFERROR(__xludf.DUMMYFUNCTION("""COMPUTED_VALUE"""),"nfl betting odds bet online")</f>
        <v>nfl betting odds bet online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IFERROR(__xludf.DUMMYFUNCTION("""COMPUTED_VALUE"""),"nfl scores bet online")</f>
        <v>nfl scores bet online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IFERROR(__xludf.DUMMYFUNCTION("""COMPUTED_VALUE"""),"nfl score bet online")</f>
        <v>nfl score bet online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IFERROR(__xludf.DUMMYFUNCTION("""COMPUTED_VALUE"""),"nfl predictions bet online")</f>
        <v>nfl predictions bet online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IFERROR(__xludf.DUMMYFUNCTION("""COMPUTED_VALUE"""),"nfl picks bet online")</f>
        <v>nfl picks bet online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IFERROR(__xludf.DUMMYFUNCTION("""COMPUTED_VALUE"""),"nfl schedule bet online")</f>
        <v>nfl schedule bet online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IFERROR(__xludf.DUMMYFUNCTION("""COMPUTED_VALUE"""),"nfl betting sportsbook")</f>
        <v>nfl betting sportsbook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IFERROR(__xludf.DUMMYFUNCTION("""COMPUTED_VALUE"""),"nfl bets sportsbook")</f>
        <v>nfl bets sportsbook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IFERROR(__xludf.DUMMYFUNCTION("""COMPUTED_VALUE"""),"nfl bet sportsbook")</f>
        <v>nfl bet sportsbook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IFERROR(__xludf.DUMMYFUNCTION("""COMPUTED_VALUE"""),"nfl odds sportsbook")</f>
        <v>nfl odds sportsbook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IFERROR(__xludf.DUMMYFUNCTION("""COMPUTED_VALUE"""),"nfl betting odds sportsbook")</f>
        <v>nfl betting odds sportsbook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IFERROR(__xludf.DUMMYFUNCTION("""COMPUTED_VALUE"""),"nfl scores sportsbook")</f>
        <v>nfl scores sportsbook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IFERROR(__xludf.DUMMYFUNCTION("""COMPUTED_VALUE"""),"nfl score sportsbook")</f>
        <v>nfl score sportsbook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IFERROR(__xludf.DUMMYFUNCTION("""COMPUTED_VALUE"""),"nfl predictions sportsbook")</f>
        <v>nfl predictions sportsbook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IFERROR(__xludf.DUMMYFUNCTION("""COMPUTED_VALUE"""),"nfl picks sportsbook")</f>
        <v>nfl picks sportsbook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IFERROR(__xludf.DUMMYFUNCTION("""COMPUTED_VALUE"""),"nfl schedule sportsbook")</f>
        <v>nfl schedule sportsbook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IFERROR(__xludf.DUMMYFUNCTION("""COMPUTED_VALUE"""),"nfl betting betting app")</f>
        <v>nfl betting betting app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IFERROR(__xludf.DUMMYFUNCTION("""COMPUTED_VALUE"""),"nfl bets betting app")</f>
        <v>nfl bets betting app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IFERROR(__xludf.DUMMYFUNCTION("""COMPUTED_VALUE"""),"nfl bet betting app")</f>
        <v>nfl bet betting app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IFERROR(__xludf.DUMMYFUNCTION("""COMPUTED_VALUE"""),"nfl odds betting app")</f>
        <v>nfl odds betting app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IFERROR(__xludf.DUMMYFUNCTION("""COMPUTED_VALUE"""),"nfl betting odds betting app")</f>
        <v>nfl betting odds betting app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IFERROR(__xludf.DUMMYFUNCTION("""COMPUTED_VALUE"""),"nfl scores betting app")</f>
        <v>nfl scores betting app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IFERROR(__xludf.DUMMYFUNCTION("""COMPUTED_VALUE"""),"nfl score betting app")</f>
        <v>nfl score betting app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IFERROR(__xludf.DUMMYFUNCTION("""COMPUTED_VALUE"""),"nfl predictions betting app")</f>
        <v>nfl predictions betting app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IFERROR(__xludf.DUMMYFUNCTION("""COMPUTED_VALUE"""),"nfl picks betting app")</f>
        <v>nfl picks betting app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IFERROR(__xludf.DUMMYFUNCTION("""COMPUTED_VALUE"""),"nfl schedule betting app")</f>
        <v>nfl schedule betting app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IFERROR(__xludf.DUMMYFUNCTION("""COMPUTED_VALUE"""),"nfl betting best")</f>
        <v>nfl betting best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IFERROR(__xludf.DUMMYFUNCTION("""COMPUTED_VALUE"""),"nfl bets best")</f>
        <v>nfl bets best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IFERROR(__xludf.DUMMYFUNCTION("""COMPUTED_VALUE"""),"nfl bet best")</f>
        <v>nfl bet best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IFERROR(__xludf.DUMMYFUNCTION("""COMPUTED_VALUE"""),"nfl odds best")</f>
        <v>nfl odds best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IFERROR(__xludf.DUMMYFUNCTION("""COMPUTED_VALUE"""),"nfl betting odds best")</f>
        <v>nfl betting odds best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IFERROR(__xludf.DUMMYFUNCTION("""COMPUTED_VALUE"""),"nfl scores best")</f>
        <v>nfl scores best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IFERROR(__xludf.DUMMYFUNCTION("""COMPUTED_VALUE"""),"nfl score best")</f>
        <v>nfl score best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IFERROR(__xludf.DUMMYFUNCTION("""COMPUTED_VALUE"""),"nfl predictions best")</f>
        <v>nfl predictions best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IFERROR(__xludf.DUMMYFUNCTION("""COMPUTED_VALUE"""),"nfl picks best")</f>
        <v>nfl picks best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IFERROR(__xludf.DUMMYFUNCTION("""COMPUTED_VALUE"""),"nfl schedule best")</f>
        <v>nfl schedule best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IFERROR(__xludf.DUMMYFUNCTION("""COMPUTED_VALUE"""),"nfl betting predictions")</f>
        <v>nfl betting predictions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IFERROR(__xludf.DUMMYFUNCTION("""COMPUTED_VALUE"""),"nfl bets predictions")</f>
        <v>nfl bets predictions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IFERROR(__xludf.DUMMYFUNCTION("""COMPUTED_VALUE"""),"nfl bet predictions")</f>
        <v>nfl bet predictions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IFERROR(__xludf.DUMMYFUNCTION("""COMPUTED_VALUE"""),"nfl odds predictions")</f>
        <v>nfl odds predictions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IFERROR(__xludf.DUMMYFUNCTION("""COMPUTED_VALUE"""),"nfl betting odds predictions")</f>
        <v>nfl betting odds predictions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IFERROR(__xludf.DUMMYFUNCTION("""COMPUTED_VALUE"""),"nfl scores predictions")</f>
        <v>nfl scores predictions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IFERROR(__xludf.DUMMYFUNCTION("""COMPUTED_VALUE"""),"nfl score predictions")</f>
        <v>nfl score predictions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IFERROR(__xludf.DUMMYFUNCTION("""COMPUTED_VALUE"""),"nfl predictions")</f>
        <v>nfl predictions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IFERROR(__xludf.DUMMYFUNCTION("""COMPUTED_VALUE"""),"nfl picks predictions")</f>
        <v>nfl picks predictions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IFERROR(__xludf.DUMMYFUNCTION("""COMPUTED_VALUE"""),"nfl schedule predictions")</f>
        <v>nfl schedule predictions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IFERROR(__xludf.DUMMYFUNCTION("""COMPUTED_VALUE"""),"nfl betting picks")</f>
        <v>nfl betting picks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IFERROR(__xludf.DUMMYFUNCTION("""COMPUTED_VALUE"""),"nfl bets picks")</f>
        <v>nfl bets picks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IFERROR(__xludf.DUMMYFUNCTION("""COMPUTED_VALUE"""),"nfl bet picks")</f>
        <v>nfl bet picks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IFERROR(__xludf.DUMMYFUNCTION("""COMPUTED_VALUE"""),"nfl odds picks")</f>
        <v>nfl odds picks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IFERROR(__xludf.DUMMYFUNCTION("""COMPUTED_VALUE"""),"nfl betting odds picks")</f>
        <v>nfl betting odds picks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IFERROR(__xludf.DUMMYFUNCTION("""COMPUTED_VALUE"""),"nfl scores picks")</f>
        <v>nfl scores picks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IFERROR(__xludf.DUMMYFUNCTION("""COMPUTED_VALUE"""),"nfl score picks")</f>
        <v>nfl score picks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IFERROR(__xludf.DUMMYFUNCTION("""COMPUTED_VALUE"""),"nfl predictions picks")</f>
        <v>nfl predictions picks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IFERROR(__xludf.DUMMYFUNCTION("""COMPUTED_VALUE"""),"nfl picks")</f>
        <v>nfl picks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IFERROR(__xludf.DUMMYFUNCTION("""COMPUTED_VALUE"""),"nfl schedule picks")</f>
        <v>nfl schedule picks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IFERROR(__xludf.DUMMYFUNCTION("""COMPUTED_VALUE"""),"nfl betting results")</f>
        <v>nfl betting results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IFERROR(__xludf.DUMMYFUNCTION("""COMPUTED_VALUE"""),"nfl bets results")</f>
        <v>nfl bets results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IFERROR(__xludf.DUMMYFUNCTION("""COMPUTED_VALUE"""),"nfl bet results")</f>
        <v>nfl bet results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IFERROR(__xludf.DUMMYFUNCTION("""COMPUTED_VALUE"""),"nfl odds results")</f>
        <v>nfl odds results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IFERROR(__xludf.DUMMYFUNCTION("""COMPUTED_VALUE"""),"nfl betting odds results")</f>
        <v>nfl betting odds results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IFERROR(__xludf.DUMMYFUNCTION("""COMPUTED_VALUE"""),"nfl scores results")</f>
        <v>nfl scores results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IFERROR(__xludf.DUMMYFUNCTION("""COMPUTED_VALUE"""),"nfl score results")</f>
        <v>nfl score results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IFERROR(__xludf.DUMMYFUNCTION("""COMPUTED_VALUE"""),"nfl predictions results")</f>
        <v>nfl predictions results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IFERROR(__xludf.DUMMYFUNCTION("""COMPUTED_VALUE"""),"nfl picks results")</f>
        <v>nfl picks results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IFERROR(__xludf.DUMMYFUNCTION("""COMPUTED_VALUE"""),"nfl schedule results")</f>
        <v>nfl schedule results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IFERROR(__xludf.DUMMYFUNCTION("""COMPUTED_VALUE"""),"nfl betting news")</f>
        <v>nfl betting news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IFERROR(__xludf.DUMMYFUNCTION("""COMPUTED_VALUE"""),"nfl bets news")</f>
        <v>nfl bets news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IFERROR(__xludf.DUMMYFUNCTION("""COMPUTED_VALUE"""),"nfl bet news")</f>
        <v>nfl bet news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IFERROR(__xludf.DUMMYFUNCTION("""COMPUTED_VALUE"""),"nfl odds news")</f>
        <v>nfl odds news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IFERROR(__xludf.DUMMYFUNCTION("""COMPUTED_VALUE"""),"nfl betting odds news")</f>
        <v>nfl betting odds news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IFERROR(__xludf.DUMMYFUNCTION("""COMPUTED_VALUE"""),"nfl scores news")</f>
        <v>nfl scores news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IFERROR(__xludf.DUMMYFUNCTION("""COMPUTED_VALUE"""),"nfl score news")</f>
        <v>nfl score news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IFERROR(__xludf.DUMMYFUNCTION("""COMPUTED_VALUE"""),"nfl predictions news")</f>
        <v>nfl predictions news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IFERROR(__xludf.DUMMYFUNCTION("""COMPUTED_VALUE"""),"nfl picks news")</f>
        <v>nfl picks news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IFERROR(__xludf.DUMMYFUNCTION("""COMPUTED_VALUE"""),"nfl schedule news")</f>
        <v>nfl schedule news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IFERROR(__xludf.DUMMYFUNCTION("""COMPUTED_VALUE"""),"nfl betting american football")</f>
        <v>nfl betting american football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IFERROR(__xludf.DUMMYFUNCTION("""COMPUTED_VALUE"""),"nfl bets american football")</f>
        <v>nfl bets american football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IFERROR(__xludf.DUMMYFUNCTION("""COMPUTED_VALUE"""),"nfl bet american football")</f>
        <v>nfl bet american football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IFERROR(__xludf.DUMMYFUNCTION("""COMPUTED_VALUE"""),"nfl odds american football")</f>
        <v>nfl odds american football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IFERROR(__xludf.DUMMYFUNCTION("""COMPUTED_VALUE"""),"nfl betting odds american football")</f>
        <v>nfl betting odds american football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IFERROR(__xludf.DUMMYFUNCTION("""COMPUTED_VALUE"""),"nfl scores american football")</f>
        <v>nfl scores american football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IFERROR(__xludf.DUMMYFUNCTION("""COMPUTED_VALUE"""),"nfl score american football")</f>
        <v>nfl score american football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IFERROR(__xludf.DUMMYFUNCTION("""COMPUTED_VALUE"""),"nfl predictions american football")</f>
        <v>nfl predictions american football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IFERROR(__xludf.DUMMYFUNCTION("""COMPUTED_VALUE"""),"nfl picks american football")</f>
        <v>nfl picks american football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IFERROR(__xludf.DUMMYFUNCTION("""COMPUTED_VALUE"""),"nfl schedule american football")</f>
        <v>nfl schedule american football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IFERROR(__xludf.DUMMYFUNCTION("""COMPUTED_VALUE"""),"nfl betting paradise games")</f>
        <v>nfl betting paradise games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IFERROR(__xludf.DUMMYFUNCTION("""COMPUTED_VALUE"""),"nfl bets paradise games")</f>
        <v>nfl bets paradise games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IFERROR(__xludf.DUMMYFUNCTION("""COMPUTED_VALUE"""),"nfl bet paradise games")</f>
        <v>nfl bet paradise games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IFERROR(__xludf.DUMMYFUNCTION("""COMPUTED_VALUE"""),"nfl odds paradise games")</f>
        <v>nfl odds paradise games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IFERROR(__xludf.DUMMYFUNCTION("""COMPUTED_VALUE"""),"nfl betting odds paradise games")</f>
        <v>nfl betting odds paradise games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IFERROR(__xludf.DUMMYFUNCTION("""COMPUTED_VALUE"""),"nfl scores paradise games")</f>
        <v>nfl scores paradise games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IFERROR(__xludf.DUMMYFUNCTION("""COMPUTED_VALUE"""),"nfl score paradise games")</f>
        <v>nfl score paradise games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IFERROR(__xludf.DUMMYFUNCTION("""COMPUTED_VALUE"""),"nfl predictions paradise games")</f>
        <v>nfl predictions paradise games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IFERROR(__xludf.DUMMYFUNCTION("""COMPUTED_VALUE"""),"nfl picks paradise games")</f>
        <v>nfl picks paradise games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IFERROR(__xludf.DUMMYFUNCTION("""COMPUTED_VALUE"""),"nfl schedule paradise games")</f>
        <v>nfl schedule paradise games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IFERROR(__xludf.DUMMYFUNCTION("""COMPUTED_VALUE"""),"nfl betting island luck")</f>
        <v>nfl betting island luck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IFERROR(__xludf.DUMMYFUNCTION("""COMPUTED_VALUE"""),"nfl bets island luck")</f>
        <v>nfl bets island luck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IFERROR(__xludf.DUMMYFUNCTION("""COMPUTED_VALUE"""),"nfl bet island luck")</f>
        <v>nfl bet island luck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IFERROR(__xludf.DUMMYFUNCTION("""COMPUTED_VALUE"""),"nfl odds island luck")</f>
        <v>nfl odds island luck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IFERROR(__xludf.DUMMYFUNCTION("""COMPUTED_VALUE"""),"nfl betting odds island luck")</f>
        <v>nfl betting odds island luck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IFERROR(__xludf.DUMMYFUNCTION("""COMPUTED_VALUE"""),"nfl scores island luck")</f>
        <v>nfl scores island luck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IFERROR(__xludf.DUMMYFUNCTION("""COMPUTED_VALUE"""),"nfl score island luck")</f>
        <v>nfl score island luck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IFERROR(__xludf.DUMMYFUNCTION("""COMPUTED_VALUE"""),"nfl predictions island luck")</f>
        <v>nfl predictions island luck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IFERROR(__xludf.DUMMYFUNCTION("""COMPUTED_VALUE"""),"nfl picks island luck")</f>
        <v>nfl picks island luck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IFERROR(__xludf.DUMMYFUNCTION("""COMPUTED_VALUE"""),"nfl schedule island luck")</f>
        <v>nfl schedule island luck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IFERROR(__xludf.DUMMYFUNCTION("""COMPUTED_VALUE"""),"nfl betting chances")</f>
        <v>nfl betting chances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IFERROR(__xludf.DUMMYFUNCTION("""COMPUTED_VALUE"""),"nfl bets chances")</f>
        <v>nfl bets chances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IFERROR(__xludf.DUMMYFUNCTION("""COMPUTED_VALUE"""),"nfl bet chances")</f>
        <v>nfl bet chances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IFERROR(__xludf.DUMMYFUNCTION("""COMPUTED_VALUE"""),"nfl odds chances")</f>
        <v>nfl odds chances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IFERROR(__xludf.DUMMYFUNCTION("""COMPUTED_VALUE"""),"nfl betting odds chances")</f>
        <v>nfl betting odds chances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IFERROR(__xludf.DUMMYFUNCTION("""COMPUTED_VALUE"""),"nfl scores chances")</f>
        <v>nfl scores chances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IFERROR(__xludf.DUMMYFUNCTION("""COMPUTED_VALUE"""),"nfl score chances")</f>
        <v>nfl score chances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IFERROR(__xludf.DUMMYFUNCTION("""COMPUTED_VALUE"""),"nfl predictions chances")</f>
        <v>nfl predictions chances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IFERROR(__xludf.DUMMYFUNCTION("""COMPUTED_VALUE"""),"nfl picks chances")</f>
        <v>nfl picks chances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IFERROR(__xludf.DUMMYFUNCTION("""COMPUTED_VALUE"""),"nfl schedule chances")</f>
        <v>nfl schedule chances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IFERROR(__xludf.DUMMYFUNCTION("""COMPUTED_VALUE"""),"nfl betting ultra games")</f>
        <v>nfl betting ultra games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IFERROR(__xludf.DUMMYFUNCTION("""COMPUTED_VALUE"""),"nfl bets ultra games")</f>
        <v>nfl bets ultra games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IFERROR(__xludf.DUMMYFUNCTION("""COMPUTED_VALUE"""),"nfl bet ultra games")</f>
        <v>nfl bet ultra games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IFERROR(__xludf.DUMMYFUNCTION("""COMPUTED_VALUE"""),"nfl odds ultra games")</f>
        <v>nfl odds ultra games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IFERROR(__xludf.DUMMYFUNCTION("""COMPUTED_VALUE"""),"nfl betting odds ultra games")</f>
        <v>nfl betting odds ultra games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IFERROR(__xludf.DUMMYFUNCTION("""COMPUTED_VALUE"""),"nfl scores ultra games")</f>
        <v>nfl scores ultra games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IFERROR(__xludf.DUMMYFUNCTION("""COMPUTED_VALUE"""),"nfl score ultra games")</f>
        <v>nfl score ultra games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IFERROR(__xludf.DUMMYFUNCTION("""COMPUTED_VALUE"""),"nfl predictions ultra games")</f>
        <v>nfl predictions ultra games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IFERROR(__xludf.DUMMYFUNCTION("""COMPUTED_VALUE"""),"nfl picks ultra games")</f>
        <v>nfl picks ultra games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IFERROR(__xludf.DUMMYFUNCTION("""COMPUTED_VALUE"""),"nfl schedule ultra games")</f>
        <v>nfl schedule ultra games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IFERROR(__xludf.DUMMYFUNCTION("""COMPUTED_VALUE"""),"nfl betting nassau")</f>
        <v>nfl betting nassau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IFERROR(__xludf.DUMMYFUNCTION("""COMPUTED_VALUE"""),"nfl bets nassau")</f>
        <v>nfl bets nassau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IFERROR(__xludf.DUMMYFUNCTION("""COMPUTED_VALUE"""),"nfl bet nassau")</f>
        <v>nfl bet nassau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IFERROR(__xludf.DUMMYFUNCTION("""COMPUTED_VALUE"""),"nfl odds nassau")</f>
        <v>nfl odds nassau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IFERROR(__xludf.DUMMYFUNCTION("""COMPUTED_VALUE"""),"nfl betting odds nassau")</f>
        <v>nfl betting odds nassau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IFERROR(__xludf.DUMMYFUNCTION("""COMPUTED_VALUE"""),"nfl scores nassau")</f>
        <v>nfl scores nassau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IFERROR(__xludf.DUMMYFUNCTION("""COMPUTED_VALUE"""),"nfl score nassau")</f>
        <v>nfl score nassau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IFERROR(__xludf.DUMMYFUNCTION("""COMPUTED_VALUE"""),"nfl predictions nassau")</f>
        <v>nfl predictions nassau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IFERROR(__xludf.DUMMYFUNCTION("""COMPUTED_VALUE"""),"nfl picks nassau")</f>
        <v>nfl picks nassau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IFERROR(__xludf.DUMMYFUNCTION("""COMPUTED_VALUE"""),"nfl schedule nassau")</f>
        <v>nfl schedule nassau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IFERROR(__xludf.DUMMYFUNCTION("""COMPUTED_VALUE"""),"nfl betting freeport")</f>
        <v>nfl betting freeport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IFERROR(__xludf.DUMMYFUNCTION("""COMPUTED_VALUE"""),"nfl bets freeport")</f>
        <v>nfl bets freeport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IFERROR(__xludf.DUMMYFUNCTION("""COMPUTED_VALUE"""),"nfl bet freeport")</f>
        <v>nfl bet freeport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IFERROR(__xludf.DUMMYFUNCTION("""COMPUTED_VALUE"""),"nfl odds freeport")</f>
        <v>nfl odds freeport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IFERROR(__xludf.DUMMYFUNCTION("""COMPUTED_VALUE"""),"nfl betting odds freeport")</f>
        <v>nfl betting odds freeport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IFERROR(__xludf.DUMMYFUNCTION("""COMPUTED_VALUE"""),"nfl scores freeport")</f>
        <v>nfl scores freeport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IFERROR(__xludf.DUMMYFUNCTION("""COMPUTED_VALUE"""),"nfl score freeport")</f>
        <v>nfl score freeport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IFERROR(__xludf.DUMMYFUNCTION("""COMPUTED_VALUE"""),"nfl predictions freeport")</f>
        <v>nfl predictions freeport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IFERROR(__xludf.DUMMYFUNCTION("""COMPUTED_VALUE"""),"nfl picks freeport")</f>
        <v>nfl picks freeport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IFERROR(__xludf.DUMMYFUNCTION("""COMPUTED_VALUE"""),"nfl schedule freeport")</f>
        <v>nfl schedule freeport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IFERROR(__xludf.DUMMYFUNCTION("""COMPUTED_VALUE"""),"nfl betting football betting")</f>
        <v>nfl betting football betting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IFERROR(__xludf.DUMMYFUNCTION("""COMPUTED_VALUE"""),"nfl bets football betting")</f>
        <v>nfl bets football betting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IFERROR(__xludf.DUMMYFUNCTION("""COMPUTED_VALUE"""),"nfl bet football betting")</f>
        <v>nfl bet football betting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IFERROR(__xludf.DUMMYFUNCTION("""COMPUTED_VALUE"""),"nfl odds football betting")</f>
        <v>nfl odds football betting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IFERROR(__xludf.DUMMYFUNCTION("""COMPUTED_VALUE"""),"nfl betting odds football betting")</f>
        <v>nfl betting odds football betting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IFERROR(__xludf.DUMMYFUNCTION("""COMPUTED_VALUE"""),"nfl scores football betting")</f>
        <v>nfl scores football betting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IFERROR(__xludf.DUMMYFUNCTION("""COMPUTED_VALUE"""),"nfl score football betting")</f>
        <v>nfl score football betting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IFERROR(__xludf.DUMMYFUNCTION("""COMPUTED_VALUE"""),"nfl predictions football betting")</f>
        <v>nfl predictions football betting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IFERROR(__xludf.DUMMYFUNCTION("""COMPUTED_VALUE"""),"nfl picks football betting")</f>
        <v>nfl picks football betting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IFERROR(__xludf.DUMMYFUNCTION("""COMPUTED_VALUE"""),"nfl schedule football betting")</f>
        <v>nfl schedule football betting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 t="str">
        <f>IFERROR(__xludf.DUMMYFUNCTION("""COMPUTED_VALUE"""),"nfl betting")</f>
        <v>nfl betting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 t="str">
        <f>IFERROR(__xludf.DUMMYFUNCTION("""COMPUTED_VALUE"""),"nfl bets")</f>
        <v>nfl bets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 t="str">
        <f>IFERROR(__xludf.DUMMYFUNCTION("""COMPUTED_VALUE"""),"nfl bet")</f>
        <v>nfl bet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 t="str">
        <f>IFERROR(__xludf.DUMMYFUNCTION("""COMPUTED_VALUE"""),"nfl odds")</f>
        <v>nfl odds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 t="str">
        <f>IFERROR(__xludf.DUMMYFUNCTION("""COMPUTED_VALUE"""),"nfl betting odds")</f>
        <v>nfl betting odds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 t="str">
        <f>IFERROR(__xludf.DUMMYFUNCTION("""COMPUTED_VALUE"""),"nfl scores")</f>
        <v>nfl scores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 t="str">
        <f>IFERROR(__xludf.DUMMYFUNCTION("""COMPUTED_VALUE"""),"nfl score")</f>
        <v>nfl score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 t="str">
        <f>IFERROR(__xludf.DUMMYFUNCTION("""COMPUTED_VALUE"""),"nfl predictions")</f>
        <v>nfl predictions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 t="str">
        <f>IFERROR(__xludf.DUMMYFUNCTION("""COMPUTED_VALUE"""),"nfl picks")</f>
        <v>nfl picks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 t="str">
        <f>IFERROR(__xludf.DUMMYFUNCTION("""COMPUTED_VALUE"""),"nfl schedule")</f>
        <v>nfl schedule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1" width="18.0"/>
  </cols>
  <sheetData>
    <row r="1">
      <c r="A1" s="1"/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2" t="s">
        <v>216</v>
      </c>
      <c r="J1" s="2" t="s">
        <v>226</v>
      </c>
      <c r="K1" s="2" t="s">
        <v>227</v>
      </c>
      <c r="L1" s="1"/>
      <c r="M1" s="4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""&amp;$A3))"),"premier league betting bahamas")</f>
        <v>premier league betting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""&amp;$A3))"),"premier league bets bahamas")</f>
        <v>premier league bets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""&amp;$A3))"),"premier league bet bahamas")</f>
        <v>premier league bet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""&amp;$A3))"),"premier league odds bahamas")</f>
        <v>premier league odds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""&amp;$A3))"),"premier league predictions bahamas")</f>
        <v>premier league predictions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""&amp;$A3))"),"premier league scores bahamas")</f>
        <v>premier league scores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""&amp;$A3))"),"premier league fixtures bahamas")</f>
        <v>premier league fixtures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""&amp;$A3))"),"football betting bahamas")</f>
        <v>football betting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""&amp;$A3))"),"soccer betting bahamas")</f>
        <v>soccer betting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""&amp;$A3))"),"EPL betting bahamas")</f>
        <v>EPL betting bahamas</v>
      </c>
      <c r="L3" s="13"/>
      <c r="M3" s="13" t="str">
        <f>IFERROR(__xludf.DUMMYFUNCTION("FLATTEN(B3:K38,B1:K1)"),"premier league betting bahamas")</f>
        <v>premier league betting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54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""&amp;$A4))"),"premier league betting caribbean")</f>
        <v>premier league betting caribbean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""&amp;$A4))"),"premier league bets caribbean")</f>
        <v>premier league bets caribbean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""&amp;$A4))"),"premier league bet caribbean")</f>
        <v>premier league bet caribbean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""&amp;$A4))"),"premier league odds caribbean")</f>
        <v>premier league odds caribbean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""&amp;$A4))"),"premier league predictions caribbean")</f>
        <v>premier league predictions caribbean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""&amp;$A4))"),"premier league scores caribbean")</f>
        <v>premier league scores caribbean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""&amp;$A4))"),"premier league fixtures caribbean")</f>
        <v>premier league fixtures caribbean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""&amp;$A4))"),"football betting caribbean")</f>
        <v>football betting caribbean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""&amp;$A4))"),"soccer betting caribbean")</f>
        <v>soccer betting caribbean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""&amp;$A4))"),"EPL betting caribbean")</f>
        <v>EPL betting caribbean</v>
      </c>
      <c r="L4" s="13"/>
      <c r="M4" s="13" t="str">
        <f>IFERROR(__xludf.DUMMYFUNCTION("""COMPUTED_VALUE"""),"premier league bets bahamas")</f>
        <v>premier league bets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46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""&amp;$A5))"),"premier league betting today")</f>
        <v>premier league betting today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""&amp;$A5))"),"premier league bets today")</f>
        <v>premier league bets today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""&amp;$A5))"),"premier league bet today")</f>
        <v>premier league bet today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""&amp;$A5))"),"premier league odds today")</f>
        <v>premier league odds today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""&amp;$A5))"),"premier league predictions today")</f>
        <v>premier league predictions today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""&amp;$A5))"),"premier league scores today")</f>
        <v>premier league scores today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""&amp;$A5))"),"premier league fixtures today")</f>
        <v>premier league fixtures today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""&amp;$A5))"),"football betting today")</f>
        <v>football betting today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""&amp;$A5))"),"soccer betting today")</f>
        <v>soccer betting today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""&amp;$A5))"),"EPL betting today")</f>
        <v>EPL betting today</v>
      </c>
      <c r="L5" s="13"/>
      <c r="M5" s="13" t="str">
        <f>IFERROR(__xludf.DUMMYFUNCTION("""COMPUTED_VALUE"""),"premier league bet bahamas")</f>
        <v>premier league bet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49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""&amp;$A6))"),"premier league betting tonight")</f>
        <v>premier league betting tonight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""&amp;$A6))"),"premier league bets tonight")</f>
        <v>premier league bets tonight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""&amp;$A6))"),"premier league bet tonight")</f>
        <v>premier league bet tonight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""&amp;$A6))"),"premier league odds tonight")</f>
        <v>premier league odds tonight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""&amp;$A6))"),"premier league predictions tonight")</f>
        <v>premier league predictions tonight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""&amp;$A6))"),"premier league scores tonight")</f>
        <v>premier league scores tonight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""&amp;$A6))"),"premier league fixtures tonight")</f>
        <v>premier league fixtures tonight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""&amp;$A6))"),"football betting tonight")</f>
        <v>football betting tonight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""&amp;$A6))"),"soccer betting tonight")</f>
        <v>soccer betting tonight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""&amp;$A6))"),"EPL betting tonight")</f>
        <v>EPL betting tonight</v>
      </c>
      <c r="L6" s="13"/>
      <c r="M6" s="13" t="str">
        <f>IFERROR(__xludf.DUMMYFUNCTION("""COMPUTED_VALUE"""),"premier league odds bahamas")</f>
        <v>premier league odds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68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""&amp;$A7))"),"premier league betting live")</f>
        <v>premier league betting live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""&amp;$A7))"),"premier league bets live")</f>
        <v>premier league bets live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""&amp;$A7))"),"premier league bet live")</f>
        <v>premier league bet live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""&amp;$A7))"),"premier league odds live")</f>
        <v>premier league odds live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""&amp;$A7))"),"premier league predictions live")</f>
        <v>premier league predictions live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""&amp;$A7))"),"premier league scores live")</f>
        <v>premier league scores live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""&amp;$A7))"),"premier league fixtures live")</f>
        <v>premier league fixtures live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""&amp;$A7))"),"football betting live")</f>
        <v>football betting live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""&amp;$A7))"),"soccer betting live")</f>
        <v>soccer betting live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""&amp;$A7))"),"EPL betting live")</f>
        <v>EPL betting live</v>
      </c>
      <c r="L7" s="13"/>
      <c r="M7" s="13" t="str">
        <f>IFERROR(__xludf.DUMMYFUNCTION("""COMPUTED_VALUE"""),"premier league predictions bahamas")</f>
        <v>premier league predictions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228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""&amp;$A8))"),"premier league betting matches today")</f>
        <v>premier league betting matches today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""&amp;$A8))"),"premier league bets matches today")</f>
        <v>premier league bets matches today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""&amp;$A8))"),"premier league bet matches today")</f>
        <v>premier league bet matches today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""&amp;$A8))"),"premier league odds matches today")</f>
        <v>premier league odds matches today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""&amp;$A8))"),"premier league predictions matches today")</f>
        <v>premier league predictions matches today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""&amp;$A8))"),"premier league scores matches today")</f>
        <v>premier league scores matches today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""&amp;$A8))"),"premier league fixtures matches today")</f>
        <v>premier league fixtures matches today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""&amp;$A8))"),"football betting matches today")</f>
        <v>football betting matches today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""&amp;$A8))"),"soccer betting matches today")</f>
        <v>soccer betting matches today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""&amp;$A8))"),"EPL betting matches today")</f>
        <v>EPL betting matches today</v>
      </c>
      <c r="L8" s="13"/>
      <c r="M8" s="13" t="str">
        <f>IFERROR(__xludf.DUMMYFUNCTION("""COMPUTED_VALUE"""),"premier league scores bahamas")</f>
        <v>premier league scores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229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""&amp;$A9))"),"premier league betting fixtures today")</f>
        <v>premier league betting fixtures today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""&amp;$A9))"),"premier league bets fixtures today")</f>
        <v>premier league bets fixtures today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""&amp;$A9))"),"premier league bet fixtures today")</f>
        <v>premier league bet fixtures today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""&amp;$A9))"),"premier league odds fixtures today")</f>
        <v>premier league odds fixtures today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""&amp;$A9))"),"premier league predictions fixtures today")</f>
        <v>premier league predictions fixtures today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""&amp;$A9))"),"premier league scores fixtures today")</f>
        <v>premier league scores fixtures today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""&amp;$A9))"),"premier league fixtures fixtures today")</f>
        <v>premier league fixtures fixtures today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""&amp;$A9))"),"football betting fixtures today")</f>
        <v>football betting fixtures today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""&amp;$A9))"),"soccer betting fixtures today")</f>
        <v>soccer betting fixtures today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""&amp;$A9))"),"EPL betting fixtures today")</f>
        <v>EPL betting fixtures today</v>
      </c>
      <c r="L9" s="13"/>
      <c r="M9" s="13" t="str">
        <f>IFERROR(__xludf.DUMMYFUNCTION("""COMPUTED_VALUE"""),"premier league fixtures bahamas")</f>
        <v>premier league fixtures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230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""&amp;$A10))"),"premier league betting scores today")</f>
        <v>premier league betting scores today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""&amp;$A10))"),"premier league bets scores today")</f>
        <v>premier league bets scores today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""&amp;$A10))"),"premier league bet scores today")</f>
        <v>premier league bet scores today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""&amp;$A10))"),"premier league odds scores today")</f>
        <v>premier league odds scores today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""&amp;$A10))"),"premier league predictions scores today")</f>
        <v>premier league predictions scores today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""&amp;$A10))"),"premier league scores scores today")</f>
        <v>premier league scores scores today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""&amp;$A10))"),"premier league fixtures scores today")</f>
        <v>premier league fixtures scores today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""&amp;$A10))"),"football betting scores today")</f>
        <v>football betting scores today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""&amp;$A10))"),"soccer betting scores today")</f>
        <v>soccer betting scores today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""&amp;$A10))"),"EPL betting scores today")</f>
        <v>EPL betting scores today</v>
      </c>
      <c r="L10" s="13"/>
      <c r="M10" s="13" t="str">
        <f>IFERROR(__xludf.DUMMYFUNCTION("""COMPUTED_VALUE"""),"football betting bahamas")</f>
        <v>football betting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72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""&amp;$A11))"),"premier league betting results")</f>
        <v>premier league betting results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""&amp;$A11))"),"premier league bets results")</f>
        <v>premier league bets results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""&amp;$A11))"),"premier league bet results")</f>
        <v>premier league bet results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""&amp;$A11))"),"premier league odds results")</f>
        <v>premier league odds results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""&amp;$A11))"),"premier league predictions results")</f>
        <v>premier league predictions results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""&amp;$A11))"),"premier league scores results")</f>
        <v>premier league scores results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""&amp;$A11))"),"premier league fixtures results")</f>
        <v>premier league fixtures results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""&amp;$A11))"),"football betting results")</f>
        <v>football betting results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""&amp;$A11))"),"soccer betting results")</f>
        <v>soccer betting results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""&amp;$A11))"),"EPL betting results")</f>
        <v>EPL betting results</v>
      </c>
      <c r="L11" s="13"/>
      <c r="M11" s="13" t="str">
        <f>IFERROR(__xludf.DUMMYFUNCTION("""COMPUTED_VALUE"""),"soccer betting bahamas")</f>
        <v>soccer betting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231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""&amp;$A12))"),"premier league betting table")</f>
        <v>premier league betting table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""&amp;$A12))"),"premier league bets table")</f>
        <v>premier league bets table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""&amp;$A12))"),"premier league bet table")</f>
        <v>premier league bet table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""&amp;$A12))"),"premier league odds table")</f>
        <v>premier league odds table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""&amp;$A12))"),"premier league predictions table")</f>
        <v>premier league predictions table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""&amp;$A12))"),"premier league scores table")</f>
        <v>premier league scores table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""&amp;$A12))"),"premier league fixtures table")</f>
        <v>premier league fixtures table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""&amp;$A12))"),"football betting table")</f>
        <v>football betting table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""&amp;$A12))"),"soccer betting table")</f>
        <v>soccer betting table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""&amp;$A12))"),"EPL betting table")</f>
        <v>EPL betting table</v>
      </c>
      <c r="L12" s="13"/>
      <c r="M12" s="13" t="str">
        <f>IFERROR(__xludf.DUMMYFUNCTION("""COMPUTED_VALUE"""),"EPL betting bahamas")</f>
        <v>EPL betting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209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""&amp;$A13))"),"premier league betting standings")</f>
        <v>premier league betting standings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""&amp;$A13))"),"premier league bets standings")</f>
        <v>premier league bets standings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""&amp;$A13))"),"premier league bet standings")</f>
        <v>premier league bet standings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""&amp;$A13))"),"premier league odds standings")</f>
        <v>premier league odds standings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""&amp;$A13))"),"premier league predictions standings")</f>
        <v>premier league predictions standings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""&amp;$A13))"),"premier league scores standings")</f>
        <v>premier league scores standings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""&amp;$A13))"),"premier league fixtures standings")</f>
        <v>premier league fixtures standings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""&amp;$A13))"),"football betting standings")</f>
        <v>football betting standings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""&amp;$A13))"),"soccer betting standings")</f>
        <v>soccer betting standings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""&amp;$A13))"),"EPL betting standings")</f>
        <v>EPL betting standings</v>
      </c>
      <c r="L13" s="13"/>
      <c r="M13" s="13" t="str">
        <f>IFERROR(__xludf.DUMMYFUNCTION("""COMPUTED_VALUE"""),"premier league betting caribbean")</f>
        <v>premier league betting caribbean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232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""&amp;$A14))"),"premier league betting odds today")</f>
        <v>premier league betting odds today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""&amp;$A14))"),"premier league bets odds today")</f>
        <v>premier league bets odds today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""&amp;$A14))"),"premier league bet odds today")</f>
        <v>premier league bet odds today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""&amp;$A14))"),"premier league odds odds today")</f>
        <v>premier league odds odds today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""&amp;$A14))"),"premier league predictions odds today")</f>
        <v>premier league predictions odds today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""&amp;$A14))"),"premier league scores odds today")</f>
        <v>premier league scores odds today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""&amp;$A14))"),"premier league fixtures odds today")</f>
        <v>premier league fixtures odds today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""&amp;$A14))"),"football betting odds today")</f>
        <v>football betting odds today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""&amp;$A14))"),"soccer betting odds today")</f>
        <v>soccer betting odds today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""&amp;$A14))"),"EPL betting odds today")</f>
        <v>EPL betting odds today</v>
      </c>
      <c r="L14" s="13"/>
      <c r="M14" s="13" t="str">
        <f>IFERROR(__xludf.DUMMYFUNCTION("""COMPUTED_VALUE"""),"premier league bets caribbean")</f>
        <v>premier league bets caribbean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109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""&amp;$A15))"),"premier league betting live odds")</f>
        <v>premier league betting live odds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""&amp;$A15))"),"premier league bets live odds")</f>
        <v>premier league bets live odds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""&amp;$A15))"),"premier league bet live odds")</f>
        <v>premier league bet live odds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""&amp;$A15))"),"premier league odds live odds")</f>
        <v>premier league odds live odds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""&amp;$A15))"),"premier league predictions live odds")</f>
        <v>premier league predictions live odds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""&amp;$A15))"),"premier league scores live odds")</f>
        <v>premier league scores live odds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""&amp;$A15))"),"premier league fixtures live odds")</f>
        <v>premier league fixtures live odds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""&amp;$A15))"),"football betting live odds")</f>
        <v>football betting live odds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""&amp;$A15))"),"soccer betting live odds")</f>
        <v>soccer betting live odds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""&amp;$A15))"),"EPL betting live odds")</f>
        <v>EPL betting live odds</v>
      </c>
      <c r="L15" s="13"/>
      <c r="M15" s="13" t="str">
        <f>IFERROR(__xludf.DUMMYFUNCTION("""COMPUTED_VALUE"""),"premier league bet caribbean")</f>
        <v>premier league bet caribbean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134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""&amp;$A16))"),"premier league betting picks")</f>
        <v>premier league betting picks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""&amp;$A16))"),"premier league bets picks")</f>
        <v>premier league bets picks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""&amp;$A16))"),"premier league bet picks")</f>
        <v>premier league bet picks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""&amp;$A16))"),"premier league odds picks")</f>
        <v>premier league odds picks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""&amp;$A16))"),"premier league predictions picks")</f>
        <v>premier league predictions picks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""&amp;$A16))"),"premier league scores picks")</f>
        <v>premier league scores picks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""&amp;$A16))"),"premier league fixtures picks")</f>
        <v>premier league fixtures picks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""&amp;$A16))"),"football betting picks")</f>
        <v>football betting picks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""&amp;$A16))"),"soccer betting picks")</f>
        <v>soccer betting picks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""&amp;$A16))"),"EPL betting picks")</f>
        <v>EPL betting picks</v>
      </c>
      <c r="L16" s="13"/>
      <c r="M16" s="13" t="str">
        <f>IFERROR(__xludf.DUMMYFUNCTION("""COMPUTED_VALUE"""),"premier league odds caribbean")</f>
        <v>premier league odds caribbean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142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""&amp;$A17))"),"premier league betting tips")</f>
        <v>premier league betting tips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""&amp;$A17))"),"premier league bets tips")</f>
        <v>premier league bets tips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""&amp;$A17))"),"premier league bet tips")</f>
        <v>premier league bet tips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""&amp;$A17))"),"premier league odds tips")</f>
        <v>premier league odds tips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""&amp;$A17))"),"premier league predictions tips")</f>
        <v>premier league predictions tips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""&amp;$A17))"),"premier league scores tips")</f>
        <v>premier league scores tips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""&amp;$A17))"),"premier league fixtures tips")</f>
        <v>premier league fixtures tips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""&amp;$A17))"),"football betting tips")</f>
        <v>football betting tips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""&amp;$A17))"),"soccer betting tips")</f>
        <v>soccer betting tips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""&amp;$A17))"),"EPL betting tips")</f>
        <v>EPL betting tips</v>
      </c>
      <c r="L17" s="13"/>
      <c r="M17" s="13" t="str">
        <f>IFERROR(__xludf.DUMMYFUNCTION("""COMPUTED_VALUE"""),"premier league predictions caribbean")</f>
        <v>premier league predictions caribbean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149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""&amp;$A18))"),"premier league betting parlay")</f>
        <v>premier league betting parlay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""&amp;$A18))"),"premier league bets parlay")</f>
        <v>premier league bets parlay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""&amp;$A18))"),"premier league bet parlay")</f>
        <v>premier league bet parlay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""&amp;$A18))"),"premier league odds parlay")</f>
        <v>premier league odds parlay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""&amp;$A18))"),"premier league predictions parlay")</f>
        <v>premier league predictions parlay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""&amp;$A18))"),"premier league scores parlay")</f>
        <v>premier league scores parlay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""&amp;$A18))"),"premier league fixtures parlay")</f>
        <v>premier league fixtures parlay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""&amp;$A18))"),"football betting parlay")</f>
        <v>football betting parlay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""&amp;$A18))"),"soccer betting parlay")</f>
        <v>soccer betting parlay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""&amp;$A18))"),"EPL betting parlay")</f>
        <v>EPL betting parlay</v>
      </c>
      <c r="L18" s="13"/>
      <c r="M18" s="13" t="str">
        <f>IFERROR(__xludf.DUMMYFUNCTION("""COMPUTED_VALUE"""),"premier league scores caribbean")</f>
        <v>premier league scores caribbean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159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""&amp;$A19))"),"premier league betting accumulator")</f>
        <v>premier league betting accumulator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""&amp;$A19))"),"premier league bets accumulator")</f>
        <v>premier league bets accumulator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""&amp;$A19))"),"premier league bet accumulator")</f>
        <v>premier league bet accumulator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""&amp;$A19))"),"premier league odds accumulator")</f>
        <v>premier league odds accumulator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""&amp;$A19))"),"premier league predictions accumulator")</f>
        <v>premier league predictions accumulator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""&amp;$A19))"),"premier league scores accumulator")</f>
        <v>premier league scores accumulator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""&amp;$A19))"),"premier league fixtures accumulator")</f>
        <v>premier league fixtures accumulator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""&amp;$A19))"),"football betting accumulator")</f>
        <v>football betting accumulator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""&amp;$A19))"),"soccer betting accumulator")</f>
        <v>soccer betting accumulator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""&amp;$A19))"),"EPL betting accumulator")</f>
        <v>EPL betting accumulator</v>
      </c>
      <c r="L19" s="13"/>
      <c r="M19" s="13" t="str">
        <f>IFERROR(__xludf.DUMMYFUNCTION("""COMPUTED_VALUE"""),"premier league fixtures caribbean")</f>
        <v>premier league fixtures caribbean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40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""&amp;$A20))"),"premier league betting bet online")</f>
        <v>premier league betting bet online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""&amp;$A20))"),"premier league bets bet online")</f>
        <v>premier league bets bet online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""&amp;$A20))"),"premier league bet bet online")</f>
        <v>premier league bet bet online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""&amp;$A20))"),"premier league odds bet online")</f>
        <v>premier league odds bet online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""&amp;$A20))"),"premier league predictions bet online")</f>
        <v>premier league predictions bet online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""&amp;$A20))"),"premier league scores bet online")</f>
        <v>premier league scores bet online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""&amp;$A20))"),"premier league fixtures bet online")</f>
        <v>premier league fixtures bet online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""&amp;$A20))"),"football betting bet online")</f>
        <v>football betting bet online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""&amp;$A20))"),"soccer betting bet online")</f>
        <v>soccer betting bet online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""&amp;$A20))"),"EPL betting bet online")</f>
        <v>EPL betting bet online</v>
      </c>
      <c r="L20" s="13"/>
      <c r="M20" s="13" t="str">
        <f>IFERROR(__xludf.DUMMYFUNCTION("""COMPUTED_VALUE"""),"football betting caribbean")</f>
        <v>football betting caribbean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34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""&amp;$A21))"),"premier league betting sportsbook")</f>
        <v>premier league betting sportsbook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""&amp;$A21))"),"premier league bets sportsbook")</f>
        <v>premier league bets sportsbook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""&amp;$A21))"),"premier league bet sportsbook")</f>
        <v>premier league bet sportsbook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""&amp;$A21))"),"premier league odds sportsbook")</f>
        <v>premier league odds sportsbook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""&amp;$A21))"),"premier league predictions sportsbook")</f>
        <v>premier league predictions sportsbook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""&amp;$A21))"),"premier league scores sportsbook")</f>
        <v>premier league scores sportsbook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""&amp;$A21))"),"premier league fixtures sportsbook")</f>
        <v>premier league fixtures sportsbook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""&amp;$A21))"),"football betting sportsbook")</f>
        <v>football betting sportsbook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""&amp;$A21))"),"soccer betting sportsbook")</f>
        <v>soccer betting sportsbook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""&amp;$A21))"),"EPL betting sportsbook")</f>
        <v>EPL betting sportsbook</v>
      </c>
      <c r="L21" s="13"/>
      <c r="M21" s="13" t="str">
        <f>IFERROR(__xludf.DUMMYFUNCTION("""COMPUTED_VALUE"""),"soccer betting caribbean")</f>
        <v>soccer betting caribbean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36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""&amp;$A22))"),"premier league betting betting app")</f>
        <v>premier league betting betting app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""&amp;$A22))"),"premier league bets betting app")</f>
        <v>premier league bets betting app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""&amp;$A22))"),"premier league bet betting app")</f>
        <v>premier league bet betting app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""&amp;$A22))"),"premier league odds betting app")</f>
        <v>premier league odds betting app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""&amp;$A22))"),"premier league predictions betting app")</f>
        <v>premier league predictions betting app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""&amp;$A22))"),"premier league scores betting app")</f>
        <v>premier league scores betting app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""&amp;$A22))"),"premier league fixtures betting app")</f>
        <v>premier league fixtures betting app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""&amp;$A22))"),"football betting betting app")</f>
        <v>football betting betting app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""&amp;$A22))"),"soccer betting betting app")</f>
        <v>soccer betting betting app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""&amp;$A22))"),"EPL betting betting app")</f>
        <v>EPL betting betting app</v>
      </c>
      <c r="L22" s="13"/>
      <c r="M22" s="13" t="str">
        <f>IFERROR(__xludf.DUMMYFUNCTION("""COMPUTED_VALUE"""),"EPL betting caribbean")</f>
        <v>EPL betting caribbean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63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""&amp;$A23))"),"premier league betting best")</f>
        <v>premier league betting best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""&amp;$A23))"),"premier league bets best")</f>
        <v>premier league bets best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""&amp;$A23))"),"premier league bet best")</f>
        <v>premier league bet best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""&amp;$A23))"),"premier league odds best")</f>
        <v>premier league odds best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""&amp;$A23))"),"premier league predictions best")</f>
        <v>premier league predictions best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""&amp;$A23))"),"premier league scores best")</f>
        <v>premier league scores best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""&amp;$A23))"),"premier league fixtures best")</f>
        <v>premier league fixtures best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""&amp;$A23))"),"football betting best")</f>
        <v>football betting best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""&amp;$A23))"),"soccer betting best")</f>
        <v>soccer betting best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""&amp;$A23))"),"EPL betting best")</f>
        <v>EPL betting best</v>
      </c>
      <c r="L23" s="13"/>
      <c r="M23" s="13" t="str">
        <f>IFERROR(__xludf.DUMMYFUNCTION("""COMPUTED_VALUE"""),"premier league betting today")</f>
        <v>premier league betting today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246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""&amp;$A24))"),"premier league betting teams")</f>
        <v>premier league betting teams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""&amp;$A24))"),"premier league bets teams")</f>
        <v>premier league bets teams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""&amp;$A24))"),"premier league bet teams")</f>
        <v>premier league bet teams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""&amp;$A24))"),"premier league odds teams")</f>
        <v>premier league odds teams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""&amp;$A24))"),"premier league predictions teams")</f>
        <v>premier league predictions teams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""&amp;$A24))"),"premier league scores teams")</f>
        <v>premier league scores teams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""&amp;$A24))"),"premier league fixtures teams")</f>
        <v>premier league fixtures teams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""&amp;$A24))"),"football betting teams")</f>
        <v>football betting teams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""&amp;$A24))"),"soccer betting teams")</f>
        <v>soccer betting teams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""&amp;$A24))"),"EPL betting teams")</f>
        <v>EPL betting teams</v>
      </c>
      <c r="L24" s="13"/>
      <c r="M24" s="13" t="str">
        <f>IFERROR(__xludf.DUMMYFUNCTION("""COMPUTED_VALUE"""),"premier league bets today")</f>
        <v>premier league bets today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247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""&amp;$A25))"),"premier league betting Manchester United")</f>
        <v>premier league betting Manchester United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""&amp;$A25))"),"premier league bets Manchester United")</f>
        <v>premier league bets Manchester United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""&amp;$A25))"),"premier league bet Manchester United")</f>
        <v>premier league bet Manchester United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""&amp;$A25))"),"premier league odds Manchester United")</f>
        <v>premier league odds Manchester United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""&amp;$A25))"),"premier league predictions Manchester United")</f>
        <v>premier league predictions Manchester United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""&amp;$A25))"),"premier league scores Manchester United")</f>
        <v>premier league scores Manchester United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""&amp;$A25))"),"premier league fixtures Manchester United")</f>
        <v>premier league fixtures Manchester United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""&amp;$A25))"),"football betting Manchester United")</f>
        <v>football betting Manchester United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""&amp;$A25))"),"soccer betting Manchester United")</f>
        <v>soccer betting Manchester United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""&amp;$A25))"),"EPL betting Manchester United")</f>
        <v>EPL betting Manchester United</v>
      </c>
      <c r="L25" s="13"/>
      <c r="M25" s="13" t="str">
        <f>IFERROR(__xludf.DUMMYFUNCTION("""COMPUTED_VALUE"""),"premier league bet today")</f>
        <v>premier league bet today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249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""&amp;$A26))"),"premier league betting Liverpool")</f>
        <v>premier league betting Liverpool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""&amp;$A26))"),"premier league bets Liverpool")</f>
        <v>premier league bets Liverpool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""&amp;$A26))"),"premier league bet Liverpool")</f>
        <v>premier league bet Liverpool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""&amp;$A26))"),"premier league odds Liverpool")</f>
        <v>premier league odds Liverpool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""&amp;$A26))"),"premier league predictions Liverpool")</f>
        <v>premier league predictions Liverpool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""&amp;$A26))"),"premier league scores Liverpool")</f>
        <v>premier league scores Liverpool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""&amp;$A26))"),"premier league fixtures Liverpool")</f>
        <v>premier league fixtures Liverpool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""&amp;$A26))"),"football betting Liverpool")</f>
        <v>football betting Liverpool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""&amp;$A26))"),"soccer betting Liverpool")</f>
        <v>soccer betting Liverpool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""&amp;$A26))"),"EPL betting Liverpool")</f>
        <v>EPL betting Liverpool</v>
      </c>
      <c r="L26" s="13"/>
      <c r="M26" s="13" t="str">
        <f>IFERROR(__xludf.DUMMYFUNCTION("""COMPUTED_VALUE"""),"premier league odds today")</f>
        <v>premier league odds today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251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""&amp;$A27))"),"premier league betting Arsenal")</f>
        <v>premier league betting Arsenal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""&amp;$A27))"),"premier league bets Arsenal")</f>
        <v>premier league bets Arsenal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""&amp;$A27))"),"premier league bet Arsenal")</f>
        <v>premier league bet Arsenal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""&amp;$A27))"),"premier league odds Arsenal")</f>
        <v>premier league odds Arsenal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""&amp;$A27))"),"premier league predictions Arsenal")</f>
        <v>premier league predictions Arsenal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""&amp;$A27))"),"premier league scores Arsenal")</f>
        <v>premier league scores Arsenal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""&amp;$A27))"),"premier league fixtures Arsenal")</f>
        <v>premier league fixtures Arsenal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""&amp;$A27))"),"football betting Arsenal")</f>
        <v>football betting Arsenal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""&amp;$A27))"),"soccer betting Arsenal")</f>
        <v>soccer betting Arsenal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""&amp;$A27))"),"EPL betting Arsenal")</f>
        <v>EPL betting Arsenal</v>
      </c>
      <c r="L27" s="13"/>
      <c r="M27" s="13" t="str">
        <f>IFERROR(__xludf.DUMMYFUNCTION("""COMPUTED_VALUE"""),"premier league predictions today")</f>
        <v>premier league predictions today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252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""&amp;$A28))"),"premier league betting Chelsea")</f>
        <v>premier league betting Chelsea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""&amp;$A28))"),"premier league bets Chelsea")</f>
        <v>premier league bets Chelsea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""&amp;$A28))"),"premier league bet Chelsea")</f>
        <v>premier league bet Chelsea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""&amp;$A28))"),"premier league odds Chelsea")</f>
        <v>premier league odds Chelsea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""&amp;$A28))"),"premier league predictions Chelsea")</f>
        <v>premier league predictions Chelsea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""&amp;$A28))"),"premier league scores Chelsea")</f>
        <v>premier league scores Chelsea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""&amp;$A28))"),"premier league fixtures Chelsea")</f>
        <v>premier league fixtures Chelsea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""&amp;$A28))"),"football betting Chelsea")</f>
        <v>football betting Chelsea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""&amp;$A28))"),"soccer betting Chelsea")</f>
        <v>soccer betting Chelsea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""&amp;$A28))"),"EPL betting Chelsea")</f>
        <v>EPL betting Chelsea</v>
      </c>
      <c r="L28" s="13"/>
      <c r="M28" s="13" t="str">
        <f>IFERROR(__xludf.DUMMYFUNCTION("""COMPUTED_VALUE"""),"premier league scores today")</f>
        <v>premier league scores today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104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""&amp;$A29))"),"premier league betting bet")</f>
        <v>premier league betting bet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""&amp;$A29))"),"premier league bets bet")</f>
        <v>premier league bets bet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""&amp;$A29))"),"premier league bet")</f>
        <v>premier league bet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""&amp;$A29))"),"premier league odds bet")</f>
        <v>premier league odds bet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""&amp;$A29))"),"premier league predictions bet")</f>
        <v>premier league predictions bet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""&amp;$A29))"),"premier league scores bet")</f>
        <v>premier league scores bet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""&amp;$A29))"),"premier league fixtures bet")</f>
        <v>premier league fixtures bet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""&amp;$A29))"),"football betting bet")</f>
        <v>football betting bet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""&amp;$A29))"),"soccer betting bet")</f>
        <v>soccer betting bet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""&amp;$A29))"),"EPL betting bet")</f>
        <v>EPL betting bet</v>
      </c>
      <c r="L29" s="13"/>
      <c r="M29" s="13" t="str">
        <f>IFERROR(__xludf.DUMMYFUNCTION("""COMPUTED_VALUE"""),"premier league fixtures today")</f>
        <v>premier league fixtures today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108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""&amp;$A30))"),"premier league betting bets")</f>
        <v>premier league betting bets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""&amp;$A30))"),"premier league bets")</f>
        <v>premier league bets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""&amp;$A30))"),"premier league bet")</f>
        <v>premier league bet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""&amp;$A30))"),"premier league odds bets")</f>
        <v>premier league odds bets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""&amp;$A30))"),"premier league predictions bets")</f>
        <v>premier league predictions bets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""&amp;$A30))"),"premier league scores bets")</f>
        <v>premier league scores bets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""&amp;$A30))"),"premier league fixtures bets")</f>
        <v>premier league fixtures bets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""&amp;$A30))"),"football betting bets")</f>
        <v>football betting bets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""&amp;$A30))"),"soccer betting bets")</f>
        <v>soccer betting bets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""&amp;$A30))"),"EPL betting bets")</f>
        <v>EPL betting bets</v>
      </c>
      <c r="L30" s="13"/>
      <c r="M30" s="13" t="str">
        <f>IFERROR(__xludf.DUMMYFUNCTION("""COMPUTED_VALUE"""),"football betting today")</f>
        <v>football betting today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112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""&amp;$A31))"),"premier league betting")</f>
        <v>premier league betting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""&amp;$A31))"),"premier league bets betting")</f>
        <v>premier league bets betting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""&amp;$A31))"),"premier league bet betting")</f>
        <v>premier league bet betting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""&amp;$A31))"),"premier league odds betting")</f>
        <v>premier league odds betting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""&amp;$A31))"),"premier league predictions betting")</f>
        <v>premier league predictions betting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""&amp;$A31))"),"premier league scores betting")</f>
        <v>premier league scores betting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""&amp;$A31))"),"premier league fixtures betting")</f>
        <v>premier league fixtures betting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""&amp;$A31))"),"football betting")</f>
        <v>football betting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""&amp;$A31))"),"soccer betting")</f>
        <v>soccer betting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""&amp;$A31))"),"EPL betting")</f>
        <v>EPL betting</v>
      </c>
      <c r="L31" s="13"/>
      <c r="M31" s="13" t="str">
        <f>IFERROR(__xludf.DUMMYFUNCTION("""COMPUTED_VALUE"""),"soccer betting today")</f>
        <v>soccer betting today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100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""&amp;$A32))"),"premier league betting paradise games")</f>
        <v>premier league betting paradise games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""&amp;$A32))"),"premier league bets paradise games")</f>
        <v>premier league bets paradise games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""&amp;$A32))"),"premier league bet paradise games")</f>
        <v>premier league bet paradise games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""&amp;$A32))"),"premier league odds paradise games")</f>
        <v>premier league odds paradise games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""&amp;$A32))"),"premier league predictions paradise games")</f>
        <v>premier league predictions paradise games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""&amp;$A32))"),"premier league scores paradise games")</f>
        <v>premier league scores paradise games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""&amp;$A32))"),"premier league fixtures paradise games")</f>
        <v>premier league fixtures paradise games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""&amp;$A32))"),"football betting paradise games")</f>
        <v>football betting paradise games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""&amp;$A32))"),"soccer betting paradise games")</f>
        <v>soccer betting paradise games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""&amp;$A32))"),"EPL betting paradise games")</f>
        <v>EPL betting paradise games</v>
      </c>
      <c r="L32" s="13"/>
      <c r="M32" s="13" t="str">
        <f>IFERROR(__xludf.DUMMYFUNCTION("""COMPUTED_VALUE"""),"EPL betting today")</f>
        <v>EPL betting today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79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""&amp;$A33))"),"premier league betting island luck")</f>
        <v>premier league betting island luck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""&amp;$A33))"),"premier league bets island luck")</f>
        <v>premier league bets island luck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""&amp;$A33))"),"premier league bet island luck")</f>
        <v>premier league bet island luck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""&amp;$A33))"),"premier league odds island luck")</f>
        <v>premier league odds island luck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""&amp;$A33))"),"premier league predictions island luck")</f>
        <v>premier league predictions island luck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""&amp;$A33))"),"premier league scores island luck")</f>
        <v>premier league scores island luck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""&amp;$A33))"),"premier league fixtures island luck")</f>
        <v>premier league fixtures island luck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""&amp;$A33))"),"football betting island luck")</f>
        <v>football betting island luck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""&amp;$A33))"),"soccer betting island luck")</f>
        <v>soccer betting island luck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""&amp;$A33))"),"EPL betting island luck")</f>
        <v>EPL betting island luck</v>
      </c>
      <c r="L33" s="13"/>
      <c r="M33" s="13" t="str">
        <f>IFERROR(__xludf.DUMMYFUNCTION("""COMPUTED_VALUE"""),"premier league betting tonight")</f>
        <v>premier league betting tonight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83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""&amp;$A34))"),"premier league betting chances")</f>
        <v>premier league betting chances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""&amp;$A34))"),"premier league bets chances")</f>
        <v>premier league bets chances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""&amp;$A34))"),"premier league bet chances")</f>
        <v>premier league bet chances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""&amp;$A34))"),"premier league odds chances")</f>
        <v>premier league odds chances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""&amp;$A34))"),"premier league predictions chances")</f>
        <v>premier league predictions chances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""&amp;$A34))"),"premier league scores chances")</f>
        <v>premier league scores chances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""&amp;$A34))"),"premier league fixtures chances")</f>
        <v>premier league fixtures chances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""&amp;$A34))"),"football betting chances")</f>
        <v>football betting chances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""&amp;$A34))"),"soccer betting chances")</f>
        <v>soccer betting chances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""&amp;$A34))"),"EPL betting chances")</f>
        <v>EPL betting chances</v>
      </c>
      <c r="L34" s="13"/>
      <c r="M34" s="13" t="str">
        <f>IFERROR(__xludf.DUMMYFUNCTION("""COMPUTED_VALUE"""),"premier league bets tonight")</f>
        <v>premier league bets tonight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86</v>
      </c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""&amp;$A35))"),"premier league betting ultra games")</f>
        <v>premier league betting ultra games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""&amp;$A35))"),"premier league bets ultra games")</f>
        <v>premier league bets ultra games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""&amp;$A35))"),"premier league bet ultra games")</f>
        <v>premier league bet ultra games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""&amp;$A35))"),"premier league odds ultra games")</f>
        <v>premier league odds ultra games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""&amp;$A35))"),"premier league predictions ultra games")</f>
        <v>premier league predictions ultra games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""&amp;$A35))"),"premier league scores ultra games")</f>
        <v>premier league scores ultra games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""&amp;$A35))"),"premier league fixtures ultra games")</f>
        <v>premier league fixtures ultra games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""&amp;$A35))"),"football betting ultra games")</f>
        <v>football betting ultra games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""&amp;$A35))"),"soccer betting ultra games")</f>
        <v>soccer betting ultra games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""&amp;$A35))"),"EPL betting ultra games")</f>
        <v>EPL betting ultra games</v>
      </c>
      <c r="L35" s="13"/>
      <c r="M35" s="13" t="str">
        <f>IFERROR(__xludf.DUMMYFUNCTION("""COMPUTED_VALUE"""),"premier league bet tonight")</f>
        <v>premier league bet tonight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255</v>
      </c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""&amp;$A36))"),"premier league betting epl")</f>
        <v>premier league betting epl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""&amp;$A36))"),"premier league bets epl")</f>
        <v>premier league bets epl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""&amp;$A36))"),"premier league bet epl")</f>
        <v>premier league bet epl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""&amp;$A36))"),"premier league odds epl")</f>
        <v>premier league odds epl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""&amp;$A36))"),"premier league predictions epl")</f>
        <v>premier league predictions epl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""&amp;$A36))"),"premier league scores epl")</f>
        <v>premier league scores epl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""&amp;$A36))"),"premier league fixtures epl")</f>
        <v>premier league fixtures epl</v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""&amp;$A36))"),"football betting epl")</f>
        <v>football betting epl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""&amp;$A36))"),"soccer betting epl")</f>
        <v>soccer betting epl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""&amp;$A36))"),"EPL betting")</f>
        <v>EPL betting</v>
      </c>
      <c r="L36" s="13"/>
      <c r="M36" s="13" t="str">
        <f>IFERROR(__xludf.DUMMYFUNCTION("""COMPUTED_VALUE"""),"premier league odds tonight")</f>
        <v>premier league odds tonight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256</v>
      </c>
      <c r="B37" s="12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""&amp;$A37))"),"premier league betting english premier league")</f>
        <v>premier league betting english premier league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""&amp;$A37))"),"premier league bets english premier league")</f>
        <v>premier league bets english premier league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""&amp;$A37))"),"premier league bet english premier league")</f>
        <v>premier league bet english premier league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""&amp;$A37))"),"premier league odds english premier league")</f>
        <v>premier league odds english premier league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""&amp;$A37))"),"premier league predictions english premier league")</f>
        <v>premier league predictions english premier league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""&amp;$A37))"),"premier league scores english premier league")</f>
        <v>premier league scores english premier league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""&amp;$A37))"),"premier league fixtures english premier league")</f>
        <v>premier league fixtures english premier league</v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""&amp;$A37))"),"football betting english premier league")</f>
        <v>football betting english premier league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""&amp;$A37))"),"soccer betting english premier league")</f>
        <v>soccer betting english premier league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""&amp;$A37))"),"EPL betting english premier league")</f>
        <v>EPL betting english premier league</v>
      </c>
      <c r="L37" s="13"/>
      <c r="M37" s="13" t="str">
        <f>IFERROR(__xludf.DUMMYFUNCTION("""COMPUTED_VALUE"""),"premier league predictions tonight")</f>
        <v>premier league predictions tonight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 t="s">
        <v>257</v>
      </c>
      <c r="B38" s="12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""&amp;$A38))"),"premier league betting soccer odds")</f>
        <v>premier league betting soccer odds</v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""&amp;$A38))"),"premier league bets soccer odds")</f>
        <v>premier league bets soccer odds</v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""&amp;$A38))"),"premier league bet soccer odds")</f>
        <v>premier league bet soccer odds</v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""&amp;$A38))"),"premier league odds soccer odds")</f>
        <v>premier league odds soccer odds</v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""&amp;$A38))"),"premier league predictions soccer odds")</f>
        <v>premier league predictions soccer odds</v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""&amp;$A38))"),"premier league scores soccer odds")</f>
        <v>premier league scores soccer odds</v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""&amp;$A38))"),"premier league fixtures soccer odds")</f>
        <v>premier league fixtures soccer odds</v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""&amp;$A38))"),"football betting soccer odds")</f>
        <v>football betting soccer odds</v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""&amp;$A38))"),"soccer betting soccer odds")</f>
        <v>soccer betting soccer odds</v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""&amp;$A38))"),"EPL betting soccer odds")</f>
        <v>EPL betting soccer odds</v>
      </c>
      <c r="L38" s="13"/>
      <c r="M38" s="13" t="str">
        <f>IFERROR(__xludf.DUMMYFUNCTION("""COMPUTED_VALUE"""),"premier league scores tonight")</f>
        <v>premier league scores tonight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IFERROR(__xludf.DUMMYFUNCTION("""COMPUTED_VALUE"""),"premier league fixtures tonight")</f>
        <v>premier league fixtures tonight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IFERROR(__xludf.DUMMYFUNCTION("""COMPUTED_VALUE"""),"football betting tonight")</f>
        <v>football betting tonight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IFERROR(__xludf.DUMMYFUNCTION("""COMPUTED_VALUE"""),"soccer betting tonight")</f>
        <v>soccer betting tonight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IFERROR(__xludf.DUMMYFUNCTION("""COMPUTED_VALUE"""),"EPL betting tonight")</f>
        <v>EPL betting tonight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IFERROR(__xludf.DUMMYFUNCTION("""COMPUTED_VALUE"""),"premier league betting live")</f>
        <v>premier league betting live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IFERROR(__xludf.DUMMYFUNCTION("""COMPUTED_VALUE"""),"premier league bets live")</f>
        <v>premier league bets live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IFERROR(__xludf.DUMMYFUNCTION("""COMPUTED_VALUE"""),"premier league bet live")</f>
        <v>premier league bet live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IFERROR(__xludf.DUMMYFUNCTION("""COMPUTED_VALUE"""),"premier league odds live")</f>
        <v>premier league odds live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IFERROR(__xludf.DUMMYFUNCTION("""COMPUTED_VALUE"""),"premier league predictions live")</f>
        <v>premier league predictions live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IFERROR(__xludf.DUMMYFUNCTION("""COMPUTED_VALUE"""),"premier league scores live")</f>
        <v>premier league scores live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IFERROR(__xludf.DUMMYFUNCTION("""COMPUTED_VALUE"""),"premier league fixtures live")</f>
        <v>premier league fixtures live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IFERROR(__xludf.DUMMYFUNCTION("""COMPUTED_VALUE"""),"football betting live")</f>
        <v>football betting live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IFERROR(__xludf.DUMMYFUNCTION("""COMPUTED_VALUE"""),"soccer betting live")</f>
        <v>soccer betting live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IFERROR(__xludf.DUMMYFUNCTION("""COMPUTED_VALUE"""),"EPL betting live")</f>
        <v>EPL betting live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IFERROR(__xludf.DUMMYFUNCTION("""COMPUTED_VALUE"""),"premier league betting matches today")</f>
        <v>premier league betting matches today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IFERROR(__xludf.DUMMYFUNCTION("""COMPUTED_VALUE"""),"premier league bets matches today")</f>
        <v>premier league bets matches today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IFERROR(__xludf.DUMMYFUNCTION("""COMPUTED_VALUE"""),"premier league bet matches today")</f>
        <v>premier league bet matches today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IFERROR(__xludf.DUMMYFUNCTION("""COMPUTED_VALUE"""),"premier league odds matches today")</f>
        <v>premier league odds matches today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IFERROR(__xludf.DUMMYFUNCTION("""COMPUTED_VALUE"""),"premier league predictions matches today")</f>
        <v>premier league predictions matches today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IFERROR(__xludf.DUMMYFUNCTION("""COMPUTED_VALUE"""),"premier league scores matches today")</f>
        <v>premier league scores matches today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IFERROR(__xludf.DUMMYFUNCTION("""COMPUTED_VALUE"""),"premier league fixtures matches today")</f>
        <v>premier league fixtures matches today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IFERROR(__xludf.DUMMYFUNCTION("""COMPUTED_VALUE"""),"football betting matches today")</f>
        <v>football betting matches today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IFERROR(__xludf.DUMMYFUNCTION("""COMPUTED_VALUE"""),"soccer betting matches today")</f>
        <v>soccer betting matches today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IFERROR(__xludf.DUMMYFUNCTION("""COMPUTED_VALUE"""),"EPL betting matches today")</f>
        <v>EPL betting matches today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IFERROR(__xludf.DUMMYFUNCTION("""COMPUTED_VALUE"""),"premier league betting fixtures today")</f>
        <v>premier league betting fixtures today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IFERROR(__xludf.DUMMYFUNCTION("""COMPUTED_VALUE"""),"premier league bets fixtures today")</f>
        <v>premier league bets fixtures today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IFERROR(__xludf.DUMMYFUNCTION("""COMPUTED_VALUE"""),"premier league bet fixtures today")</f>
        <v>premier league bet fixtures today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IFERROR(__xludf.DUMMYFUNCTION("""COMPUTED_VALUE"""),"premier league odds fixtures today")</f>
        <v>premier league odds fixtures today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IFERROR(__xludf.DUMMYFUNCTION("""COMPUTED_VALUE"""),"premier league predictions fixtures today")</f>
        <v>premier league predictions fixtures today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IFERROR(__xludf.DUMMYFUNCTION("""COMPUTED_VALUE"""),"premier league scores fixtures today")</f>
        <v>premier league scores fixtures today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IFERROR(__xludf.DUMMYFUNCTION("""COMPUTED_VALUE"""),"premier league fixtures fixtures today")</f>
        <v>premier league fixtures fixtures today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IFERROR(__xludf.DUMMYFUNCTION("""COMPUTED_VALUE"""),"football betting fixtures today")</f>
        <v>football betting fixtures today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IFERROR(__xludf.DUMMYFUNCTION("""COMPUTED_VALUE"""),"soccer betting fixtures today")</f>
        <v>soccer betting fixtures today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IFERROR(__xludf.DUMMYFUNCTION("""COMPUTED_VALUE"""),"EPL betting fixtures today")</f>
        <v>EPL betting fixtures today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IFERROR(__xludf.DUMMYFUNCTION("""COMPUTED_VALUE"""),"premier league betting scores today")</f>
        <v>premier league betting scores today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IFERROR(__xludf.DUMMYFUNCTION("""COMPUTED_VALUE"""),"premier league bets scores today")</f>
        <v>premier league bets scores today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IFERROR(__xludf.DUMMYFUNCTION("""COMPUTED_VALUE"""),"premier league bet scores today")</f>
        <v>premier league bet scores today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IFERROR(__xludf.DUMMYFUNCTION("""COMPUTED_VALUE"""),"premier league odds scores today")</f>
        <v>premier league odds scores today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IFERROR(__xludf.DUMMYFUNCTION("""COMPUTED_VALUE"""),"premier league predictions scores today")</f>
        <v>premier league predictions scores today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IFERROR(__xludf.DUMMYFUNCTION("""COMPUTED_VALUE"""),"premier league scores scores today")</f>
        <v>premier league scores scores today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IFERROR(__xludf.DUMMYFUNCTION("""COMPUTED_VALUE"""),"premier league fixtures scores today")</f>
        <v>premier league fixtures scores today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IFERROR(__xludf.DUMMYFUNCTION("""COMPUTED_VALUE"""),"football betting scores today")</f>
        <v>football betting scores today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IFERROR(__xludf.DUMMYFUNCTION("""COMPUTED_VALUE"""),"soccer betting scores today")</f>
        <v>soccer betting scores today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IFERROR(__xludf.DUMMYFUNCTION("""COMPUTED_VALUE"""),"EPL betting scores today")</f>
        <v>EPL betting scores today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IFERROR(__xludf.DUMMYFUNCTION("""COMPUTED_VALUE"""),"premier league betting results")</f>
        <v>premier league betting results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IFERROR(__xludf.DUMMYFUNCTION("""COMPUTED_VALUE"""),"premier league bets results")</f>
        <v>premier league bets results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IFERROR(__xludf.DUMMYFUNCTION("""COMPUTED_VALUE"""),"premier league bet results")</f>
        <v>premier league bet results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IFERROR(__xludf.DUMMYFUNCTION("""COMPUTED_VALUE"""),"premier league odds results")</f>
        <v>premier league odds results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IFERROR(__xludf.DUMMYFUNCTION("""COMPUTED_VALUE"""),"premier league predictions results")</f>
        <v>premier league predictions results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IFERROR(__xludf.DUMMYFUNCTION("""COMPUTED_VALUE"""),"premier league scores results")</f>
        <v>premier league scores results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IFERROR(__xludf.DUMMYFUNCTION("""COMPUTED_VALUE"""),"premier league fixtures results")</f>
        <v>premier league fixtures results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IFERROR(__xludf.DUMMYFUNCTION("""COMPUTED_VALUE"""),"football betting results")</f>
        <v>football betting results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IFERROR(__xludf.DUMMYFUNCTION("""COMPUTED_VALUE"""),"soccer betting results")</f>
        <v>soccer betting results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IFERROR(__xludf.DUMMYFUNCTION("""COMPUTED_VALUE"""),"EPL betting results")</f>
        <v>EPL betting results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IFERROR(__xludf.DUMMYFUNCTION("""COMPUTED_VALUE"""),"premier league betting table")</f>
        <v>premier league betting table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IFERROR(__xludf.DUMMYFUNCTION("""COMPUTED_VALUE"""),"premier league bets table")</f>
        <v>premier league bets table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IFERROR(__xludf.DUMMYFUNCTION("""COMPUTED_VALUE"""),"premier league bet table")</f>
        <v>premier league bet table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IFERROR(__xludf.DUMMYFUNCTION("""COMPUTED_VALUE"""),"premier league odds table")</f>
        <v>premier league odds table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IFERROR(__xludf.DUMMYFUNCTION("""COMPUTED_VALUE"""),"premier league predictions table")</f>
        <v>premier league predictions table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IFERROR(__xludf.DUMMYFUNCTION("""COMPUTED_VALUE"""),"premier league scores table")</f>
        <v>premier league scores table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IFERROR(__xludf.DUMMYFUNCTION("""COMPUTED_VALUE"""),"premier league fixtures table")</f>
        <v>premier league fixtures table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IFERROR(__xludf.DUMMYFUNCTION("""COMPUTED_VALUE"""),"football betting table")</f>
        <v>football betting table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IFERROR(__xludf.DUMMYFUNCTION("""COMPUTED_VALUE"""),"soccer betting table")</f>
        <v>soccer betting table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IFERROR(__xludf.DUMMYFUNCTION("""COMPUTED_VALUE"""),"EPL betting table")</f>
        <v>EPL betting table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IFERROR(__xludf.DUMMYFUNCTION("""COMPUTED_VALUE"""),"premier league betting standings")</f>
        <v>premier league betting standings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IFERROR(__xludf.DUMMYFUNCTION("""COMPUTED_VALUE"""),"premier league bets standings")</f>
        <v>premier league bets standings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IFERROR(__xludf.DUMMYFUNCTION("""COMPUTED_VALUE"""),"premier league bet standings")</f>
        <v>premier league bet standings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IFERROR(__xludf.DUMMYFUNCTION("""COMPUTED_VALUE"""),"premier league odds standings")</f>
        <v>premier league odds standings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IFERROR(__xludf.DUMMYFUNCTION("""COMPUTED_VALUE"""),"premier league predictions standings")</f>
        <v>premier league predictions standings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IFERROR(__xludf.DUMMYFUNCTION("""COMPUTED_VALUE"""),"premier league scores standings")</f>
        <v>premier league scores standings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IFERROR(__xludf.DUMMYFUNCTION("""COMPUTED_VALUE"""),"premier league fixtures standings")</f>
        <v>premier league fixtures standings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IFERROR(__xludf.DUMMYFUNCTION("""COMPUTED_VALUE"""),"football betting standings")</f>
        <v>football betting standings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IFERROR(__xludf.DUMMYFUNCTION("""COMPUTED_VALUE"""),"soccer betting standings")</f>
        <v>soccer betting standings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IFERROR(__xludf.DUMMYFUNCTION("""COMPUTED_VALUE"""),"EPL betting standings")</f>
        <v>EPL betting standings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IFERROR(__xludf.DUMMYFUNCTION("""COMPUTED_VALUE"""),"premier league betting odds today")</f>
        <v>premier league betting odds today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IFERROR(__xludf.DUMMYFUNCTION("""COMPUTED_VALUE"""),"premier league bets odds today")</f>
        <v>premier league bets odds today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IFERROR(__xludf.DUMMYFUNCTION("""COMPUTED_VALUE"""),"premier league bet odds today")</f>
        <v>premier league bet odds today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IFERROR(__xludf.DUMMYFUNCTION("""COMPUTED_VALUE"""),"premier league odds odds today")</f>
        <v>premier league odds odds today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IFERROR(__xludf.DUMMYFUNCTION("""COMPUTED_VALUE"""),"premier league predictions odds today")</f>
        <v>premier league predictions odds today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IFERROR(__xludf.DUMMYFUNCTION("""COMPUTED_VALUE"""),"premier league scores odds today")</f>
        <v>premier league scores odds today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IFERROR(__xludf.DUMMYFUNCTION("""COMPUTED_VALUE"""),"premier league fixtures odds today")</f>
        <v>premier league fixtures odds today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IFERROR(__xludf.DUMMYFUNCTION("""COMPUTED_VALUE"""),"football betting odds today")</f>
        <v>football betting odds today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IFERROR(__xludf.DUMMYFUNCTION("""COMPUTED_VALUE"""),"soccer betting odds today")</f>
        <v>soccer betting odds today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IFERROR(__xludf.DUMMYFUNCTION("""COMPUTED_VALUE"""),"EPL betting odds today")</f>
        <v>EPL betting odds today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IFERROR(__xludf.DUMMYFUNCTION("""COMPUTED_VALUE"""),"premier league betting live odds")</f>
        <v>premier league betting live odds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IFERROR(__xludf.DUMMYFUNCTION("""COMPUTED_VALUE"""),"premier league bets live odds")</f>
        <v>premier league bets live odds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IFERROR(__xludf.DUMMYFUNCTION("""COMPUTED_VALUE"""),"premier league bet live odds")</f>
        <v>premier league bet live odds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IFERROR(__xludf.DUMMYFUNCTION("""COMPUTED_VALUE"""),"premier league odds live odds")</f>
        <v>premier league odds live odds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IFERROR(__xludf.DUMMYFUNCTION("""COMPUTED_VALUE"""),"premier league predictions live odds")</f>
        <v>premier league predictions live odds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IFERROR(__xludf.DUMMYFUNCTION("""COMPUTED_VALUE"""),"premier league scores live odds")</f>
        <v>premier league scores live odds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IFERROR(__xludf.DUMMYFUNCTION("""COMPUTED_VALUE"""),"premier league fixtures live odds")</f>
        <v>premier league fixtures live odds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IFERROR(__xludf.DUMMYFUNCTION("""COMPUTED_VALUE"""),"football betting live odds")</f>
        <v>football betting live odds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IFERROR(__xludf.DUMMYFUNCTION("""COMPUTED_VALUE"""),"soccer betting live odds")</f>
        <v>soccer betting live odds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IFERROR(__xludf.DUMMYFUNCTION("""COMPUTED_VALUE"""),"EPL betting live odds")</f>
        <v>EPL betting live odds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IFERROR(__xludf.DUMMYFUNCTION("""COMPUTED_VALUE"""),"premier league betting picks")</f>
        <v>premier league betting picks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IFERROR(__xludf.DUMMYFUNCTION("""COMPUTED_VALUE"""),"premier league bets picks")</f>
        <v>premier league bets picks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IFERROR(__xludf.DUMMYFUNCTION("""COMPUTED_VALUE"""),"premier league bet picks")</f>
        <v>premier league bet picks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IFERROR(__xludf.DUMMYFUNCTION("""COMPUTED_VALUE"""),"premier league odds picks")</f>
        <v>premier league odds picks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IFERROR(__xludf.DUMMYFUNCTION("""COMPUTED_VALUE"""),"premier league predictions picks")</f>
        <v>premier league predictions picks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IFERROR(__xludf.DUMMYFUNCTION("""COMPUTED_VALUE"""),"premier league scores picks")</f>
        <v>premier league scores picks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IFERROR(__xludf.DUMMYFUNCTION("""COMPUTED_VALUE"""),"premier league fixtures picks")</f>
        <v>premier league fixtures picks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IFERROR(__xludf.DUMMYFUNCTION("""COMPUTED_VALUE"""),"football betting picks")</f>
        <v>football betting picks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IFERROR(__xludf.DUMMYFUNCTION("""COMPUTED_VALUE"""),"soccer betting picks")</f>
        <v>soccer betting picks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IFERROR(__xludf.DUMMYFUNCTION("""COMPUTED_VALUE"""),"EPL betting picks")</f>
        <v>EPL betting picks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IFERROR(__xludf.DUMMYFUNCTION("""COMPUTED_VALUE"""),"premier league betting tips")</f>
        <v>premier league betting tips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IFERROR(__xludf.DUMMYFUNCTION("""COMPUTED_VALUE"""),"premier league bets tips")</f>
        <v>premier league bets tips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IFERROR(__xludf.DUMMYFUNCTION("""COMPUTED_VALUE"""),"premier league bet tips")</f>
        <v>premier league bet tips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IFERROR(__xludf.DUMMYFUNCTION("""COMPUTED_VALUE"""),"premier league odds tips")</f>
        <v>premier league odds tips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IFERROR(__xludf.DUMMYFUNCTION("""COMPUTED_VALUE"""),"premier league predictions tips")</f>
        <v>premier league predictions tips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IFERROR(__xludf.DUMMYFUNCTION("""COMPUTED_VALUE"""),"premier league scores tips")</f>
        <v>premier league scores tips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IFERROR(__xludf.DUMMYFUNCTION("""COMPUTED_VALUE"""),"premier league fixtures tips")</f>
        <v>premier league fixtures tips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IFERROR(__xludf.DUMMYFUNCTION("""COMPUTED_VALUE"""),"football betting tips")</f>
        <v>football betting tips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IFERROR(__xludf.DUMMYFUNCTION("""COMPUTED_VALUE"""),"soccer betting tips")</f>
        <v>soccer betting tips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IFERROR(__xludf.DUMMYFUNCTION("""COMPUTED_VALUE"""),"EPL betting tips")</f>
        <v>EPL betting tips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IFERROR(__xludf.DUMMYFUNCTION("""COMPUTED_VALUE"""),"premier league betting parlay")</f>
        <v>premier league betting parlay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IFERROR(__xludf.DUMMYFUNCTION("""COMPUTED_VALUE"""),"premier league bets parlay")</f>
        <v>premier league bets parlay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IFERROR(__xludf.DUMMYFUNCTION("""COMPUTED_VALUE"""),"premier league bet parlay")</f>
        <v>premier league bet parlay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IFERROR(__xludf.DUMMYFUNCTION("""COMPUTED_VALUE"""),"premier league odds parlay")</f>
        <v>premier league odds parlay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IFERROR(__xludf.DUMMYFUNCTION("""COMPUTED_VALUE"""),"premier league predictions parlay")</f>
        <v>premier league predictions parlay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IFERROR(__xludf.DUMMYFUNCTION("""COMPUTED_VALUE"""),"premier league scores parlay")</f>
        <v>premier league scores parlay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IFERROR(__xludf.DUMMYFUNCTION("""COMPUTED_VALUE"""),"premier league fixtures parlay")</f>
        <v>premier league fixtures parlay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IFERROR(__xludf.DUMMYFUNCTION("""COMPUTED_VALUE"""),"football betting parlay")</f>
        <v>football betting parlay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IFERROR(__xludf.DUMMYFUNCTION("""COMPUTED_VALUE"""),"soccer betting parlay")</f>
        <v>soccer betting parlay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IFERROR(__xludf.DUMMYFUNCTION("""COMPUTED_VALUE"""),"EPL betting parlay")</f>
        <v>EPL betting parlay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IFERROR(__xludf.DUMMYFUNCTION("""COMPUTED_VALUE"""),"premier league betting accumulator")</f>
        <v>premier league betting accumulator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IFERROR(__xludf.DUMMYFUNCTION("""COMPUTED_VALUE"""),"premier league bets accumulator")</f>
        <v>premier league bets accumulator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IFERROR(__xludf.DUMMYFUNCTION("""COMPUTED_VALUE"""),"premier league bet accumulator")</f>
        <v>premier league bet accumulator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IFERROR(__xludf.DUMMYFUNCTION("""COMPUTED_VALUE"""),"premier league odds accumulator")</f>
        <v>premier league odds accumulator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IFERROR(__xludf.DUMMYFUNCTION("""COMPUTED_VALUE"""),"premier league predictions accumulator")</f>
        <v>premier league predictions accumulator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IFERROR(__xludf.DUMMYFUNCTION("""COMPUTED_VALUE"""),"premier league scores accumulator")</f>
        <v>premier league scores accumulator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IFERROR(__xludf.DUMMYFUNCTION("""COMPUTED_VALUE"""),"premier league fixtures accumulator")</f>
        <v>premier league fixtures accumulator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IFERROR(__xludf.DUMMYFUNCTION("""COMPUTED_VALUE"""),"football betting accumulator")</f>
        <v>football betting accumulator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IFERROR(__xludf.DUMMYFUNCTION("""COMPUTED_VALUE"""),"soccer betting accumulator")</f>
        <v>soccer betting accumulator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IFERROR(__xludf.DUMMYFUNCTION("""COMPUTED_VALUE"""),"EPL betting accumulator")</f>
        <v>EPL betting accumulator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IFERROR(__xludf.DUMMYFUNCTION("""COMPUTED_VALUE"""),"premier league betting bet online")</f>
        <v>premier league betting bet online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IFERROR(__xludf.DUMMYFUNCTION("""COMPUTED_VALUE"""),"premier league bets bet online")</f>
        <v>premier league bets bet online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IFERROR(__xludf.DUMMYFUNCTION("""COMPUTED_VALUE"""),"premier league bet bet online")</f>
        <v>premier league bet bet online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IFERROR(__xludf.DUMMYFUNCTION("""COMPUTED_VALUE"""),"premier league odds bet online")</f>
        <v>premier league odds bet online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IFERROR(__xludf.DUMMYFUNCTION("""COMPUTED_VALUE"""),"premier league predictions bet online")</f>
        <v>premier league predictions bet online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IFERROR(__xludf.DUMMYFUNCTION("""COMPUTED_VALUE"""),"premier league scores bet online")</f>
        <v>premier league scores bet online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IFERROR(__xludf.DUMMYFUNCTION("""COMPUTED_VALUE"""),"premier league fixtures bet online")</f>
        <v>premier league fixtures bet online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IFERROR(__xludf.DUMMYFUNCTION("""COMPUTED_VALUE"""),"football betting bet online")</f>
        <v>football betting bet online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IFERROR(__xludf.DUMMYFUNCTION("""COMPUTED_VALUE"""),"soccer betting bet online")</f>
        <v>soccer betting bet online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IFERROR(__xludf.DUMMYFUNCTION("""COMPUTED_VALUE"""),"EPL betting bet online")</f>
        <v>EPL betting bet online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IFERROR(__xludf.DUMMYFUNCTION("""COMPUTED_VALUE"""),"premier league betting sportsbook")</f>
        <v>premier league betting sportsbook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IFERROR(__xludf.DUMMYFUNCTION("""COMPUTED_VALUE"""),"premier league bets sportsbook")</f>
        <v>premier league bets sportsbook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IFERROR(__xludf.DUMMYFUNCTION("""COMPUTED_VALUE"""),"premier league bet sportsbook")</f>
        <v>premier league bet sportsbook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IFERROR(__xludf.DUMMYFUNCTION("""COMPUTED_VALUE"""),"premier league odds sportsbook")</f>
        <v>premier league odds sportsbook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IFERROR(__xludf.DUMMYFUNCTION("""COMPUTED_VALUE"""),"premier league predictions sportsbook")</f>
        <v>premier league predictions sportsbook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IFERROR(__xludf.DUMMYFUNCTION("""COMPUTED_VALUE"""),"premier league scores sportsbook")</f>
        <v>premier league scores sportsbook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IFERROR(__xludf.DUMMYFUNCTION("""COMPUTED_VALUE"""),"premier league fixtures sportsbook")</f>
        <v>premier league fixtures sportsbook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IFERROR(__xludf.DUMMYFUNCTION("""COMPUTED_VALUE"""),"football betting sportsbook")</f>
        <v>football betting sportsbook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IFERROR(__xludf.DUMMYFUNCTION("""COMPUTED_VALUE"""),"soccer betting sportsbook")</f>
        <v>soccer betting sportsbook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IFERROR(__xludf.DUMMYFUNCTION("""COMPUTED_VALUE"""),"EPL betting sportsbook")</f>
        <v>EPL betting sportsbook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IFERROR(__xludf.DUMMYFUNCTION("""COMPUTED_VALUE"""),"premier league betting betting app")</f>
        <v>premier league betting betting app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IFERROR(__xludf.DUMMYFUNCTION("""COMPUTED_VALUE"""),"premier league bets betting app")</f>
        <v>premier league bets betting app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IFERROR(__xludf.DUMMYFUNCTION("""COMPUTED_VALUE"""),"premier league bet betting app")</f>
        <v>premier league bet betting app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IFERROR(__xludf.DUMMYFUNCTION("""COMPUTED_VALUE"""),"premier league odds betting app")</f>
        <v>premier league odds betting app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IFERROR(__xludf.DUMMYFUNCTION("""COMPUTED_VALUE"""),"premier league predictions betting app")</f>
        <v>premier league predictions betting app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IFERROR(__xludf.DUMMYFUNCTION("""COMPUTED_VALUE"""),"premier league scores betting app")</f>
        <v>premier league scores betting app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IFERROR(__xludf.DUMMYFUNCTION("""COMPUTED_VALUE"""),"premier league fixtures betting app")</f>
        <v>premier league fixtures betting app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IFERROR(__xludf.DUMMYFUNCTION("""COMPUTED_VALUE"""),"football betting betting app")</f>
        <v>football betting betting app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IFERROR(__xludf.DUMMYFUNCTION("""COMPUTED_VALUE"""),"soccer betting betting app")</f>
        <v>soccer betting betting app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IFERROR(__xludf.DUMMYFUNCTION("""COMPUTED_VALUE"""),"EPL betting betting app")</f>
        <v>EPL betting betting app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IFERROR(__xludf.DUMMYFUNCTION("""COMPUTED_VALUE"""),"premier league betting best")</f>
        <v>premier league betting best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IFERROR(__xludf.DUMMYFUNCTION("""COMPUTED_VALUE"""),"premier league bets best")</f>
        <v>premier league bets best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IFERROR(__xludf.DUMMYFUNCTION("""COMPUTED_VALUE"""),"premier league bet best")</f>
        <v>premier league bet best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IFERROR(__xludf.DUMMYFUNCTION("""COMPUTED_VALUE"""),"premier league odds best")</f>
        <v>premier league odds best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IFERROR(__xludf.DUMMYFUNCTION("""COMPUTED_VALUE"""),"premier league predictions best")</f>
        <v>premier league predictions best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IFERROR(__xludf.DUMMYFUNCTION("""COMPUTED_VALUE"""),"premier league scores best")</f>
        <v>premier league scores best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IFERROR(__xludf.DUMMYFUNCTION("""COMPUTED_VALUE"""),"premier league fixtures best")</f>
        <v>premier league fixtures best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IFERROR(__xludf.DUMMYFUNCTION("""COMPUTED_VALUE"""),"football betting best")</f>
        <v>football betting best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IFERROR(__xludf.DUMMYFUNCTION("""COMPUTED_VALUE"""),"soccer betting best")</f>
        <v>soccer betting best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IFERROR(__xludf.DUMMYFUNCTION("""COMPUTED_VALUE"""),"EPL betting best")</f>
        <v>EPL betting best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IFERROR(__xludf.DUMMYFUNCTION("""COMPUTED_VALUE"""),"premier league betting teams")</f>
        <v>premier league betting teams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IFERROR(__xludf.DUMMYFUNCTION("""COMPUTED_VALUE"""),"premier league bets teams")</f>
        <v>premier league bets teams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IFERROR(__xludf.DUMMYFUNCTION("""COMPUTED_VALUE"""),"premier league bet teams")</f>
        <v>premier league bet teams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IFERROR(__xludf.DUMMYFUNCTION("""COMPUTED_VALUE"""),"premier league odds teams")</f>
        <v>premier league odds teams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IFERROR(__xludf.DUMMYFUNCTION("""COMPUTED_VALUE"""),"premier league predictions teams")</f>
        <v>premier league predictions teams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IFERROR(__xludf.DUMMYFUNCTION("""COMPUTED_VALUE"""),"premier league scores teams")</f>
        <v>premier league scores teams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IFERROR(__xludf.DUMMYFUNCTION("""COMPUTED_VALUE"""),"premier league fixtures teams")</f>
        <v>premier league fixtures teams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IFERROR(__xludf.DUMMYFUNCTION("""COMPUTED_VALUE"""),"football betting teams")</f>
        <v>football betting teams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IFERROR(__xludf.DUMMYFUNCTION("""COMPUTED_VALUE"""),"soccer betting teams")</f>
        <v>soccer betting teams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IFERROR(__xludf.DUMMYFUNCTION("""COMPUTED_VALUE"""),"EPL betting teams")</f>
        <v>EPL betting teams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IFERROR(__xludf.DUMMYFUNCTION("""COMPUTED_VALUE"""),"premier league betting Manchester United")</f>
        <v>premier league betting Manchester United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IFERROR(__xludf.DUMMYFUNCTION("""COMPUTED_VALUE"""),"premier league bets Manchester United")</f>
        <v>premier league bets Manchester United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IFERROR(__xludf.DUMMYFUNCTION("""COMPUTED_VALUE"""),"premier league bet Manchester United")</f>
        <v>premier league bet Manchester United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IFERROR(__xludf.DUMMYFUNCTION("""COMPUTED_VALUE"""),"premier league odds Manchester United")</f>
        <v>premier league odds Manchester United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IFERROR(__xludf.DUMMYFUNCTION("""COMPUTED_VALUE"""),"premier league predictions Manchester United")</f>
        <v>premier league predictions Manchester United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IFERROR(__xludf.DUMMYFUNCTION("""COMPUTED_VALUE"""),"premier league scores Manchester United")</f>
        <v>premier league scores Manchester United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IFERROR(__xludf.DUMMYFUNCTION("""COMPUTED_VALUE"""),"premier league fixtures Manchester United")</f>
        <v>premier league fixtures Manchester United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IFERROR(__xludf.DUMMYFUNCTION("""COMPUTED_VALUE"""),"football betting Manchester United")</f>
        <v>football betting Manchester United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IFERROR(__xludf.DUMMYFUNCTION("""COMPUTED_VALUE"""),"soccer betting Manchester United")</f>
        <v>soccer betting Manchester United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IFERROR(__xludf.DUMMYFUNCTION("""COMPUTED_VALUE"""),"EPL betting Manchester United")</f>
        <v>EPL betting Manchester United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IFERROR(__xludf.DUMMYFUNCTION("""COMPUTED_VALUE"""),"premier league betting Liverpool")</f>
        <v>premier league betting Liverpool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IFERROR(__xludf.DUMMYFUNCTION("""COMPUTED_VALUE"""),"premier league bets Liverpool")</f>
        <v>premier league bets Liverpool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IFERROR(__xludf.DUMMYFUNCTION("""COMPUTED_VALUE"""),"premier league bet Liverpool")</f>
        <v>premier league bet Liverpool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IFERROR(__xludf.DUMMYFUNCTION("""COMPUTED_VALUE"""),"premier league odds Liverpool")</f>
        <v>premier league odds Liverpool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IFERROR(__xludf.DUMMYFUNCTION("""COMPUTED_VALUE"""),"premier league predictions Liverpool")</f>
        <v>premier league predictions Liverpool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IFERROR(__xludf.DUMMYFUNCTION("""COMPUTED_VALUE"""),"premier league scores Liverpool")</f>
        <v>premier league scores Liverpool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IFERROR(__xludf.DUMMYFUNCTION("""COMPUTED_VALUE"""),"premier league fixtures Liverpool")</f>
        <v>premier league fixtures Liverpool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IFERROR(__xludf.DUMMYFUNCTION("""COMPUTED_VALUE"""),"football betting Liverpool")</f>
        <v>football betting Liverpool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IFERROR(__xludf.DUMMYFUNCTION("""COMPUTED_VALUE"""),"soccer betting Liverpool")</f>
        <v>soccer betting Liverpool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IFERROR(__xludf.DUMMYFUNCTION("""COMPUTED_VALUE"""),"EPL betting Liverpool")</f>
        <v>EPL betting Liverpool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IFERROR(__xludf.DUMMYFUNCTION("""COMPUTED_VALUE"""),"premier league betting Arsenal")</f>
        <v>premier league betting Arsenal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IFERROR(__xludf.DUMMYFUNCTION("""COMPUTED_VALUE"""),"premier league bets Arsenal")</f>
        <v>premier league bets Arsenal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IFERROR(__xludf.DUMMYFUNCTION("""COMPUTED_VALUE"""),"premier league bet Arsenal")</f>
        <v>premier league bet Arsenal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IFERROR(__xludf.DUMMYFUNCTION("""COMPUTED_VALUE"""),"premier league odds Arsenal")</f>
        <v>premier league odds Arsenal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IFERROR(__xludf.DUMMYFUNCTION("""COMPUTED_VALUE"""),"premier league predictions Arsenal")</f>
        <v>premier league predictions Arsenal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IFERROR(__xludf.DUMMYFUNCTION("""COMPUTED_VALUE"""),"premier league scores Arsenal")</f>
        <v>premier league scores Arsenal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IFERROR(__xludf.DUMMYFUNCTION("""COMPUTED_VALUE"""),"premier league fixtures Arsenal")</f>
        <v>premier league fixtures Arsenal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IFERROR(__xludf.DUMMYFUNCTION("""COMPUTED_VALUE"""),"football betting Arsenal")</f>
        <v>football betting Arsenal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IFERROR(__xludf.DUMMYFUNCTION("""COMPUTED_VALUE"""),"soccer betting Arsenal")</f>
        <v>soccer betting Arsenal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IFERROR(__xludf.DUMMYFUNCTION("""COMPUTED_VALUE"""),"EPL betting Arsenal")</f>
        <v>EPL betting Arsenal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IFERROR(__xludf.DUMMYFUNCTION("""COMPUTED_VALUE"""),"premier league betting Chelsea")</f>
        <v>premier league betting Chelsea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IFERROR(__xludf.DUMMYFUNCTION("""COMPUTED_VALUE"""),"premier league bets Chelsea")</f>
        <v>premier league bets Chelsea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IFERROR(__xludf.DUMMYFUNCTION("""COMPUTED_VALUE"""),"premier league bet Chelsea")</f>
        <v>premier league bet Chelsea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IFERROR(__xludf.DUMMYFUNCTION("""COMPUTED_VALUE"""),"premier league odds Chelsea")</f>
        <v>premier league odds Chelsea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IFERROR(__xludf.DUMMYFUNCTION("""COMPUTED_VALUE"""),"premier league predictions Chelsea")</f>
        <v>premier league predictions Chelsea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IFERROR(__xludf.DUMMYFUNCTION("""COMPUTED_VALUE"""),"premier league scores Chelsea")</f>
        <v>premier league scores Chelsea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IFERROR(__xludf.DUMMYFUNCTION("""COMPUTED_VALUE"""),"premier league fixtures Chelsea")</f>
        <v>premier league fixtures Chelsea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IFERROR(__xludf.DUMMYFUNCTION("""COMPUTED_VALUE"""),"football betting Chelsea")</f>
        <v>football betting Chelsea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IFERROR(__xludf.DUMMYFUNCTION("""COMPUTED_VALUE"""),"soccer betting Chelsea")</f>
        <v>soccer betting Chelsea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IFERROR(__xludf.DUMMYFUNCTION("""COMPUTED_VALUE"""),"EPL betting Chelsea")</f>
        <v>EPL betting Chelsea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IFERROR(__xludf.DUMMYFUNCTION("""COMPUTED_VALUE"""),"premier league betting bet")</f>
        <v>premier league betting bet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IFERROR(__xludf.DUMMYFUNCTION("""COMPUTED_VALUE"""),"premier league bets bet")</f>
        <v>premier league bets bet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IFERROR(__xludf.DUMMYFUNCTION("""COMPUTED_VALUE"""),"premier league bet")</f>
        <v>premier league bet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IFERROR(__xludf.DUMMYFUNCTION("""COMPUTED_VALUE"""),"premier league odds bet")</f>
        <v>premier league odds bet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IFERROR(__xludf.DUMMYFUNCTION("""COMPUTED_VALUE"""),"premier league predictions bet")</f>
        <v>premier league predictions bet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IFERROR(__xludf.DUMMYFUNCTION("""COMPUTED_VALUE"""),"premier league scores bet")</f>
        <v>premier league scores bet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IFERROR(__xludf.DUMMYFUNCTION("""COMPUTED_VALUE"""),"premier league fixtures bet")</f>
        <v>premier league fixtures bet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IFERROR(__xludf.DUMMYFUNCTION("""COMPUTED_VALUE"""),"football betting bet")</f>
        <v>football betting bet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IFERROR(__xludf.DUMMYFUNCTION("""COMPUTED_VALUE"""),"soccer betting bet")</f>
        <v>soccer betting bet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IFERROR(__xludf.DUMMYFUNCTION("""COMPUTED_VALUE"""),"EPL betting bet")</f>
        <v>EPL betting bet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IFERROR(__xludf.DUMMYFUNCTION("""COMPUTED_VALUE"""),"premier league betting bets")</f>
        <v>premier league betting bets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IFERROR(__xludf.DUMMYFUNCTION("""COMPUTED_VALUE"""),"premier league bets")</f>
        <v>premier league bets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IFERROR(__xludf.DUMMYFUNCTION("""COMPUTED_VALUE"""),"premier league bet")</f>
        <v>premier league bet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IFERROR(__xludf.DUMMYFUNCTION("""COMPUTED_VALUE"""),"premier league odds bets")</f>
        <v>premier league odds bets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IFERROR(__xludf.DUMMYFUNCTION("""COMPUTED_VALUE"""),"premier league predictions bets")</f>
        <v>premier league predictions bets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IFERROR(__xludf.DUMMYFUNCTION("""COMPUTED_VALUE"""),"premier league scores bets")</f>
        <v>premier league scores bets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IFERROR(__xludf.DUMMYFUNCTION("""COMPUTED_VALUE"""),"premier league fixtures bets")</f>
        <v>premier league fixtures bets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IFERROR(__xludf.DUMMYFUNCTION("""COMPUTED_VALUE"""),"football betting bets")</f>
        <v>football betting bets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IFERROR(__xludf.DUMMYFUNCTION("""COMPUTED_VALUE"""),"soccer betting bets")</f>
        <v>soccer betting bets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IFERROR(__xludf.DUMMYFUNCTION("""COMPUTED_VALUE"""),"EPL betting bets")</f>
        <v>EPL betting bets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IFERROR(__xludf.DUMMYFUNCTION("""COMPUTED_VALUE"""),"premier league betting")</f>
        <v>premier league betting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IFERROR(__xludf.DUMMYFUNCTION("""COMPUTED_VALUE"""),"premier league bets betting")</f>
        <v>premier league bets betting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IFERROR(__xludf.DUMMYFUNCTION("""COMPUTED_VALUE"""),"premier league bet betting")</f>
        <v>premier league bet betting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IFERROR(__xludf.DUMMYFUNCTION("""COMPUTED_VALUE"""),"premier league odds betting")</f>
        <v>premier league odds betting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IFERROR(__xludf.DUMMYFUNCTION("""COMPUTED_VALUE"""),"premier league predictions betting")</f>
        <v>premier league predictions betting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IFERROR(__xludf.DUMMYFUNCTION("""COMPUTED_VALUE"""),"premier league scores betting")</f>
        <v>premier league scores betting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IFERROR(__xludf.DUMMYFUNCTION("""COMPUTED_VALUE"""),"premier league fixtures betting")</f>
        <v>premier league fixtures betting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IFERROR(__xludf.DUMMYFUNCTION("""COMPUTED_VALUE"""),"football betting")</f>
        <v>football betting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IFERROR(__xludf.DUMMYFUNCTION("""COMPUTED_VALUE"""),"soccer betting")</f>
        <v>soccer betting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IFERROR(__xludf.DUMMYFUNCTION("""COMPUTED_VALUE"""),"EPL betting")</f>
        <v>EPL betting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IFERROR(__xludf.DUMMYFUNCTION("""COMPUTED_VALUE"""),"premier league betting paradise games")</f>
        <v>premier league betting paradise games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IFERROR(__xludf.DUMMYFUNCTION("""COMPUTED_VALUE"""),"premier league bets paradise games")</f>
        <v>premier league bets paradise games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IFERROR(__xludf.DUMMYFUNCTION("""COMPUTED_VALUE"""),"premier league bet paradise games")</f>
        <v>premier league bet paradise games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IFERROR(__xludf.DUMMYFUNCTION("""COMPUTED_VALUE"""),"premier league odds paradise games")</f>
        <v>premier league odds paradise games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IFERROR(__xludf.DUMMYFUNCTION("""COMPUTED_VALUE"""),"premier league predictions paradise games")</f>
        <v>premier league predictions paradise games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IFERROR(__xludf.DUMMYFUNCTION("""COMPUTED_VALUE"""),"premier league scores paradise games")</f>
        <v>premier league scores paradise games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IFERROR(__xludf.DUMMYFUNCTION("""COMPUTED_VALUE"""),"premier league fixtures paradise games")</f>
        <v>premier league fixtures paradise games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IFERROR(__xludf.DUMMYFUNCTION("""COMPUTED_VALUE"""),"football betting paradise games")</f>
        <v>football betting paradise games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IFERROR(__xludf.DUMMYFUNCTION("""COMPUTED_VALUE"""),"soccer betting paradise games")</f>
        <v>soccer betting paradise games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IFERROR(__xludf.DUMMYFUNCTION("""COMPUTED_VALUE"""),"EPL betting paradise games")</f>
        <v>EPL betting paradise games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IFERROR(__xludf.DUMMYFUNCTION("""COMPUTED_VALUE"""),"premier league betting island luck")</f>
        <v>premier league betting island luck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IFERROR(__xludf.DUMMYFUNCTION("""COMPUTED_VALUE"""),"premier league bets island luck")</f>
        <v>premier league bets island luck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IFERROR(__xludf.DUMMYFUNCTION("""COMPUTED_VALUE"""),"premier league bet island luck")</f>
        <v>premier league bet island luck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IFERROR(__xludf.DUMMYFUNCTION("""COMPUTED_VALUE"""),"premier league odds island luck")</f>
        <v>premier league odds island luck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IFERROR(__xludf.DUMMYFUNCTION("""COMPUTED_VALUE"""),"premier league predictions island luck")</f>
        <v>premier league predictions island luck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IFERROR(__xludf.DUMMYFUNCTION("""COMPUTED_VALUE"""),"premier league scores island luck")</f>
        <v>premier league scores island luck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IFERROR(__xludf.DUMMYFUNCTION("""COMPUTED_VALUE"""),"premier league fixtures island luck")</f>
        <v>premier league fixtures island luck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IFERROR(__xludf.DUMMYFUNCTION("""COMPUTED_VALUE"""),"football betting island luck")</f>
        <v>football betting island luck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IFERROR(__xludf.DUMMYFUNCTION("""COMPUTED_VALUE"""),"soccer betting island luck")</f>
        <v>soccer betting island luck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IFERROR(__xludf.DUMMYFUNCTION("""COMPUTED_VALUE"""),"EPL betting island luck")</f>
        <v>EPL betting island luck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IFERROR(__xludf.DUMMYFUNCTION("""COMPUTED_VALUE"""),"premier league betting chances")</f>
        <v>premier league betting chances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IFERROR(__xludf.DUMMYFUNCTION("""COMPUTED_VALUE"""),"premier league bets chances")</f>
        <v>premier league bets chances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IFERROR(__xludf.DUMMYFUNCTION("""COMPUTED_VALUE"""),"premier league bet chances")</f>
        <v>premier league bet chances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IFERROR(__xludf.DUMMYFUNCTION("""COMPUTED_VALUE"""),"premier league odds chances")</f>
        <v>premier league odds chances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IFERROR(__xludf.DUMMYFUNCTION("""COMPUTED_VALUE"""),"premier league predictions chances")</f>
        <v>premier league predictions chances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IFERROR(__xludf.DUMMYFUNCTION("""COMPUTED_VALUE"""),"premier league scores chances")</f>
        <v>premier league scores chances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IFERROR(__xludf.DUMMYFUNCTION("""COMPUTED_VALUE"""),"premier league fixtures chances")</f>
        <v>premier league fixtures chances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IFERROR(__xludf.DUMMYFUNCTION("""COMPUTED_VALUE"""),"football betting chances")</f>
        <v>football betting chances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IFERROR(__xludf.DUMMYFUNCTION("""COMPUTED_VALUE"""),"soccer betting chances")</f>
        <v>soccer betting chances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IFERROR(__xludf.DUMMYFUNCTION("""COMPUTED_VALUE"""),"EPL betting chances")</f>
        <v>EPL betting chances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IFERROR(__xludf.DUMMYFUNCTION("""COMPUTED_VALUE"""),"premier league betting ultra games")</f>
        <v>premier league betting ultra games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IFERROR(__xludf.DUMMYFUNCTION("""COMPUTED_VALUE"""),"premier league bets ultra games")</f>
        <v>premier league bets ultra games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IFERROR(__xludf.DUMMYFUNCTION("""COMPUTED_VALUE"""),"premier league bet ultra games")</f>
        <v>premier league bet ultra games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IFERROR(__xludf.DUMMYFUNCTION("""COMPUTED_VALUE"""),"premier league odds ultra games")</f>
        <v>premier league odds ultra games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IFERROR(__xludf.DUMMYFUNCTION("""COMPUTED_VALUE"""),"premier league predictions ultra games")</f>
        <v>premier league predictions ultra games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IFERROR(__xludf.DUMMYFUNCTION("""COMPUTED_VALUE"""),"premier league scores ultra games")</f>
        <v>premier league scores ultra games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IFERROR(__xludf.DUMMYFUNCTION("""COMPUTED_VALUE"""),"premier league fixtures ultra games")</f>
        <v>premier league fixtures ultra games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IFERROR(__xludf.DUMMYFUNCTION("""COMPUTED_VALUE"""),"football betting ultra games")</f>
        <v>football betting ultra games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IFERROR(__xludf.DUMMYFUNCTION("""COMPUTED_VALUE"""),"soccer betting ultra games")</f>
        <v>soccer betting ultra games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IFERROR(__xludf.DUMMYFUNCTION("""COMPUTED_VALUE"""),"EPL betting ultra games")</f>
        <v>EPL betting ultra games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IFERROR(__xludf.DUMMYFUNCTION("""COMPUTED_VALUE"""),"premier league betting epl")</f>
        <v>premier league betting epl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IFERROR(__xludf.DUMMYFUNCTION("""COMPUTED_VALUE"""),"premier league bets epl")</f>
        <v>premier league bets epl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IFERROR(__xludf.DUMMYFUNCTION("""COMPUTED_VALUE"""),"premier league bet epl")</f>
        <v>premier league bet epl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IFERROR(__xludf.DUMMYFUNCTION("""COMPUTED_VALUE"""),"premier league odds epl")</f>
        <v>premier league odds epl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IFERROR(__xludf.DUMMYFUNCTION("""COMPUTED_VALUE"""),"premier league predictions epl")</f>
        <v>premier league predictions epl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IFERROR(__xludf.DUMMYFUNCTION("""COMPUTED_VALUE"""),"premier league scores epl")</f>
        <v>premier league scores epl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IFERROR(__xludf.DUMMYFUNCTION("""COMPUTED_VALUE"""),"premier league fixtures epl")</f>
        <v>premier league fixtures epl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IFERROR(__xludf.DUMMYFUNCTION("""COMPUTED_VALUE"""),"football betting epl")</f>
        <v>football betting epl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IFERROR(__xludf.DUMMYFUNCTION("""COMPUTED_VALUE"""),"soccer betting epl")</f>
        <v>soccer betting epl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IFERROR(__xludf.DUMMYFUNCTION("""COMPUTED_VALUE"""),"EPL betting")</f>
        <v>EPL betting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IFERROR(__xludf.DUMMYFUNCTION("""COMPUTED_VALUE"""),"premier league betting english premier league")</f>
        <v>premier league betting english premier league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IFERROR(__xludf.DUMMYFUNCTION("""COMPUTED_VALUE"""),"premier league bets english premier league")</f>
        <v>premier league bets english premier league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IFERROR(__xludf.DUMMYFUNCTION("""COMPUTED_VALUE"""),"premier league bet english premier league")</f>
        <v>premier league bet english premier league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IFERROR(__xludf.DUMMYFUNCTION("""COMPUTED_VALUE"""),"premier league odds english premier league")</f>
        <v>premier league odds english premier league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IFERROR(__xludf.DUMMYFUNCTION("""COMPUTED_VALUE"""),"premier league predictions english premier league")</f>
        <v>premier league predictions english premier league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IFERROR(__xludf.DUMMYFUNCTION("""COMPUTED_VALUE"""),"premier league scores english premier league")</f>
        <v>premier league scores english premier league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IFERROR(__xludf.DUMMYFUNCTION("""COMPUTED_VALUE"""),"premier league fixtures english premier league")</f>
        <v>premier league fixtures english premier league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IFERROR(__xludf.DUMMYFUNCTION("""COMPUTED_VALUE"""),"football betting english premier league")</f>
        <v>football betting english premier league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IFERROR(__xludf.DUMMYFUNCTION("""COMPUTED_VALUE"""),"soccer betting english premier league")</f>
        <v>soccer betting english premier league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IFERROR(__xludf.DUMMYFUNCTION("""COMPUTED_VALUE"""),"EPL betting english premier league")</f>
        <v>EPL betting english premier league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IFERROR(__xludf.DUMMYFUNCTION("""COMPUTED_VALUE"""),"premier league betting soccer odds")</f>
        <v>premier league betting soccer odds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IFERROR(__xludf.DUMMYFUNCTION("""COMPUTED_VALUE"""),"premier league bets soccer odds")</f>
        <v>premier league bets soccer odds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IFERROR(__xludf.DUMMYFUNCTION("""COMPUTED_VALUE"""),"premier league bet soccer odds")</f>
        <v>premier league bet soccer odds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IFERROR(__xludf.DUMMYFUNCTION("""COMPUTED_VALUE"""),"premier league odds soccer odds")</f>
        <v>premier league odds soccer odds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IFERROR(__xludf.DUMMYFUNCTION("""COMPUTED_VALUE"""),"premier league predictions soccer odds")</f>
        <v>premier league predictions soccer odds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IFERROR(__xludf.DUMMYFUNCTION("""COMPUTED_VALUE"""),"premier league scores soccer odds")</f>
        <v>premier league scores soccer odds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IFERROR(__xludf.DUMMYFUNCTION("""COMPUTED_VALUE"""),"premier league fixtures soccer odds")</f>
        <v>premier league fixtures soccer odds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IFERROR(__xludf.DUMMYFUNCTION("""COMPUTED_VALUE"""),"football betting soccer odds")</f>
        <v>football betting soccer odds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IFERROR(__xludf.DUMMYFUNCTION("""COMPUTED_VALUE"""),"soccer betting soccer odds")</f>
        <v>soccer betting soccer odds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IFERROR(__xludf.DUMMYFUNCTION("""COMPUTED_VALUE"""),"EPL betting soccer odds")</f>
        <v>EPL betting soccer odds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IFERROR(__xludf.DUMMYFUNCTION("""COMPUTED_VALUE"""),"premier league betting")</f>
        <v>premier league betting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IFERROR(__xludf.DUMMYFUNCTION("""COMPUTED_VALUE"""),"premier league bets")</f>
        <v>premier league bets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IFERROR(__xludf.DUMMYFUNCTION("""COMPUTED_VALUE"""),"premier league bet")</f>
        <v>premier league bet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IFERROR(__xludf.DUMMYFUNCTION("""COMPUTED_VALUE"""),"premier league odds")</f>
        <v>premier league odds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IFERROR(__xludf.DUMMYFUNCTION("""COMPUTED_VALUE"""),"premier league predictions")</f>
        <v>premier league predictions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IFERROR(__xludf.DUMMYFUNCTION("""COMPUTED_VALUE"""),"premier league scores")</f>
        <v>premier league scores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IFERROR(__xludf.DUMMYFUNCTION("""COMPUTED_VALUE"""),"premier league fixtures")</f>
        <v>premier league fixtures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IFERROR(__xludf.DUMMYFUNCTION("""COMPUTED_VALUE"""),"football betting")</f>
        <v>football betting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IFERROR(__xludf.DUMMYFUNCTION("""COMPUTED_VALUE"""),"soccer betting")</f>
        <v>soccer betting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IFERROR(__xludf.DUMMYFUNCTION("""COMPUTED_VALUE"""),"EPL betting")</f>
        <v>EPL betting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1" width="18.0"/>
  </cols>
  <sheetData>
    <row r="1">
      <c r="A1" s="1"/>
      <c r="B1" s="2" t="s">
        <v>233</v>
      </c>
      <c r="C1" s="2" t="s">
        <v>234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  <c r="J1" s="2" t="s">
        <v>241</v>
      </c>
      <c r="K1" s="2" t="s">
        <v>242</v>
      </c>
      <c r="L1" s="1"/>
      <c r="M1" s="2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""&amp;$A3))"),"pragmatic play games bahamas")</f>
        <v>pragmatic play games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""&amp;$A3))"),"pragmatic play casino bahamas")</f>
        <v>pragmatic play casino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""&amp;$A3))"),"pragmatic play slots bahamas")</f>
        <v>pragmatic play slots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""&amp;$A3))"),"evolution games bahamas")</f>
        <v>evolution games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""&amp;$A3))"),"evolution casino games bahamas")</f>
        <v>evolution casino games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""&amp;$A3))"),"evolution live casino bahamas")</f>
        <v>evolution live casino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""&amp;$A3))"),"multislot games bahamas")</f>
        <v>multislot games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""&amp;$A3))"),"multi slots bahamas")</f>
        <v>multi slots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""&amp;$A3))"),"live casino providers bahamas")</f>
        <v>live casino providers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""&amp;$A3))"),"casino providers bahamas")</f>
        <v>casino providers bahamas</v>
      </c>
      <c r="L3" s="13"/>
      <c r="M3" s="13" t="str">
        <f>IFERROR(__xludf.DUMMYFUNCTION("FLATTEN(B3:K37,B1:K1)"),"pragmatic play games bahamas")</f>
        <v>pragmatic play games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45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""&amp;$A4))"),"pragmatic play games online")</f>
        <v>pragmatic play games online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""&amp;$A4))"),"pragmatic play casino online")</f>
        <v>pragmatic play casino online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""&amp;$A4))"),"pragmatic play slots online")</f>
        <v>pragmatic play slots online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""&amp;$A4))"),"evolution games online")</f>
        <v>evolution games online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""&amp;$A4))"),"evolution casino games online")</f>
        <v>evolution casino games online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""&amp;$A4))"),"evolution live casino online")</f>
        <v>evolution live casino online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""&amp;$A4))"),"multislot games online")</f>
        <v>multislot games online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""&amp;$A4))"),"multi slots online")</f>
        <v>multi slots online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""&amp;$A4))"),"live casino providers online")</f>
        <v>live casino providers online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""&amp;$A4))"),"casino providers online")</f>
        <v>casino providers online</v>
      </c>
      <c r="L4" s="13"/>
      <c r="M4" s="13" t="str">
        <f>IFERROR(__xludf.DUMMYFUNCTION("""COMPUTED_VALUE"""),"pragmatic play casino bahamas")</f>
        <v>pragmatic play casino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243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""&amp;$A5))"),"pragmatic play games casino")</f>
        <v>pragmatic play games casino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""&amp;$A5))"),"pragmatic play casino")</f>
        <v>pragmatic play casino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""&amp;$A5))"),"pragmatic play slots casino")</f>
        <v>pragmatic play slots casino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""&amp;$A5))"),"evolution games casino")</f>
        <v>evolution games casino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""&amp;$A5))"),"evolution casino games")</f>
        <v>evolution casino games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""&amp;$A5))"),"evolution live casino")</f>
        <v>evolution live casino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""&amp;$A5))"),"multislot games casino")</f>
        <v>multislot games casino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""&amp;$A5))"),"multi slots casino")</f>
        <v>multi slots casino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""&amp;$A5))"),"live casino providers")</f>
        <v>live casino providers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""&amp;$A5))"),"casino providers")</f>
        <v>casino providers</v>
      </c>
      <c r="L5" s="13"/>
      <c r="M5" s="13" t="str">
        <f>IFERROR(__xludf.DUMMYFUNCTION("""COMPUTED_VALUE"""),"pragmatic play slots bahamas")</f>
        <v>pragmatic play slots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1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""&amp;$A6))"),"pragmatic play games online casino")</f>
        <v>pragmatic play games online casino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""&amp;$A6))"),"pragmatic play casino online casino")</f>
        <v>pragmatic play casino online casino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""&amp;$A6))"),"pragmatic play slots online casino")</f>
        <v>pragmatic play slots online casino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""&amp;$A6))"),"evolution games online casino")</f>
        <v>evolution games online casino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""&amp;$A6))"),"evolution casino games online casino")</f>
        <v>evolution casino games online casino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""&amp;$A6))"),"evolution live casino online casino")</f>
        <v>evolution live casino online casino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""&amp;$A6))"),"multislot games online casino")</f>
        <v>multislot games online casino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""&amp;$A6))"),"multi slots online casino")</f>
        <v>multi slots online casino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""&amp;$A6))"),"live casino providers online casino")</f>
        <v>live casino providers online casino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""&amp;$A6))"),"casino providers online casino")</f>
        <v>casino providers online casino</v>
      </c>
      <c r="L6" s="13"/>
      <c r="M6" s="13" t="str">
        <f>IFERROR(__xludf.DUMMYFUNCTION("""COMPUTED_VALUE"""),"evolution games bahamas")</f>
        <v>evolution games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60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""&amp;$A7))"),"pragmatic play games real money")</f>
        <v>pragmatic play games real money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""&amp;$A7))"),"pragmatic play casino real money")</f>
        <v>pragmatic play casino real money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""&amp;$A7))"),"pragmatic play slots real money")</f>
        <v>pragmatic play slots real money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""&amp;$A7))"),"evolution games real money")</f>
        <v>evolution games real money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""&amp;$A7))"),"evolution casino games real money")</f>
        <v>evolution casino games real money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""&amp;$A7))"),"evolution live casino real money")</f>
        <v>evolution live casino real money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""&amp;$A7))"),"multislot games real money")</f>
        <v>multislot games real money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""&amp;$A7))"),"multi slots real money")</f>
        <v>multi slots real money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""&amp;$A7))"),"live casino providers real money")</f>
        <v>live casino providers real money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""&amp;$A7))"),"casino providers real money")</f>
        <v>casino providers real money</v>
      </c>
      <c r="L7" s="13"/>
      <c r="M7" s="13" t="str">
        <f>IFERROR(__xludf.DUMMYFUNCTION("""COMPUTED_VALUE"""),"evolution casino games bahamas")</f>
        <v>evolution casino games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94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""&amp;$A8))"),"pragmatic play games mobile")</f>
        <v>pragmatic play games mobile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""&amp;$A8))"),"pragmatic play casino mobile")</f>
        <v>pragmatic play casino mobile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""&amp;$A8))"),"pragmatic play slots mobile")</f>
        <v>pragmatic play slots mobile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""&amp;$A8))"),"evolution games mobile")</f>
        <v>evolution games mobile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""&amp;$A8))"),"evolution casino games mobile")</f>
        <v>evolution casino games mobile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""&amp;$A8))"),"evolution live casino mobile")</f>
        <v>evolution live casino mobile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""&amp;$A8))"),"multislot games mobile")</f>
        <v>multislot games mobile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""&amp;$A8))"),"multi slots mobile")</f>
        <v>multi slots mobile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""&amp;$A8))"),"live casino providers mobile")</f>
        <v>live casino providers mobile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""&amp;$A8))"),"casino providers mobile")</f>
        <v>casino providers mobile</v>
      </c>
      <c r="L8" s="13"/>
      <c r="M8" s="13" t="str">
        <f>IFERROR(__xludf.DUMMYFUNCTION("""COMPUTED_VALUE"""),"evolution live casino bahamas")</f>
        <v>evolution live casino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48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""&amp;$A9))"),"pragmatic play games play online")</f>
        <v>pragmatic play games play online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""&amp;$A9))"),"pragmatic play casino play online")</f>
        <v>pragmatic play casino play online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""&amp;$A9))"),"pragmatic play slots play online")</f>
        <v>pragmatic play slots play online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""&amp;$A9))"),"evolution games play online")</f>
        <v>evolution games play online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""&amp;$A9))"),"evolution casino games play online")</f>
        <v>evolution casino games play online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""&amp;$A9))"),"evolution live casino play online")</f>
        <v>evolution live casino play online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""&amp;$A9))"),"multislot games play online")</f>
        <v>multislot games play online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""&amp;$A9))"),"multi slots play online")</f>
        <v>multi slots play online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""&amp;$A9))"),"live casino providers play online")</f>
        <v>live casino providers play online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""&amp;$A9))"),"casino providers play online")</f>
        <v>casino providers play online</v>
      </c>
      <c r="L9" s="13"/>
      <c r="M9" s="13" t="str">
        <f>IFERROR(__xludf.DUMMYFUNCTION("""COMPUTED_VALUE"""),"multislot games bahamas")</f>
        <v>multislot games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244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""&amp;$A10))"),"pragmatic play games games list")</f>
        <v>pragmatic play games games list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""&amp;$A10))"),"pragmatic play casino games list")</f>
        <v>pragmatic play casino games list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""&amp;$A10))"),"pragmatic play slots games list")</f>
        <v>pragmatic play slots games list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""&amp;$A10))"),"evolution games games list")</f>
        <v>evolution games games list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""&amp;$A10))"),"evolution casino games games list")</f>
        <v>evolution casino games games list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""&amp;$A10))"),"evolution live casino games list")</f>
        <v>evolution live casino games list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""&amp;$A10))"),"multislot games games list")</f>
        <v>multislot games games list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""&amp;$A10))"),"multi slots games list")</f>
        <v>multi slots games list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""&amp;$A10))"),"live casino providers games list")</f>
        <v>live casino providers games list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""&amp;$A10))"),"casino providers games list")</f>
        <v>casino providers games list</v>
      </c>
      <c r="L10" s="13"/>
      <c r="M10" s="13" t="str">
        <f>IFERROR(__xludf.DUMMYFUNCTION("""COMPUTED_VALUE"""),"multi slots bahamas")</f>
        <v>multi slots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245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""&amp;$A11))"),"pragmatic play games provider")</f>
        <v>pragmatic play games provider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""&amp;$A11))"),"pragmatic play casino provider")</f>
        <v>pragmatic play casino provider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""&amp;$A11))"),"pragmatic play slots provider")</f>
        <v>pragmatic play slots provider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""&amp;$A11))"),"evolution games provider")</f>
        <v>evolution games provider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""&amp;$A11))"),"evolution casino games provider")</f>
        <v>evolution casino games provider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""&amp;$A11))"),"evolution live casino provider")</f>
        <v>evolution live casino provider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""&amp;$A11))"),"multislot games provider")</f>
        <v>multislot games provider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""&amp;$A11))"),"multi slots provider")</f>
        <v>multi slots provider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""&amp;$A11))"),"live casino providers provider")</f>
        <v>live casino providers provider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""&amp;$A11))"),"casino providers provider")</f>
        <v>casino providers provider</v>
      </c>
      <c r="L11" s="13"/>
      <c r="M11" s="13" t="str">
        <f>IFERROR(__xludf.DUMMYFUNCTION("""COMPUTED_VALUE"""),"live casino providers bahamas")</f>
        <v>live casino providers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178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""&amp;$A12))"),"pragmatic play games slots")</f>
        <v>pragmatic play games slots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""&amp;$A12))"),"pragmatic play casino slots")</f>
        <v>pragmatic play casino slots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""&amp;$A12))"),"pragmatic play slots")</f>
        <v>pragmatic play slots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""&amp;$A12))"),"evolution games slots")</f>
        <v>evolution games slots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""&amp;$A12))"),"evolution casino games slots")</f>
        <v>evolution casino games slots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""&amp;$A12))"),"evolution live casino slots")</f>
        <v>evolution live casino slots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""&amp;$A12))"),"multislot games slots")</f>
        <v>multislot games slots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""&amp;$A12))"),"multi slots")</f>
        <v>multi slots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""&amp;$A12))"),"live casino providers slots")</f>
        <v>live casino providers slots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""&amp;$A12))"),"casino providers slots")</f>
        <v>casino providers slots</v>
      </c>
      <c r="L12" s="13"/>
      <c r="M12" s="13" t="str">
        <f>IFERROR(__xludf.DUMMYFUNCTION("""COMPUTED_VALUE"""),"casino providers bahamas")</f>
        <v>casino providers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248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""&amp;$A13))"),"pragmatic play games slot games")</f>
        <v>pragmatic play games slot games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""&amp;$A13))"),"pragmatic play casino slot games")</f>
        <v>pragmatic play casino slot games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""&amp;$A13))"),"pragmatic play slots slot games")</f>
        <v>pragmatic play slots slot games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""&amp;$A13))"),"evolution games slot games")</f>
        <v>evolution games slot games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""&amp;$A13))"),"evolution casino games slot games")</f>
        <v>evolution casino games slot games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""&amp;$A13))"),"evolution live casino slot games")</f>
        <v>evolution live casino slot games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""&amp;$A13))"),"multislot games slot games")</f>
        <v>multislot games slot games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""&amp;$A13))"),"multi slots slot games")</f>
        <v>multi slots slot games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""&amp;$A13))"),"live casino providers slot games")</f>
        <v>live casino providers slot games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""&amp;$A13))"),"casino providers slot games")</f>
        <v>casino providers slot games</v>
      </c>
      <c r="L13" s="13"/>
      <c r="M13" s="13" t="str">
        <f>IFERROR(__xludf.DUMMYFUNCTION("""COMPUTED_VALUE"""),"pragmatic play games online")</f>
        <v>pragmatic play games online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130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""&amp;$A14))"),"pragmatic play games demo")</f>
        <v>pragmatic play games demo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""&amp;$A14))"),"pragmatic play casino demo")</f>
        <v>pragmatic play casino demo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""&amp;$A14))"),"pragmatic play slots demo")</f>
        <v>pragmatic play slots demo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""&amp;$A14))"),"evolution games demo")</f>
        <v>evolution games demo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""&amp;$A14))"),"evolution casino games demo")</f>
        <v>evolution casino games demo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""&amp;$A14))"),"evolution live casino demo")</f>
        <v>evolution live casino demo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""&amp;$A14))"),"multislot games demo")</f>
        <v>multislot games demo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""&amp;$A14))"),"multi slots demo")</f>
        <v>multi slots demo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""&amp;$A14))"),"live casino providers demo")</f>
        <v>live casino providers demo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""&amp;$A14))"),"casino providers demo")</f>
        <v>casino providers demo</v>
      </c>
      <c r="L14" s="13"/>
      <c r="M14" s="13" t="str">
        <f>IFERROR(__xludf.DUMMYFUNCTION("""COMPUTED_VALUE"""),"pragmatic play casino online")</f>
        <v>pragmatic play casino online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250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""&amp;$A15))"),"pragmatic play games demo games")</f>
        <v>pragmatic play games demo games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""&amp;$A15))"),"pragmatic play casino demo games")</f>
        <v>pragmatic play casino demo games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""&amp;$A15))"),"pragmatic play slots demo games")</f>
        <v>pragmatic play slots demo games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""&amp;$A15))"),"evolution games demo games")</f>
        <v>evolution games demo games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""&amp;$A15))"),"evolution casino games demo games")</f>
        <v>evolution casino games demo games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""&amp;$A15))"),"evolution live casino demo games")</f>
        <v>evolution live casino demo games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""&amp;$A15))"),"multislot games demo games")</f>
        <v>multislot games demo games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""&amp;$A15))"),"multi slots demo games")</f>
        <v>multi slots demo games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""&amp;$A15))"),"live casino providers demo games")</f>
        <v>live casino providers demo games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""&amp;$A15))"),"casino providers demo games")</f>
        <v>casino providers demo games</v>
      </c>
      <c r="L15" s="13"/>
      <c r="M15" s="13" t="str">
        <f>IFERROR(__xludf.DUMMYFUNCTION("""COMPUTED_VALUE"""),"pragmatic play slots online")</f>
        <v>pragmatic play slots online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120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""&amp;$A16))"),"pragmatic play games free demo")</f>
        <v>pragmatic play games free demo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""&amp;$A16))"),"pragmatic play casino free demo")</f>
        <v>pragmatic play casino free demo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""&amp;$A16))"),"pragmatic play slots free demo")</f>
        <v>pragmatic play slots free demo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""&amp;$A16))"),"evolution games free demo")</f>
        <v>evolution games free demo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""&amp;$A16))"),"evolution casino games free demo")</f>
        <v>evolution casino games free demo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""&amp;$A16))"),"evolution live casino free demo")</f>
        <v>evolution live casino free demo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""&amp;$A16))"),"multislot games free demo")</f>
        <v>multislot games free demo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""&amp;$A16))"),"multi slots free demo")</f>
        <v>multi slots free demo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""&amp;$A16))"),"live casino providers free demo")</f>
        <v>live casino providers free demo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""&amp;$A16))"),"casino providers free demo")</f>
        <v>casino providers free demo</v>
      </c>
      <c r="L16" s="13"/>
      <c r="M16" s="13" t="str">
        <f>IFERROR(__xludf.DUMMYFUNCTION("""COMPUTED_VALUE"""),"evolution games online")</f>
        <v>evolution games online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253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""&amp;$A17))"),"pragmatic play games live dealer")</f>
        <v>pragmatic play games live dealer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""&amp;$A17))"),"pragmatic play casino live dealer")</f>
        <v>pragmatic play casino live dealer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""&amp;$A17))"),"pragmatic play slots live dealer")</f>
        <v>pragmatic play slots live dealer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""&amp;$A17))"),"evolution games live dealer")</f>
        <v>evolution games live dealer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""&amp;$A17))"),"evolution casino games live dealer")</f>
        <v>evolution casino games live dealer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""&amp;$A17))"),"evolution live casino live dealer")</f>
        <v>evolution live casino live dealer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""&amp;$A17))"),"multislot games live dealer")</f>
        <v>multislot games live dealer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""&amp;$A17))"),"multi slots live dealer")</f>
        <v>multi slots live dealer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""&amp;$A17))"),"live casino providers live dealer")</f>
        <v>live casino providers live dealer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""&amp;$A17))"),"casino providers live dealer")</f>
        <v>casino providers live dealer</v>
      </c>
      <c r="L17" s="13"/>
      <c r="M17" s="13" t="str">
        <f>IFERROR(__xludf.DUMMYFUNCTION("""COMPUTED_VALUE"""),"evolution casino games online")</f>
        <v>evolution casino games online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254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""&amp;$A18))"),"pragmatic play games game shows")</f>
        <v>pragmatic play games game shows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""&amp;$A18))"),"pragmatic play casino game shows")</f>
        <v>pragmatic play casino game shows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""&amp;$A18))"),"pragmatic play slots game shows")</f>
        <v>pragmatic play slots game shows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""&amp;$A18))"),"evolution games game shows")</f>
        <v>evolution games game shows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""&amp;$A18))"),"evolution casino games game shows")</f>
        <v>evolution casino games game shows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""&amp;$A18))"),"evolution live casino game shows")</f>
        <v>evolution live casino game shows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""&amp;$A18))"),"multislot games game shows")</f>
        <v>multislot games game shows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""&amp;$A18))"),"multi slots game shows")</f>
        <v>multi slots game shows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""&amp;$A18))"),"live casino providers game shows")</f>
        <v>live casino providers game shows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""&amp;$A18))"),"casino providers game shows")</f>
        <v>casino providers game shows</v>
      </c>
      <c r="L18" s="13"/>
      <c r="M18" s="13" t="str">
        <f>IFERROR(__xludf.DUMMYFUNCTION("""COMPUTED_VALUE"""),"evolution live casino online")</f>
        <v>evolution live casino online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176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""&amp;$A19))"),"pragmatic play games blackjack")</f>
        <v>pragmatic play games blackjack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""&amp;$A19))"),"pragmatic play casino blackjack")</f>
        <v>pragmatic play casino blackjack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""&amp;$A19))"),"pragmatic play slots blackjack")</f>
        <v>pragmatic play slots blackjack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""&amp;$A19))"),"evolution games blackjack")</f>
        <v>evolution games blackjack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""&amp;$A19))"),"evolution casino games blackjack")</f>
        <v>evolution casino games blackjack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""&amp;$A19))"),"evolution live casino blackjack")</f>
        <v>evolution live casino blackjack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""&amp;$A19))"),"multislot games blackjack")</f>
        <v>multislot games blackjack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""&amp;$A19))"),"multi slots blackjack")</f>
        <v>multi slots blackjack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""&amp;$A19))"),"live casino providers blackjack")</f>
        <v>live casino providers blackjack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""&amp;$A19))"),"casino providers blackjack")</f>
        <v>casino providers blackjack</v>
      </c>
      <c r="L19" s="13"/>
      <c r="M19" s="13" t="str">
        <f>IFERROR(__xludf.DUMMYFUNCTION("""COMPUTED_VALUE"""),"multislot games online")</f>
        <v>multislot games online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177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""&amp;$A20))"),"pragmatic play games roulette")</f>
        <v>pragmatic play games roulette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""&amp;$A20))"),"pragmatic play casino roulette")</f>
        <v>pragmatic play casino roulette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""&amp;$A20))"),"pragmatic play slots roulette")</f>
        <v>pragmatic play slots roulette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""&amp;$A20))"),"evolution games roulette")</f>
        <v>evolution games roulette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""&amp;$A20))"),"evolution casino games roulette")</f>
        <v>evolution casino games roulette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""&amp;$A20))"),"evolution live casino roulette")</f>
        <v>evolution live casino roulette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""&amp;$A20))"),"multislot games roulette")</f>
        <v>multislot games roulette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""&amp;$A20))"),"multi slots roulette")</f>
        <v>multi slots roulette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""&amp;$A20))"),"live casino providers roulette")</f>
        <v>live casino providers roulette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""&amp;$A20))"),"casino providers roulette")</f>
        <v>casino providers roulette</v>
      </c>
      <c r="L20" s="13"/>
      <c r="M20" s="13" t="str">
        <f>IFERROR(__xludf.DUMMYFUNCTION("""COMPUTED_VALUE"""),"multi slots online")</f>
        <v>multi slots online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163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""&amp;$A21))"),"pragmatic play games jackpot")</f>
        <v>pragmatic play games jackpot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""&amp;$A21))"),"pragmatic play casino jackpot")</f>
        <v>pragmatic play casino jackpot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""&amp;$A21))"),"pragmatic play slots jackpot")</f>
        <v>pragmatic play slots jackpot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""&amp;$A21))"),"evolution games jackpot")</f>
        <v>evolution games jackpot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""&amp;$A21))"),"evolution casino games jackpot")</f>
        <v>evolution casino games jackpot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""&amp;$A21))"),"evolution live casino jackpot")</f>
        <v>evolution live casino jackpot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""&amp;$A21))"),"multislot games jackpot")</f>
        <v>multislot games jackpot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""&amp;$A21))"),"multi slots jackpot")</f>
        <v>multi slots jackpot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""&amp;$A21))"),"live casino providers jackpot")</f>
        <v>live casino providers jackpot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""&amp;$A21))"),"casino providers jackpot")</f>
        <v>casino providers jackpot</v>
      </c>
      <c r="L21" s="13"/>
      <c r="M21" s="13" t="str">
        <f>IFERROR(__xludf.DUMMYFUNCTION("""COMPUTED_VALUE"""),"live casino providers online")</f>
        <v>live casino providers online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137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""&amp;$A22))"),"pragmatic play games bonus")</f>
        <v>pragmatic play games bonus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""&amp;$A22))"),"pragmatic play casino bonus")</f>
        <v>pragmatic play casino bonus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""&amp;$A22))"),"pragmatic play slots bonus")</f>
        <v>pragmatic play slots bonus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""&amp;$A22))"),"evolution games bonus")</f>
        <v>evolution games bonus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""&amp;$A22))"),"evolution casino games bonus")</f>
        <v>evolution casino games bonus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""&amp;$A22))"),"evolution live casino bonus")</f>
        <v>evolution live casino bonus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""&amp;$A22))"),"multislot games bonus")</f>
        <v>multislot games bonus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""&amp;$A22))"),"multi slots bonus")</f>
        <v>multi slots bonus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""&amp;$A22))"),"live casino providers bonus")</f>
        <v>live casino providers bonus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""&amp;$A22))"),"casino providers bonus")</f>
        <v>casino providers bonus</v>
      </c>
      <c r="L22" s="13"/>
      <c r="M22" s="13" t="str">
        <f>IFERROR(__xludf.DUMMYFUNCTION("""COMPUTED_VALUE"""),"casino providers online")</f>
        <v>casino providers online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151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""&amp;$A23))"),"pragmatic play games free spins")</f>
        <v>pragmatic play games free spins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""&amp;$A23))"),"pragmatic play casino free spins")</f>
        <v>pragmatic play casino free spins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""&amp;$A23))"),"pragmatic play slots free spins")</f>
        <v>pragmatic play slots free spins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""&amp;$A23))"),"evolution games free spins")</f>
        <v>evolution games free spins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""&amp;$A23))"),"evolution casino games free spins")</f>
        <v>evolution casino games free spins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""&amp;$A23))"),"evolution live casino free spins")</f>
        <v>evolution live casino free spins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""&amp;$A23))"),"multislot games free spins")</f>
        <v>multislot games free spins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""&amp;$A23))"),"multi slots free spins")</f>
        <v>multi slots free spins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""&amp;$A23))"),"live casino providers free spins")</f>
        <v>live casino providers free spins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""&amp;$A23))"),"casino providers free spins")</f>
        <v>casino providers free spins</v>
      </c>
      <c r="L23" s="13"/>
      <c r="M23" s="13" t="str">
        <f>IFERROR(__xludf.DUMMYFUNCTION("""COMPUTED_VALUE"""),"pragmatic play games casino")</f>
        <v>pragmatic play games casino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173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""&amp;$A24))"),"pragmatic play games review")</f>
        <v>pragmatic play games review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""&amp;$A24))"),"pragmatic play casino review")</f>
        <v>pragmatic play casino review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""&amp;$A24))"),"pragmatic play slots review")</f>
        <v>pragmatic play slots review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""&amp;$A24))"),"evolution games review")</f>
        <v>evolution games review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""&amp;$A24))"),"evolution casino games review")</f>
        <v>evolution casino games review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""&amp;$A24))"),"evolution live casino review")</f>
        <v>evolution live casino review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""&amp;$A24))"),"multislot games review")</f>
        <v>multislot games review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""&amp;$A24))"),"multi slots review")</f>
        <v>multi slots review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""&amp;$A24))"),"live casino providers review")</f>
        <v>live casino providers review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""&amp;$A24))"),"casino providers review")</f>
        <v>casino providers review</v>
      </c>
      <c r="L24" s="13"/>
      <c r="M24" s="13" t="str">
        <f>IFERROR(__xludf.DUMMYFUNCTION("""COMPUTED_VALUE"""),"pragmatic play casino")</f>
        <v>pragmatic play casino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174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""&amp;$A25))"),"pragmatic play games reviews")</f>
        <v>pragmatic play games reviews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""&amp;$A25))"),"pragmatic play casino reviews")</f>
        <v>pragmatic play casino reviews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""&amp;$A25))"),"pragmatic play slots reviews")</f>
        <v>pragmatic play slots reviews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""&amp;$A25))"),"evolution games reviews")</f>
        <v>evolution games reviews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""&amp;$A25))"),"evolution casino games reviews")</f>
        <v>evolution casino games reviews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""&amp;$A25))"),"evolution live casino reviews")</f>
        <v>evolution live casino reviews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""&amp;$A25))"),"multislot games reviews")</f>
        <v>multislot games reviews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""&amp;$A25))"),"multi slots reviews")</f>
        <v>multi slots reviews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""&amp;$A25))"),"live casino providers reviews")</f>
        <v>live casino providers reviews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""&amp;$A25))"),"casino providers reviews")</f>
        <v>casino providers reviews</v>
      </c>
      <c r="L25" s="13"/>
      <c r="M25" s="13" t="str">
        <f>IFERROR(__xludf.DUMMYFUNCTION("""COMPUTED_VALUE"""),"pragmatic play slots casino")</f>
        <v>pragmatic play slots casino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58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""&amp;$A26))"),"pragmatic play games rules")</f>
        <v>pragmatic play games rules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""&amp;$A26))"),"pragmatic play casino rules")</f>
        <v>pragmatic play casino rules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""&amp;$A26))"),"pragmatic play slots rules")</f>
        <v>pragmatic play slots rules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""&amp;$A26))"),"evolution games rules")</f>
        <v>evolution games rules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""&amp;$A26))"),"evolution casino games rules")</f>
        <v>evolution casino games rules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""&amp;$A26))"),"evolution live casino rules")</f>
        <v>evolution live casino rules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""&amp;$A26))"),"multislot games rules")</f>
        <v>multislot games rules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""&amp;$A26))"),"multi slots rules")</f>
        <v>multi slots rules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""&amp;$A26))"),"live casino providers rules")</f>
        <v>live casino providers rules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""&amp;$A26))"),"casino providers rules")</f>
        <v>casino providers rules</v>
      </c>
      <c r="L26" s="13"/>
      <c r="M26" s="13" t="str">
        <f>IFERROR(__xludf.DUMMYFUNCTION("""COMPUTED_VALUE"""),"evolution games casino")</f>
        <v>evolution games casino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100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""&amp;$A27))"),"pragmatic play games paradise games")</f>
        <v>pragmatic play games paradise games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""&amp;$A27))"),"pragmatic play casino paradise games")</f>
        <v>pragmatic play casino paradise games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""&amp;$A27))"),"pragmatic play slots paradise games")</f>
        <v>pragmatic play slots paradise games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""&amp;$A27))"),"evolution games paradise games")</f>
        <v>evolution games paradise games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""&amp;$A27))"),"evolution casino games paradise games")</f>
        <v>evolution casino games paradise games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""&amp;$A27))"),"evolution live casino paradise games")</f>
        <v>evolution live casino paradise games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""&amp;$A27))"),"multislot games paradise games")</f>
        <v>multislot games paradise games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""&amp;$A27))"),"multi slots paradise games")</f>
        <v>multi slots paradise games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""&amp;$A27))"),"live casino providers paradise games")</f>
        <v>live casino providers paradise games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""&amp;$A27))"),"casino providers paradise games")</f>
        <v>casino providers paradise games</v>
      </c>
      <c r="L27" s="13"/>
      <c r="M27" s="13" t="str">
        <f>IFERROR(__xludf.DUMMYFUNCTION("""COMPUTED_VALUE"""),"evolution casino games")</f>
        <v>evolution casino games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79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""&amp;$A28))"),"pragmatic play games island luck")</f>
        <v>pragmatic play games island luck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""&amp;$A28))"),"pragmatic play casino island luck")</f>
        <v>pragmatic play casino island luck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""&amp;$A28))"),"pragmatic play slots island luck")</f>
        <v>pragmatic play slots island luck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""&amp;$A28))"),"evolution games island luck")</f>
        <v>evolution games island luck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""&amp;$A28))"),"evolution casino games island luck")</f>
        <v>evolution casino games island luck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""&amp;$A28))"),"evolution live casino island luck")</f>
        <v>evolution live casino island luck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""&amp;$A28))"),"multislot games island luck")</f>
        <v>multislot games island luck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""&amp;$A28))"),"multi slots island luck")</f>
        <v>multi slots island luck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""&amp;$A28))"),"live casino providers island luck")</f>
        <v>live casino providers island luck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""&amp;$A28))"),"casino providers island luck")</f>
        <v>casino providers island luck</v>
      </c>
      <c r="L28" s="13"/>
      <c r="M28" s="13" t="str">
        <f>IFERROR(__xludf.DUMMYFUNCTION("""COMPUTED_VALUE"""),"evolution live casino")</f>
        <v>evolution live casino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83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""&amp;$A29))"),"pragmatic play games chances")</f>
        <v>pragmatic play games chances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""&amp;$A29))"),"pragmatic play casino chances")</f>
        <v>pragmatic play casino chances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""&amp;$A29))"),"pragmatic play slots chances")</f>
        <v>pragmatic play slots chances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""&amp;$A29))"),"evolution games chances")</f>
        <v>evolution games chances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""&amp;$A29))"),"evolution casino games chances")</f>
        <v>evolution casino games chances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""&amp;$A29))"),"evolution live casino chances")</f>
        <v>evolution live casino chances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""&amp;$A29))"),"multislot games chances")</f>
        <v>multislot games chances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""&amp;$A29))"),"multi slots chances")</f>
        <v>multi slots chances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""&amp;$A29))"),"live casino providers chances")</f>
        <v>live casino providers chances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""&amp;$A29))"),"casino providers chances")</f>
        <v>casino providers chances</v>
      </c>
      <c r="L29" s="13"/>
      <c r="M29" s="13" t="str">
        <f>IFERROR(__xludf.DUMMYFUNCTION("""COMPUTED_VALUE"""),"multislot games casino")</f>
        <v>multislot games casino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86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""&amp;$A30))"),"pragmatic play games ultra games")</f>
        <v>pragmatic play games ultra games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""&amp;$A30))"),"pragmatic play casino ultra games")</f>
        <v>pragmatic play casino ultra games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""&amp;$A30))"),"pragmatic play slots ultra games")</f>
        <v>pragmatic play slots ultra games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""&amp;$A30))"),"evolution games ultra games")</f>
        <v>evolution games ultra games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""&amp;$A30))"),"evolution casino games ultra games")</f>
        <v>evolution casino games ultra games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""&amp;$A30))"),"evolution live casino ultra games")</f>
        <v>evolution live casino ultra games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""&amp;$A30))"),"multislot games ultra games")</f>
        <v>multislot games ultra games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""&amp;$A30))"),"multi slots ultra games")</f>
        <v>multi slots ultra games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""&amp;$A30))"),"live casino providers ultra games")</f>
        <v>live casino providers ultra games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""&amp;$A30))"),"casino providers ultra games")</f>
        <v>casino providers ultra games</v>
      </c>
      <c r="L30" s="13"/>
      <c r="M30" s="13" t="str">
        <f>IFERROR(__xludf.DUMMYFUNCTION("""COMPUTED_VALUE"""),"multi slots casino")</f>
        <v>multi slots casino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16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""&amp;$A31))"),"pragmatic play games casino app")</f>
        <v>pragmatic play games casino app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""&amp;$A31))"),"pragmatic play casino casino app")</f>
        <v>pragmatic play casino casino app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""&amp;$A31))"),"pragmatic play slots casino app")</f>
        <v>pragmatic play slots casino app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""&amp;$A31))"),"evolution games casino app")</f>
        <v>evolution games casino app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""&amp;$A31))"),"evolution casino games casino app")</f>
        <v>evolution casino games casino app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""&amp;$A31))"),"evolution live casino casino app")</f>
        <v>evolution live casino casino app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""&amp;$A31))"),"multislot games casino app")</f>
        <v>multislot games casino app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""&amp;$A31))"),"multi slots casino app")</f>
        <v>multi slots casino app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""&amp;$A31))"),"live casino providers casino app")</f>
        <v>live casino providers casino app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""&amp;$A31))"),"casino providers casino app")</f>
        <v>casino providers casino app</v>
      </c>
      <c r="L31" s="13"/>
      <c r="M31" s="13" t="str">
        <f>IFERROR(__xludf.DUMMYFUNCTION("""COMPUTED_VALUE"""),"live casino providers")</f>
        <v>live casino providers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258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""&amp;$A32))"),"pragmatic play games instant play")</f>
        <v>pragmatic play games instant play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""&amp;$A32))"),"pragmatic play casino instant play")</f>
        <v>pragmatic play casino instant play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""&amp;$A32))"),"pragmatic play slots instant play")</f>
        <v>pragmatic play slots instant play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""&amp;$A32))"),"evolution games instant play")</f>
        <v>evolution games instant play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""&amp;$A32))"),"evolution casino games instant play")</f>
        <v>evolution casino games instant play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""&amp;$A32))"),"evolution live casino instant play")</f>
        <v>evolution live casino instant play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""&amp;$A32))"),"multislot games instant play")</f>
        <v>multislot games instant play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""&amp;$A32))"),"multi slots instant play")</f>
        <v>multi slots instant play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""&amp;$A32))"),"live casino providers instant play")</f>
        <v>live casino providers instant play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""&amp;$A32))"),"casino providers instant play")</f>
        <v>casino providers instant play</v>
      </c>
      <c r="L32" s="13"/>
      <c r="M32" s="13" t="str">
        <f>IFERROR(__xludf.DUMMYFUNCTION("""COMPUTED_VALUE"""),"casino providers")</f>
        <v>casino providers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76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""&amp;$A33))"),"pragmatic play games trusted")</f>
        <v>pragmatic play games trusted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""&amp;$A33))"),"pragmatic play casino trusted")</f>
        <v>pragmatic play casino trusted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""&amp;$A33))"),"pragmatic play slots trusted")</f>
        <v>pragmatic play slots trusted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""&amp;$A33))"),"evolution games trusted")</f>
        <v>evolution games trusted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""&amp;$A33))"),"evolution casino games trusted")</f>
        <v>evolution casino games trusted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""&amp;$A33))"),"evolution live casino trusted")</f>
        <v>evolution live casino trusted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""&amp;$A33))"),"multislot games trusted")</f>
        <v>multislot games trusted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""&amp;$A33))"),"multi slots trusted")</f>
        <v>multi slots trusted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""&amp;$A33))"),"live casino providers trusted")</f>
        <v>live casino providers trusted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""&amp;$A33))"),"casino providers trusted")</f>
        <v>casino providers trusted</v>
      </c>
      <c r="L33" s="13"/>
      <c r="M33" s="13" t="str">
        <f>IFERROR(__xludf.DUMMYFUNCTION("""COMPUTED_VALUE"""),"pragmatic play games online casino")</f>
        <v>pragmatic play games online casino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87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""&amp;$A34))"),"pragmatic play games licensed")</f>
        <v>pragmatic play games licensed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""&amp;$A34))"),"pragmatic play casino licensed")</f>
        <v>pragmatic play casino licensed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""&amp;$A34))"),"pragmatic play slots licensed")</f>
        <v>pragmatic play slots licensed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""&amp;$A34))"),"evolution games licensed")</f>
        <v>evolution games licensed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""&amp;$A34))"),"evolution casino games licensed")</f>
        <v>evolution casino games licensed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""&amp;$A34))"),"evolution live casino licensed")</f>
        <v>evolution live casino licensed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""&amp;$A34))"),"multislot games licensed")</f>
        <v>multislot games licensed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""&amp;$A34))"),"multi slots licensed")</f>
        <v>multi slots licensed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""&amp;$A34))"),"live casino providers licensed")</f>
        <v>live casino providers licensed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""&amp;$A34))"),"casino providers licensed")</f>
        <v>casino providers licensed</v>
      </c>
      <c r="L34" s="13"/>
      <c r="M34" s="13" t="str">
        <f>IFERROR(__xludf.DUMMYFUNCTION("""COMPUTED_VALUE"""),"pragmatic play casino online casino")</f>
        <v>pragmatic play casino online casino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54</v>
      </c>
      <c r="B35" s="13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""&amp;$A35))"),"pragmatic play games caribbean")</f>
        <v>pragmatic play games caribbean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""&amp;$A35))"),"pragmatic play casino caribbean")</f>
        <v>pragmatic play casino caribbean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""&amp;$A35))"),"pragmatic play slots caribbean")</f>
        <v>pragmatic play slots caribbean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""&amp;$A35))"),"evolution games caribbean")</f>
        <v>evolution games caribbean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""&amp;$A35))"),"evolution casino games caribbean")</f>
        <v>evolution casino games caribbean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""&amp;$A35))"),"evolution live casino caribbean")</f>
        <v>evolution live casino caribbean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""&amp;$A35))"),"multislot games caribbean")</f>
        <v>multislot games caribbean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""&amp;$A35))"),"multi slots caribbean")</f>
        <v>multi slots caribbean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""&amp;$A35))"),"live casino providers caribbean")</f>
        <v>live casino providers caribbean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""&amp;$A35))"),"casino providers caribbean")</f>
        <v>casino providers caribbean</v>
      </c>
      <c r="L35" s="13"/>
      <c r="M35" s="13" t="str">
        <f>IFERROR(__xludf.DUMMYFUNCTION("""COMPUTED_VALUE"""),"pragmatic play slots online casino")</f>
        <v>pragmatic play slots online casino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259</v>
      </c>
      <c r="B36" s="13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""&amp;$A36))"),"pragmatic play games multislot demo")</f>
        <v>pragmatic play games multislot demo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""&amp;$A36))"),"pragmatic play casino multislot demo")</f>
        <v>pragmatic play casino multislot demo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""&amp;$A36))"),"pragmatic play slots multislot demo")</f>
        <v>pragmatic play slots multislot demo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""&amp;$A36))"),"evolution games multislot demo")</f>
        <v>evolution games multislot demo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""&amp;$A36))"),"evolution casino games multislot demo")</f>
        <v>evolution casino games multislot demo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""&amp;$A36))"),"evolution live casino multislot demo")</f>
        <v>evolution live casino multislot demo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""&amp;$A36))"),"multislot games multislot demo")</f>
        <v>multislot games multislot demo</v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""&amp;$A36))"),"multi slots multislot demo")</f>
        <v>multi slots multislot demo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""&amp;$A36))"),"live casino providers multislot demo")</f>
        <v>live casino providers multislot demo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""&amp;$A36))"),"casino providers multislot demo")</f>
        <v>casino providers multislot demo</v>
      </c>
      <c r="L36" s="13"/>
      <c r="M36" s="13" t="str">
        <f>IFERROR(__xludf.DUMMYFUNCTION("""COMPUTED_VALUE"""),"evolution games online casino")</f>
        <v>evolution games online casino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260</v>
      </c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""&amp;$A37))"),"pragmatic play games multi slots demo")</f>
        <v>pragmatic play games multi slots demo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""&amp;$A37))"),"pragmatic play casino multi slots demo")</f>
        <v>pragmatic play casino multi slots demo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""&amp;$A37))"),"pragmatic play slots multi slots demo")</f>
        <v>pragmatic play slots multi slots demo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""&amp;$A37))"),"evolution games multi slots demo")</f>
        <v>evolution games multi slots demo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""&amp;$A37))"),"evolution casino games multi slots demo")</f>
        <v>evolution casino games multi slots demo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""&amp;$A37))"),"evolution live casino multi slots demo")</f>
        <v>evolution live casino multi slots demo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""&amp;$A37))"),"multislot games multi slots demo")</f>
        <v>multislot games multi slots demo</v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""&amp;$A37))"),"multi slots multi slots demo")</f>
        <v>multi slots multi slots demo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""&amp;$A37))"),"live casino providers multi slots demo")</f>
        <v>live casino providers multi slots demo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""&amp;$A37))"),"casino providers multi slots demo")</f>
        <v>casino providers multi slots demo</v>
      </c>
      <c r="L37" s="13"/>
      <c r="M37" s="13" t="str">
        <f>IFERROR(__xludf.DUMMYFUNCTION("""COMPUTED_VALUE"""),"evolution casino games online casino")</f>
        <v>evolution casino games online casino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 t="str">
        <f>IFERROR(__xludf.DUMMYFUNCTION("""COMPUTED_VALUE"""),"evolution live casino online casino")</f>
        <v>evolution live casino online casino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IFERROR(__xludf.DUMMYFUNCTION("""COMPUTED_VALUE"""),"multislot games online casino")</f>
        <v>multislot games online casino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IFERROR(__xludf.DUMMYFUNCTION("""COMPUTED_VALUE"""),"multi slots online casino")</f>
        <v>multi slots online casino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IFERROR(__xludf.DUMMYFUNCTION("""COMPUTED_VALUE"""),"live casino providers online casino")</f>
        <v>live casino providers online casino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IFERROR(__xludf.DUMMYFUNCTION("""COMPUTED_VALUE"""),"casino providers online casino")</f>
        <v>casino providers online casino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IFERROR(__xludf.DUMMYFUNCTION("""COMPUTED_VALUE"""),"pragmatic play games real money")</f>
        <v>pragmatic play games real money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IFERROR(__xludf.DUMMYFUNCTION("""COMPUTED_VALUE"""),"pragmatic play casino real money")</f>
        <v>pragmatic play casino real money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IFERROR(__xludf.DUMMYFUNCTION("""COMPUTED_VALUE"""),"pragmatic play slots real money")</f>
        <v>pragmatic play slots real money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IFERROR(__xludf.DUMMYFUNCTION("""COMPUTED_VALUE"""),"evolution games real money")</f>
        <v>evolution games real money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IFERROR(__xludf.DUMMYFUNCTION("""COMPUTED_VALUE"""),"evolution casino games real money")</f>
        <v>evolution casino games real money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IFERROR(__xludf.DUMMYFUNCTION("""COMPUTED_VALUE"""),"evolution live casino real money")</f>
        <v>evolution live casino real money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IFERROR(__xludf.DUMMYFUNCTION("""COMPUTED_VALUE"""),"multislot games real money")</f>
        <v>multislot games real money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IFERROR(__xludf.DUMMYFUNCTION("""COMPUTED_VALUE"""),"multi slots real money")</f>
        <v>multi slots real money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IFERROR(__xludf.DUMMYFUNCTION("""COMPUTED_VALUE"""),"live casino providers real money")</f>
        <v>live casino providers real money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IFERROR(__xludf.DUMMYFUNCTION("""COMPUTED_VALUE"""),"casino providers real money")</f>
        <v>casino providers real money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IFERROR(__xludf.DUMMYFUNCTION("""COMPUTED_VALUE"""),"pragmatic play games mobile")</f>
        <v>pragmatic play games mobile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IFERROR(__xludf.DUMMYFUNCTION("""COMPUTED_VALUE"""),"pragmatic play casino mobile")</f>
        <v>pragmatic play casino mobile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IFERROR(__xludf.DUMMYFUNCTION("""COMPUTED_VALUE"""),"pragmatic play slots mobile")</f>
        <v>pragmatic play slots mobile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IFERROR(__xludf.DUMMYFUNCTION("""COMPUTED_VALUE"""),"evolution games mobile")</f>
        <v>evolution games mobile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IFERROR(__xludf.DUMMYFUNCTION("""COMPUTED_VALUE"""),"evolution casino games mobile")</f>
        <v>evolution casino games mobile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IFERROR(__xludf.DUMMYFUNCTION("""COMPUTED_VALUE"""),"evolution live casino mobile")</f>
        <v>evolution live casino mobile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IFERROR(__xludf.DUMMYFUNCTION("""COMPUTED_VALUE"""),"multislot games mobile")</f>
        <v>multislot games mobile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IFERROR(__xludf.DUMMYFUNCTION("""COMPUTED_VALUE"""),"multi slots mobile")</f>
        <v>multi slots mobile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IFERROR(__xludf.DUMMYFUNCTION("""COMPUTED_VALUE"""),"live casino providers mobile")</f>
        <v>live casino providers mobile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IFERROR(__xludf.DUMMYFUNCTION("""COMPUTED_VALUE"""),"casino providers mobile")</f>
        <v>casino providers mobile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IFERROR(__xludf.DUMMYFUNCTION("""COMPUTED_VALUE"""),"pragmatic play games play online")</f>
        <v>pragmatic play games play online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IFERROR(__xludf.DUMMYFUNCTION("""COMPUTED_VALUE"""),"pragmatic play casino play online")</f>
        <v>pragmatic play casino play online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IFERROR(__xludf.DUMMYFUNCTION("""COMPUTED_VALUE"""),"pragmatic play slots play online")</f>
        <v>pragmatic play slots play online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IFERROR(__xludf.DUMMYFUNCTION("""COMPUTED_VALUE"""),"evolution games play online")</f>
        <v>evolution games play online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IFERROR(__xludf.DUMMYFUNCTION("""COMPUTED_VALUE"""),"evolution casino games play online")</f>
        <v>evolution casino games play online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IFERROR(__xludf.DUMMYFUNCTION("""COMPUTED_VALUE"""),"evolution live casino play online")</f>
        <v>evolution live casino play online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IFERROR(__xludf.DUMMYFUNCTION("""COMPUTED_VALUE"""),"multislot games play online")</f>
        <v>multislot games play online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IFERROR(__xludf.DUMMYFUNCTION("""COMPUTED_VALUE"""),"multi slots play online")</f>
        <v>multi slots play online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IFERROR(__xludf.DUMMYFUNCTION("""COMPUTED_VALUE"""),"live casino providers play online")</f>
        <v>live casino providers play online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IFERROR(__xludf.DUMMYFUNCTION("""COMPUTED_VALUE"""),"casino providers play online")</f>
        <v>casino providers play online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IFERROR(__xludf.DUMMYFUNCTION("""COMPUTED_VALUE"""),"pragmatic play games games list")</f>
        <v>pragmatic play games games list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IFERROR(__xludf.DUMMYFUNCTION("""COMPUTED_VALUE"""),"pragmatic play casino games list")</f>
        <v>pragmatic play casino games list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IFERROR(__xludf.DUMMYFUNCTION("""COMPUTED_VALUE"""),"pragmatic play slots games list")</f>
        <v>pragmatic play slots games list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IFERROR(__xludf.DUMMYFUNCTION("""COMPUTED_VALUE"""),"evolution games games list")</f>
        <v>evolution games games list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IFERROR(__xludf.DUMMYFUNCTION("""COMPUTED_VALUE"""),"evolution casino games games list")</f>
        <v>evolution casino games games list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IFERROR(__xludf.DUMMYFUNCTION("""COMPUTED_VALUE"""),"evolution live casino games list")</f>
        <v>evolution live casino games list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IFERROR(__xludf.DUMMYFUNCTION("""COMPUTED_VALUE"""),"multislot games games list")</f>
        <v>multislot games games list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IFERROR(__xludf.DUMMYFUNCTION("""COMPUTED_VALUE"""),"multi slots games list")</f>
        <v>multi slots games list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IFERROR(__xludf.DUMMYFUNCTION("""COMPUTED_VALUE"""),"live casino providers games list")</f>
        <v>live casino providers games list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IFERROR(__xludf.DUMMYFUNCTION("""COMPUTED_VALUE"""),"casino providers games list")</f>
        <v>casino providers games list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IFERROR(__xludf.DUMMYFUNCTION("""COMPUTED_VALUE"""),"pragmatic play games provider")</f>
        <v>pragmatic play games provider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IFERROR(__xludf.DUMMYFUNCTION("""COMPUTED_VALUE"""),"pragmatic play casino provider")</f>
        <v>pragmatic play casino provider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IFERROR(__xludf.DUMMYFUNCTION("""COMPUTED_VALUE"""),"pragmatic play slots provider")</f>
        <v>pragmatic play slots provider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IFERROR(__xludf.DUMMYFUNCTION("""COMPUTED_VALUE"""),"evolution games provider")</f>
        <v>evolution games provider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IFERROR(__xludf.DUMMYFUNCTION("""COMPUTED_VALUE"""),"evolution casino games provider")</f>
        <v>evolution casino games provider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IFERROR(__xludf.DUMMYFUNCTION("""COMPUTED_VALUE"""),"evolution live casino provider")</f>
        <v>evolution live casino provider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IFERROR(__xludf.DUMMYFUNCTION("""COMPUTED_VALUE"""),"multislot games provider")</f>
        <v>multislot games provider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IFERROR(__xludf.DUMMYFUNCTION("""COMPUTED_VALUE"""),"multi slots provider")</f>
        <v>multi slots provider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IFERROR(__xludf.DUMMYFUNCTION("""COMPUTED_VALUE"""),"live casino providers provider")</f>
        <v>live casino providers provider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IFERROR(__xludf.DUMMYFUNCTION("""COMPUTED_VALUE"""),"casino providers provider")</f>
        <v>casino providers provider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IFERROR(__xludf.DUMMYFUNCTION("""COMPUTED_VALUE"""),"pragmatic play games slots")</f>
        <v>pragmatic play games slots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IFERROR(__xludf.DUMMYFUNCTION("""COMPUTED_VALUE"""),"pragmatic play casino slots")</f>
        <v>pragmatic play casino slots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IFERROR(__xludf.DUMMYFUNCTION("""COMPUTED_VALUE"""),"pragmatic play slots")</f>
        <v>pragmatic play slots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IFERROR(__xludf.DUMMYFUNCTION("""COMPUTED_VALUE"""),"evolution games slots")</f>
        <v>evolution games slots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IFERROR(__xludf.DUMMYFUNCTION("""COMPUTED_VALUE"""),"evolution casino games slots")</f>
        <v>evolution casino games slots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IFERROR(__xludf.DUMMYFUNCTION("""COMPUTED_VALUE"""),"evolution live casino slots")</f>
        <v>evolution live casino slots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IFERROR(__xludf.DUMMYFUNCTION("""COMPUTED_VALUE"""),"multislot games slots")</f>
        <v>multislot games slots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IFERROR(__xludf.DUMMYFUNCTION("""COMPUTED_VALUE"""),"multi slots")</f>
        <v>multi slots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IFERROR(__xludf.DUMMYFUNCTION("""COMPUTED_VALUE"""),"live casino providers slots")</f>
        <v>live casino providers slots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IFERROR(__xludf.DUMMYFUNCTION("""COMPUTED_VALUE"""),"casino providers slots")</f>
        <v>casino providers slots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IFERROR(__xludf.DUMMYFUNCTION("""COMPUTED_VALUE"""),"pragmatic play games slot games")</f>
        <v>pragmatic play games slot games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IFERROR(__xludf.DUMMYFUNCTION("""COMPUTED_VALUE"""),"pragmatic play casino slot games")</f>
        <v>pragmatic play casino slot games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IFERROR(__xludf.DUMMYFUNCTION("""COMPUTED_VALUE"""),"pragmatic play slots slot games")</f>
        <v>pragmatic play slots slot games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IFERROR(__xludf.DUMMYFUNCTION("""COMPUTED_VALUE"""),"evolution games slot games")</f>
        <v>evolution games slot games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IFERROR(__xludf.DUMMYFUNCTION("""COMPUTED_VALUE"""),"evolution casino games slot games")</f>
        <v>evolution casino games slot games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IFERROR(__xludf.DUMMYFUNCTION("""COMPUTED_VALUE"""),"evolution live casino slot games")</f>
        <v>evolution live casino slot games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IFERROR(__xludf.DUMMYFUNCTION("""COMPUTED_VALUE"""),"multislot games slot games")</f>
        <v>multislot games slot games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IFERROR(__xludf.DUMMYFUNCTION("""COMPUTED_VALUE"""),"multi slots slot games")</f>
        <v>multi slots slot games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IFERROR(__xludf.DUMMYFUNCTION("""COMPUTED_VALUE"""),"live casino providers slot games")</f>
        <v>live casino providers slot games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IFERROR(__xludf.DUMMYFUNCTION("""COMPUTED_VALUE"""),"casino providers slot games")</f>
        <v>casino providers slot games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IFERROR(__xludf.DUMMYFUNCTION("""COMPUTED_VALUE"""),"pragmatic play games demo")</f>
        <v>pragmatic play games demo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IFERROR(__xludf.DUMMYFUNCTION("""COMPUTED_VALUE"""),"pragmatic play casino demo")</f>
        <v>pragmatic play casino demo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IFERROR(__xludf.DUMMYFUNCTION("""COMPUTED_VALUE"""),"pragmatic play slots demo")</f>
        <v>pragmatic play slots demo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IFERROR(__xludf.DUMMYFUNCTION("""COMPUTED_VALUE"""),"evolution games demo")</f>
        <v>evolution games demo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IFERROR(__xludf.DUMMYFUNCTION("""COMPUTED_VALUE"""),"evolution casino games demo")</f>
        <v>evolution casino games demo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IFERROR(__xludf.DUMMYFUNCTION("""COMPUTED_VALUE"""),"evolution live casino demo")</f>
        <v>evolution live casino demo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IFERROR(__xludf.DUMMYFUNCTION("""COMPUTED_VALUE"""),"multislot games demo")</f>
        <v>multislot games demo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IFERROR(__xludf.DUMMYFUNCTION("""COMPUTED_VALUE"""),"multi slots demo")</f>
        <v>multi slots demo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IFERROR(__xludf.DUMMYFUNCTION("""COMPUTED_VALUE"""),"live casino providers demo")</f>
        <v>live casino providers demo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IFERROR(__xludf.DUMMYFUNCTION("""COMPUTED_VALUE"""),"casino providers demo")</f>
        <v>casino providers demo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IFERROR(__xludf.DUMMYFUNCTION("""COMPUTED_VALUE"""),"pragmatic play games demo games")</f>
        <v>pragmatic play games demo games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IFERROR(__xludf.DUMMYFUNCTION("""COMPUTED_VALUE"""),"pragmatic play casino demo games")</f>
        <v>pragmatic play casino demo games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IFERROR(__xludf.DUMMYFUNCTION("""COMPUTED_VALUE"""),"pragmatic play slots demo games")</f>
        <v>pragmatic play slots demo games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IFERROR(__xludf.DUMMYFUNCTION("""COMPUTED_VALUE"""),"evolution games demo games")</f>
        <v>evolution games demo games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IFERROR(__xludf.DUMMYFUNCTION("""COMPUTED_VALUE"""),"evolution casino games demo games")</f>
        <v>evolution casino games demo games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IFERROR(__xludf.DUMMYFUNCTION("""COMPUTED_VALUE"""),"evolution live casino demo games")</f>
        <v>evolution live casino demo games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IFERROR(__xludf.DUMMYFUNCTION("""COMPUTED_VALUE"""),"multislot games demo games")</f>
        <v>multislot games demo games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IFERROR(__xludf.DUMMYFUNCTION("""COMPUTED_VALUE"""),"multi slots demo games")</f>
        <v>multi slots demo games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IFERROR(__xludf.DUMMYFUNCTION("""COMPUTED_VALUE"""),"live casino providers demo games")</f>
        <v>live casino providers demo games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IFERROR(__xludf.DUMMYFUNCTION("""COMPUTED_VALUE"""),"casino providers demo games")</f>
        <v>casino providers demo games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IFERROR(__xludf.DUMMYFUNCTION("""COMPUTED_VALUE"""),"pragmatic play games free demo")</f>
        <v>pragmatic play games free demo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IFERROR(__xludf.DUMMYFUNCTION("""COMPUTED_VALUE"""),"pragmatic play casino free demo")</f>
        <v>pragmatic play casino free demo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IFERROR(__xludf.DUMMYFUNCTION("""COMPUTED_VALUE"""),"pragmatic play slots free demo")</f>
        <v>pragmatic play slots free demo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IFERROR(__xludf.DUMMYFUNCTION("""COMPUTED_VALUE"""),"evolution games free demo")</f>
        <v>evolution games free demo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IFERROR(__xludf.DUMMYFUNCTION("""COMPUTED_VALUE"""),"evolution casino games free demo")</f>
        <v>evolution casino games free demo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IFERROR(__xludf.DUMMYFUNCTION("""COMPUTED_VALUE"""),"evolution live casino free demo")</f>
        <v>evolution live casino free demo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IFERROR(__xludf.DUMMYFUNCTION("""COMPUTED_VALUE"""),"multislot games free demo")</f>
        <v>multislot games free demo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IFERROR(__xludf.DUMMYFUNCTION("""COMPUTED_VALUE"""),"multi slots free demo")</f>
        <v>multi slots free demo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IFERROR(__xludf.DUMMYFUNCTION("""COMPUTED_VALUE"""),"live casino providers free demo")</f>
        <v>live casino providers free demo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IFERROR(__xludf.DUMMYFUNCTION("""COMPUTED_VALUE"""),"casino providers free demo")</f>
        <v>casino providers free demo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IFERROR(__xludf.DUMMYFUNCTION("""COMPUTED_VALUE"""),"pragmatic play games live dealer")</f>
        <v>pragmatic play games live dealer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IFERROR(__xludf.DUMMYFUNCTION("""COMPUTED_VALUE"""),"pragmatic play casino live dealer")</f>
        <v>pragmatic play casino live dealer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IFERROR(__xludf.DUMMYFUNCTION("""COMPUTED_VALUE"""),"pragmatic play slots live dealer")</f>
        <v>pragmatic play slots live dealer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IFERROR(__xludf.DUMMYFUNCTION("""COMPUTED_VALUE"""),"evolution games live dealer")</f>
        <v>evolution games live dealer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IFERROR(__xludf.DUMMYFUNCTION("""COMPUTED_VALUE"""),"evolution casino games live dealer")</f>
        <v>evolution casino games live dealer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IFERROR(__xludf.DUMMYFUNCTION("""COMPUTED_VALUE"""),"evolution live casino live dealer")</f>
        <v>evolution live casino live dealer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IFERROR(__xludf.DUMMYFUNCTION("""COMPUTED_VALUE"""),"multislot games live dealer")</f>
        <v>multislot games live dealer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IFERROR(__xludf.DUMMYFUNCTION("""COMPUTED_VALUE"""),"multi slots live dealer")</f>
        <v>multi slots live dealer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IFERROR(__xludf.DUMMYFUNCTION("""COMPUTED_VALUE"""),"live casino providers live dealer")</f>
        <v>live casino providers live dealer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IFERROR(__xludf.DUMMYFUNCTION("""COMPUTED_VALUE"""),"casino providers live dealer")</f>
        <v>casino providers live dealer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IFERROR(__xludf.DUMMYFUNCTION("""COMPUTED_VALUE"""),"pragmatic play games game shows")</f>
        <v>pragmatic play games game shows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IFERROR(__xludf.DUMMYFUNCTION("""COMPUTED_VALUE"""),"pragmatic play casino game shows")</f>
        <v>pragmatic play casino game shows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IFERROR(__xludf.DUMMYFUNCTION("""COMPUTED_VALUE"""),"pragmatic play slots game shows")</f>
        <v>pragmatic play slots game shows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IFERROR(__xludf.DUMMYFUNCTION("""COMPUTED_VALUE"""),"evolution games game shows")</f>
        <v>evolution games game shows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IFERROR(__xludf.DUMMYFUNCTION("""COMPUTED_VALUE"""),"evolution casino games game shows")</f>
        <v>evolution casino games game shows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IFERROR(__xludf.DUMMYFUNCTION("""COMPUTED_VALUE"""),"evolution live casino game shows")</f>
        <v>evolution live casino game shows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IFERROR(__xludf.DUMMYFUNCTION("""COMPUTED_VALUE"""),"multislot games game shows")</f>
        <v>multislot games game shows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IFERROR(__xludf.DUMMYFUNCTION("""COMPUTED_VALUE"""),"multi slots game shows")</f>
        <v>multi slots game shows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IFERROR(__xludf.DUMMYFUNCTION("""COMPUTED_VALUE"""),"live casino providers game shows")</f>
        <v>live casino providers game shows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IFERROR(__xludf.DUMMYFUNCTION("""COMPUTED_VALUE"""),"casino providers game shows")</f>
        <v>casino providers game shows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IFERROR(__xludf.DUMMYFUNCTION("""COMPUTED_VALUE"""),"pragmatic play games blackjack")</f>
        <v>pragmatic play games blackjack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IFERROR(__xludf.DUMMYFUNCTION("""COMPUTED_VALUE"""),"pragmatic play casino blackjack")</f>
        <v>pragmatic play casino blackjack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IFERROR(__xludf.DUMMYFUNCTION("""COMPUTED_VALUE"""),"pragmatic play slots blackjack")</f>
        <v>pragmatic play slots blackjack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IFERROR(__xludf.DUMMYFUNCTION("""COMPUTED_VALUE"""),"evolution games blackjack")</f>
        <v>evolution games blackjack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IFERROR(__xludf.DUMMYFUNCTION("""COMPUTED_VALUE"""),"evolution casino games blackjack")</f>
        <v>evolution casino games blackjack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IFERROR(__xludf.DUMMYFUNCTION("""COMPUTED_VALUE"""),"evolution live casino blackjack")</f>
        <v>evolution live casino blackjack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IFERROR(__xludf.DUMMYFUNCTION("""COMPUTED_VALUE"""),"multislot games blackjack")</f>
        <v>multislot games blackjack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IFERROR(__xludf.DUMMYFUNCTION("""COMPUTED_VALUE"""),"multi slots blackjack")</f>
        <v>multi slots blackjack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IFERROR(__xludf.DUMMYFUNCTION("""COMPUTED_VALUE"""),"live casino providers blackjack")</f>
        <v>live casino providers blackjack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IFERROR(__xludf.DUMMYFUNCTION("""COMPUTED_VALUE"""),"casino providers blackjack")</f>
        <v>casino providers blackjack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IFERROR(__xludf.DUMMYFUNCTION("""COMPUTED_VALUE"""),"pragmatic play games roulette")</f>
        <v>pragmatic play games roulette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IFERROR(__xludf.DUMMYFUNCTION("""COMPUTED_VALUE"""),"pragmatic play casino roulette")</f>
        <v>pragmatic play casino roulette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IFERROR(__xludf.DUMMYFUNCTION("""COMPUTED_VALUE"""),"pragmatic play slots roulette")</f>
        <v>pragmatic play slots roulette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IFERROR(__xludf.DUMMYFUNCTION("""COMPUTED_VALUE"""),"evolution games roulette")</f>
        <v>evolution games roulette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IFERROR(__xludf.DUMMYFUNCTION("""COMPUTED_VALUE"""),"evolution casino games roulette")</f>
        <v>evolution casino games roulette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IFERROR(__xludf.DUMMYFUNCTION("""COMPUTED_VALUE"""),"evolution live casino roulette")</f>
        <v>evolution live casino roulette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IFERROR(__xludf.DUMMYFUNCTION("""COMPUTED_VALUE"""),"multislot games roulette")</f>
        <v>multislot games roulette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IFERROR(__xludf.DUMMYFUNCTION("""COMPUTED_VALUE"""),"multi slots roulette")</f>
        <v>multi slots roulette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IFERROR(__xludf.DUMMYFUNCTION("""COMPUTED_VALUE"""),"live casino providers roulette")</f>
        <v>live casino providers roulette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IFERROR(__xludf.DUMMYFUNCTION("""COMPUTED_VALUE"""),"casino providers roulette")</f>
        <v>casino providers roulette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IFERROR(__xludf.DUMMYFUNCTION("""COMPUTED_VALUE"""),"pragmatic play games jackpot")</f>
        <v>pragmatic play games jackpot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IFERROR(__xludf.DUMMYFUNCTION("""COMPUTED_VALUE"""),"pragmatic play casino jackpot")</f>
        <v>pragmatic play casino jackpot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IFERROR(__xludf.DUMMYFUNCTION("""COMPUTED_VALUE"""),"pragmatic play slots jackpot")</f>
        <v>pragmatic play slots jackpot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IFERROR(__xludf.DUMMYFUNCTION("""COMPUTED_VALUE"""),"evolution games jackpot")</f>
        <v>evolution games jackpot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IFERROR(__xludf.DUMMYFUNCTION("""COMPUTED_VALUE"""),"evolution casino games jackpot")</f>
        <v>evolution casino games jackpot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IFERROR(__xludf.DUMMYFUNCTION("""COMPUTED_VALUE"""),"evolution live casino jackpot")</f>
        <v>evolution live casino jackpot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IFERROR(__xludf.DUMMYFUNCTION("""COMPUTED_VALUE"""),"multislot games jackpot")</f>
        <v>multislot games jackpot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IFERROR(__xludf.DUMMYFUNCTION("""COMPUTED_VALUE"""),"multi slots jackpot")</f>
        <v>multi slots jackpot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IFERROR(__xludf.DUMMYFUNCTION("""COMPUTED_VALUE"""),"live casino providers jackpot")</f>
        <v>live casino providers jackpot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IFERROR(__xludf.DUMMYFUNCTION("""COMPUTED_VALUE"""),"casino providers jackpot")</f>
        <v>casino providers jackpot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IFERROR(__xludf.DUMMYFUNCTION("""COMPUTED_VALUE"""),"pragmatic play games bonus")</f>
        <v>pragmatic play games bonus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IFERROR(__xludf.DUMMYFUNCTION("""COMPUTED_VALUE"""),"pragmatic play casino bonus")</f>
        <v>pragmatic play casino bonus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IFERROR(__xludf.DUMMYFUNCTION("""COMPUTED_VALUE"""),"pragmatic play slots bonus")</f>
        <v>pragmatic play slots bonus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IFERROR(__xludf.DUMMYFUNCTION("""COMPUTED_VALUE"""),"evolution games bonus")</f>
        <v>evolution games bonus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IFERROR(__xludf.DUMMYFUNCTION("""COMPUTED_VALUE"""),"evolution casino games bonus")</f>
        <v>evolution casino games bonus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IFERROR(__xludf.DUMMYFUNCTION("""COMPUTED_VALUE"""),"evolution live casino bonus")</f>
        <v>evolution live casino bonus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IFERROR(__xludf.DUMMYFUNCTION("""COMPUTED_VALUE"""),"multislot games bonus")</f>
        <v>multislot games bonus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IFERROR(__xludf.DUMMYFUNCTION("""COMPUTED_VALUE"""),"multi slots bonus")</f>
        <v>multi slots bonus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IFERROR(__xludf.DUMMYFUNCTION("""COMPUTED_VALUE"""),"live casino providers bonus")</f>
        <v>live casino providers bonus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IFERROR(__xludf.DUMMYFUNCTION("""COMPUTED_VALUE"""),"casino providers bonus")</f>
        <v>casino providers bonus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IFERROR(__xludf.DUMMYFUNCTION("""COMPUTED_VALUE"""),"pragmatic play games free spins")</f>
        <v>pragmatic play games free spins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IFERROR(__xludf.DUMMYFUNCTION("""COMPUTED_VALUE"""),"pragmatic play casino free spins")</f>
        <v>pragmatic play casino free spins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IFERROR(__xludf.DUMMYFUNCTION("""COMPUTED_VALUE"""),"pragmatic play slots free spins")</f>
        <v>pragmatic play slots free spins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IFERROR(__xludf.DUMMYFUNCTION("""COMPUTED_VALUE"""),"evolution games free spins")</f>
        <v>evolution games free spins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IFERROR(__xludf.DUMMYFUNCTION("""COMPUTED_VALUE"""),"evolution casino games free spins")</f>
        <v>evolution casino games free spins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IFERROR(__xludf.DUMMYFUNCTION("""COMPUTED_VALUE"""),"evolution live casino free spins")</f>
        <v>evolution live casino free spins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IFERROR(__xludf.DUMMYFUNCTION("""COMPUTED_VALUE"""),"multislot games free spins")</f>
        <v>multislot games free spins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IFERROR(__xludf.DUMMYFUNCTION("""COMPUTED_VALUE"""),"multi slots free spins")</f>
        <v>multi slots free spins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IFERROR(__xludf.DUMMYFUNCTION("""COMPUTED_VALUE"""),"live casino providers free spins")</f>
        <v>live casino providers free spins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IFERROR(__xludf.DUMMYFUNCTION("""COMPUTED_VALUE"""),"casino providers free spins")</f>
        <v>casino providers free spins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IFERROR(__xludf.DUMMYFUNCTION("""COMPUTED_VALUE"""),"pragmatic play games review")</f>
        <v>pragmatic play games review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IFERROR(__xludf.DUMMYFUNCTION("""COMPUTED_VALUE"""),"pragmatic play casino review")</f>
        <v>pragmatic play casino review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IFERROR(__xludf.DUMMYFUNCTION("""COMPUTED_VALUE"""),"pragmatic play slots review")</f>
        <v>pragmatic play slots review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IFERROR(__xludf.DUMMYFUNCTION("""COMPUTED_VALUE"""),"evolution games review")</f>
        <v>evolution games review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IFERROR(__xludf.DUMMYFUNCTION("""COMPUTED_VALUE"""),"evolution casino games review")</f>
        <v>evolution casino games review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IFERROR(__xludf.DUMMYFUNCTION("""COMPUTED_VALUE"""),"evolution live casino review")</f>
        <v>evolution live casino review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IFERROR(__xludf.DUMMYFUNCTION("""COMPUTED_VALUE"""),"multislot games review")</f>
        <v>multislot games review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IFERROR(__xludf.DUMMYFUNCTION("""COMPUTED_VALUE"""),"multi slots review")</f>
        <v>multi slots review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IFERROR(__xludf.DUMMYFUNCTION("""COMPUTED_VALUE"""),"live casino providers review")</f>
        <v>live casino providers review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IFERROR(__xludf.DUMMYFUNCTION("""COMPUTED_VALUE"""),"casino providers review")</f>
        <v>casino providers review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IFERROR(__xludf.DUMMYFUNCTION("""COMPUTED_VALUE"""),"pragmatic play games reviews")</f>
        <v>pragmatic play games reviews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IFERROR(__xludf.DUMMYFUNCTION("""COMPUTED_VALUE"""),"pragmatic play casino reviews")</f>
        <v>pragmatic play casino reviews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IFERROR(__xludf.DUMMYFUNCTION("""COMPUTED_VALUE"""),"pragmatic play slots reviews")</f>
        <v>pragmatic play slots reviews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IFERROR(__xludf.DUMMYFUNCTION("""COMPUTED_VALUE"""),"evolution games reviews")</f>
        <v>evolution games reviews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IFERROR(__xludf.DUMMYFUNCTION("""COMPUTED_VALUE"""),"evolution casino games reviews")</f>
        <v>evolution casino games reviews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IFERROR(__xludf.DUMMYFUNCTION("""COMPUTED_VALUE"""),"evolution live casino reviews")</f>
        <v>evolution live casino reviews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IFERROR(__xludf.DUMMYFUNCTION("""COMPUTED_VALUE"""),"multislot games reviews")</f>
        <v>multislot games reviews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IFERROR(__xludf.DUMMYFUNCTION("""COMPUTED_VALUE"""),"multi slots reviews")</f>
        <v>multi slots reviews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IFERROR(__xludf.DUMMYFUNCTION("""COMPUTED_VALUE"""),"live casino providers reviews")</f>
        <v>live casino providers reviews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IFERROR(__xludf.DUMMYFUNCTION("""COMPUTED_VALUE"""),"casino providers reviews")</f>
        <v>casino providers reviews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IFERROR(__xludf.DUMMYFUNCTION("""COMPUTED_VALUE"""),"pragmatic play games rules")</f>
        <v>pragmatic play games rules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IFERROR(__xludf.DUMMYFUNCTION("""COMPUTED_VALUE"""),"pragmatic play casino rules")</f>
        <v>pragmatic play casino rules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IFERROR(__xludf.DUMMYFUNCTION("""COMPUTED_VALUE"""),"pragmatic play slots rules")</f>
        <v>pragmatic play slots rules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IFERROR(__xludf.DUMMYFUNCTION("""COMPUTED_VALUE"""),"evolution games rules")</f>
        <v>evolution games rules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IFERROR(__xludf.DUMMYFUNCTION("""COMPUTED_VALUE"""),"evolution casino games rules")</f>
        <v>evolution casino games rules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IFERROR(__xludf.DUMMYFUNCTION("""COMPUTED_VALUE"""),"evolution live casino rules")</f>
        <v>evolution live casino rules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IFERROR(__xludf.DUMMYFUNCTION("""COMPUTED_VALUE"""),"multislot games rules")</f>
        <v>multislot games rules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IFERROR(__xludf.DUMMYFUNCTION("""COMPUTED_VALUE"""),"multi slots rules")</f>
        <v>multi slots rules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IFERROR(__xludf.DUMMYFUNCTION("""COMPUTED_VALUE"""),"live casino providers rules")</f>
        <v>live casino providers rules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IFERROR(__xludf.DUMMYFUNCTION("""COMPUTED_VALUE"""),"casino providers rules")</f>
        <v>casino providers rules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IFERROR(__xludf.DUMMYFUNCTION("""COMPUTED_VALUE"""),"pragmatic play games paradise games")</f>
        <v>pragmatic play games paradise games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IFERROR(__xludf.DUMMYFUNCTION("""COMPUTED_VALUE"""),"pragmatic play casino paradise games")</f>
        <v>pragmatic play casino paradise games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IFERROR(__xludf.DUMMYFUNCTION("""COMPUTED_VALUE"""),"pragmatic play slots paradise games")</f>
        <v>pragmatic play slots paradise games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IFERROR(__xludf.DUMMYFUNCTION("""COMPUTED_VALUE"""),"evolution games paradise games")</f>
        <v>evolution games paradise games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IFERROR(__xludf.DUMMYFUNCTION("""COMPUTED_VALUE"""),"evolution casino games paradise games")</f>
        <v>evolution casino games paradise games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IFERROR(__xludf.DUMMYFUNCTION("""COMPUTED_VALUE"""),"evolution live casino paradise games")</f>
        <v>evolution live casino paradise games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IFERROR(__xludf.DUMMYFUNCTION("""COMPUTED_VALUE"""),"multislot games paradise games")</f>
        <v>multislot games paradise games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IFERROR(__xludf.DUMMYFUNCTION("""COMPUTED_VALUE"""),"multi slots paradise games")</f>
        <v>multi slots paradise games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IFERROR(__xludf.DUMMYFUNCTION("""COMPUTED_VALUE"""),"live casino providers paradise games")</f>
        <v>live casino providers paradise games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IFERROR(__xludf.DUMMYFUNCTION("""COMPUTED_VALUE"""),"casino providers paradise games")</f>
        <v>casino providers paradise games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IFERROR(__xludf.DUMMYFUNCTION("""COMPUTED_VALUE"""),"pragmatic play games island luck")</f>
        <v>pragmatic play games island luck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IFERROR(__xludf.DUMMYFUNCTION("""COMPUTED_VALUE"""),"pragmatic play casino island luck")</f>
        <v>pragmatic play casino island luck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IFERROR(__xludf.DUMMYFUNCTION("""COMPUTED_VALUE"""),"pragmatic play slots island luck")</f>
        <v>pragmatic play slots island luck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IFERROR(__xludf.DUMMYFUNCTION("""COMPUTED_VALUE"""),"evolution games island luck")</f>
        <v>evolution games island luck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IFERROR(__xludf.DUMMYFUNCTION("""COMPUTED_VALUE"""),"evolution casino games island luck")</f>
        <v>evolution casino games island luck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IFERROR(__xludf.DUMMYFUNCTION("""COMPUTED_VALUE"""),"evolution live casino island luck")</f>
        <v>evolution live casino island luck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IFERROR(__xludf.DUMMYFUNCTION("""COMPUTED_VALUE"""),"multislot games island luck")</f>
        <v>multislot games island luck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IFERROR(__xludf.DUMMYFUNCTION("""COMPUTED_VALUE"""),"multi slots island luck")</f>
        <v>multi slots island luck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IFERROR(__xludf.DUMMYFUNCTION("""COMPUTED_VALUE"""),"live casino providers island luck")</f>
        <v>live casino providers island luck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IFERROR(__xludf.DUMMYFUNCTION("""COMPUTED_VALUE"""),"casino providers island luck")</f>
        <v>casino providers island luck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IFERROR(__xludf.DUMMYFUNCTION("""COMPUTED_VALUE"""),"pragmatic play games chances")</f>
        <v>pragmatic play games chances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IFERROR(__xludf.DUMMYFUNCTION("""COMPUTED_VALUE"""),"pragmatic play casino chances")</f>
        <v>pragmatic play casino chances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IFERROR(__xludf.DUMMYFUNCTION("""COMPUTED_VALUE"""),"pragmatic play slots chances")</f>
        <v>pragmatic play slots chances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IFERROR(__xludf.DUMMYFUNCTION("""COMPUTED_VALUE"""),"evolution games chances")</f>
        <v>evolution games chances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IFERROR(__xludf.DUMMYFUNCTION("""COMPUTED_VALUE"""),"evolution casino games chances")</f>
        <v>evolution casino games chances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IFERROR(__xludf.DUMMYFUNCTION("""COMPUTED_VALUE"""),"evolution live casino chances")</f>
        <v>evolution live casino chances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IFERROR(__xludf.DUMMYFUNCTION("""COMPUTED_VALUE"""),"multislot games chances")</f>
        <v>multislot games chances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IFERROR(__xludf.DUMMYFUNCTION("""COMPUTED_VALUE"""),"multi slots chances")</f>
        <v>multi slots chances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IFERROR(__xludf.DUMMYFUNCTION("""COMPUTED_VALUE"""),"live casino providers chances")</f>
        <v>live casino providers chances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IFERROR(__xludf.DUMMYFUNCTION("""COMPUTED_VALUE"""),"casino providers chances")</f>
        <v>casino providers chances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IFERROR(__xludf.DUMMYFUNCTION("""COMPUTED_VALUE"""),"pragmatic play games ultra games")</f>
        <v>pragmatic play games ultra games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IFERROR(__xludf.DUMMYFUNCTION("""COMPUTED_VALUE"""),"pragmatic play casino ultra games")</f>
        <v>pragmatic play casino ultra games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IFERROR(__xludf.DUMMYFUNCTION("""COMPUTED_VALUE"""),"pragmatic play slots ultra games")</f>
        <v>pragmatic play slots ultra games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IFERROR(__xludf.DUMMYFUNCTION("""COMPUTED_VALUE"""),"evolution games ultra games")</f>
        <v>evolution games ultra games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IFERROR(__xludf.DUMMYFUNCTION("""COMPUTED_VALUE"""),"evolution casino games ultra games")</f>
        <v>evolution casino games ultra games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IFERROR(__xludf.DUMMYFUNCTION("""COMPUTED_VALUE"""),"evolution live casino ultra games")</f>
        <v>evolution live casino ultra games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IFERROR(__xludf.DUMMYFUNCTION("""COMPUTED_VALUE"""),"multislot games ultra games")</f>
        <v>multislot games ultra games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IFERROR(__xludf.DUMMYFUNCTION("""COMPUTED_VALUE"""),"multi slots ultra games")</f>
        <v>multi slots ultra games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IFERROR(__xludf.DUMMYFUNCTION("""COMPUTED_VALUE"""),"live casino providers ultra games")</f>
        <v>live casino providers ultra games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IFERROR(__xludf.DUMMYFUNCTION("""COMPUTED_VALUE"""),"casino providers ultra games")</f>
        <v>casino providers ultra games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IFERROR(__xludf.DUMMYFUNCTION("""COMPUTED_VALUE"""),"pragmatic play games casino app")</f>
        <v>pragmatic play games casino app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IFERROR(__xludf.DUMMYFUNCTION("""COMPUTED_VALUE"""),"pragmatic play casino casino app")</f>
        <v>pragmatic play casino casino app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IFERROR(__xludf.DUMMYFUNCTION("""COMPUTED_VALUE"""),"pragmatic play slots casino app")</f>
        <v>pragmatic play slots casino app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IFERROR(__xludf.DUMMYFUNCTION("""COMPUTED_VALUE"""),"evolution games casino app")</f>
        <v>evolution games casino app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IFERROR(__xludf.DUMMYFUNCTION("""COMPUTED_VALUE"""),"evolution casino games casino app")</f>
        <v>evolution casino games casino app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IFERROR(__xludf.DUMMYFUNCTION("""COMPUTED_VALUE"""),"evolution live casino casino app")</f>
        <v>evolution live casino casino app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IFERROR(__xludf.DUMMYFUNCTION("""COMPUTED_VALUE"""),"multislot games casino app")</f>
        <v>multislot games casino app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IFERROR(__xludf.DUMMYFUNCTION("""COMPUTED_VALUE"""),"multi slots casino app")</f>
        <v>multi slots casino app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IFERROR(__xludf.DUMMYFUNCTION("""COMPUTED_VALUE"""),"live casino providers casino app")</f>
        <v>live casino providers casino app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IFERROR(__xludf.DUMMYFUNCTION("""COMPUTED_VALUE"""),"casino providers casino app")</f>
        <v>casino providers casino app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IFERROR(__xludf.DUMMYFUNCTION("""COMPUTED_VALUE"""),"pragmatic play games instant play")</f>
        <v>pragmatic play games instant play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IFERROR(__xludf.DUMMYFUNCTION("""COMPUTED_VALUE"""),"pragmatic play casino instant play")</f>
        <v>pragmatic play casino instant play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IFERROR(__xludf.DUMMYFUNCTION("""COMPUTED_VALUE"""),"pragmatic play slots instant play")</f>
        <v>pragmatic play slots instant play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IFERROR(__xludf.DUMMYFUNCTION("""COMPUTED_VALUE"""),"evolution games instant play")</f>
        <v>evolution games instant play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IFERROR(__xludf.DUMMYFUNCTION("""COMPUTED_VALUE"""),"evolution casino games instant play")</f>
        <v>evolution casino games instant play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IFERROR(__xludf.DUMMYFUNCTION("""COMPUTED_VALUE"""),"evolution live casino instant play")</f>
        <v>evolution live casino instant play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IFERROR(__xludf.DUMMYFUNCTION("""COMPUTED_VALUE"""),"multislot games instant play")</f>
        <v>multislot games instant play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IFERROR(__xludf.DUMMYFUNCTION("""COMPUTED_VALUE"""),"multi slots instant play")</f>
        <v>multi slots instant play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IFERROR(__xludf.DUMMYFUNCTION("""COMPUTED_VALUE"""),"live casino providers instant play")</f>
        <v>live casino providers instant play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IFERROR(__xludf.DUMMYFUNCTION("""COMPUTED_VALUE"""),"casino providers instant play")</f>
        <v>casino providers instant play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IFERROR(__xludf.DUMMYFUNCTION("""COMPUTED_VALUE"""),"pragmatic play games trusted")</f>
        <v>pragmatic play games trusted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IFERROR(__xludf.DUMMYFUNCTION("""COMPUTED_VALUE"""),"pragmatic play casino trusted")</f>
        <v>pragmatic play casino trusted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IFERROR(__xludf.DUMMYFUNCTION("""COMPUTED_VALUE"""),"pragmatic play slots trusted")</f>
        <v>pragmatic play slots trusted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IFERROR(__xludf.DUMMYFUNCTION("""COMPUTED_VALUE"""),"evolution games trusted")</f>
        <v>evolution games trusted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IFERROR(__xludf.DUMMYFUNCTION("""COMPUTED_VALUE"""),"evolution casino games trusted")</f>
        <v>evolution casino games trusted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IFERROR(__xludf.DUMMYFUNCTION("""COMPUTED_VALUE"""),"evolution live casino trusted")</f>
        <v>evolution live casino trusted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IFERROR(__xludf.DUMMYFUNCTION("""COMPUTED_VALUE"""),"multislot games trusted")</f>
        <v>multislot games trusted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IFERROR(__xludf.DUMMYFUNCTION("""COMPUTED_VALUE"""),"multi slots trusted")</f>
        <v>multi slots trusted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IFERROR(__xludf.DUMMYFUNCTION("""COMPUTED_VALUE"""),"live casino providers trusted")</f>
        <v>live casino providers trusted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IFERROR(__xludf.DUMMYFUNCTION("""COMPUTED_VALUE"""),"casino providers trusted")</f>
        <v>casino providers trusted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IFERROR(__xludf.DUMMYFUNCTION("""COMPUTED_VALUE"""),"pragmatic play games licensed")</f>
        <v>pragmatic play games licensed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IFERROR(__xludf.DUMMYFUNCTION("""COMPUTED_VALUE"""),"pragmatic play casino licensed")</f>
        <v>pragmatic play casino licensed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IFERROR(__xludf.DUMMYFUNCTION("""COMPUTED_VALUE"""),"pragmatic play slots licensed")</f>
        <v>pragmatic play slots licensed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IFERROR(__xludf.DUMMYFUNCTION("""COMPUTED_VALUE"""),"evolution games licensed")</f>
        <v>evolution games licensed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IFERROR(__xludf.DUMMYFUNCTION("""COMPUTED_VALUE"""),"evolution casino games licensed")</f>
        <v>evolution casino games licensed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IFERROR(__xludf.DUMMYFUNCTION("""COMPUTED_VALUE"""),"evolution live casino licensed")</f>
        <v>evolution live casino licensed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IFERROR(__xludf.DUMMYFUNCTION("""COMPUTED_VALUE"""),"multislot games licensed")</f>
        <v>multislot games licensed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IFERROR(__xludf.DUMMYFUNCTION("""COMPUTED_VALUE"""),"multi slots licensed")</f>
        <v>multi slots licensed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IFERROR(__xludf.DUMMYFUNCTION("""COMPUTED_VALUE"""),"live casino providers licensed")</f>
        <v>live casino providers licensed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IFERROR(__xludf.DUMMYFUNCTION("""COMPUTED_VALUE"""),"casino providers licensed")</f>
        <v>casino providers licensed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IFERROR(__xludf.DUMMYFUNCTION("""COMPUTED_VALUE"""),"pragmatic play games caribbean")</f>
        <v>pragmatic play games caribbean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IFERROR(__xludf.DUMMYFUNCTION("""COMPUTED_VALUE"""),"pragmatic play casino caribbean")</f>
        <v>pragmatic play casino caribbean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IFERROR(__xludf.DUMMYFUNCTION("""COMPUTED_VALUE"""),"pragmatic play slots caribbean")</f>
        <v>pragmatic play slots caribbean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IFERROR(__xludf.DUMMYFUNCTION("""COMPUTED_VALUE"""),"evolution games caribbean")</f>
        <v>evolution games caribbean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IFERROR(__xludf.DUMMYFUNCTION("""COMPUTED_VALUE"""),"evolution casino games caribbean")</f>
        <v>evolution casino games caribbean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IFERROR(__xludf.DUMMYFUNCTION("""COMPUTED_VALUE"""),"evolution live casino caribbean")</f>
        <v>evolution live casino caribbean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IFERROR(__xludf.DUMMYFUNCTION("""COMPUTED_VALUE"""),"multislot games caribbean")</f>
        <v>multislot games caribbean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IFERROR(__xludf.DUMMYFUNCTION("""COMPUTED_VALUE"""),"multi slots caribbean")</f>
        <v>multi slots caribbean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IFERROR(__xludf.DUMMYFUNCTION("""COMPUTED_VALUE"""),"live casino providers caribbean")</f>
        <v>live casino providers caribbean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IFERROR(__xludf.DUMMYFUNCTION("""COMPUTED_VALUE"""),"casino providers caribbean")</f>
        <v>casino providers caribbean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IFERROR(__xludf.DUMMYFUNCTION("""COMPUTED_VALUE"""),"pragmatic play games multislot demo")</f>
        <v>pragmatic play games multislot demo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IFERROR(__xludf.DUMMYFUNCTION("""COMPUTED_VALUE"""),"pragmatic play casino multislot demo")</f>
        <v>pragmatic play casino multislot demo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IFERROR(__xludf.DUMMYFUNCTION("""COMPUTED_VALUE"""),"pragmatic play slots multislot demo")</f>
        <v>pragmatic play slots multislot demo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IFERROR(__xludf.DUMMYFUNCTION("""COMPUTED_VALUE"""),"evolution games multislot demo")</f>
        <v>evolution games multislot demo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IFERROR(__xludf.DUMMYFUNCTION("""COMPUTED_VALUE"""),"evolution casino games multislot demo")</f>
        <v>evolution casino games multislot demo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IFERROR(__xludf.DUMMYFUNCTION("""COMPUTED_VALUE"""),"evolution live casino multislot demo")</f>
        <v>evolution live casino multislot demo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IFERROR(__xludf.DUMMYFUNCTION("""COMPUTED_VALUE"""),"multislot games multislot demo")</f>
        <v>multislot games multislot demo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IFERROR(__xludf.DUMMYFUNCTION("""COMPUTED_VALUE"""),"multi slots multislot demo")</f>
        <v>multi slots multislot demo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IFERROR(__xludf.DUMMYFUNCTION("""COMPUTED_VALUE"""),"live casino providers multislot demo")</f>
        <v>live casino providers multislot demo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IFERROR(__xludf.DUMMYFUNCTION("""COMPUTED_VALUE"""),"casino providers multislot demo")</f>
        <v>casino providers multislot demo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IFERROR(__xludf.DUMMYFUNCTION("""COMPUTED_VALUE"""),"pragmatic play games multi slots demo")</f>
        <v>pragmatic play games multi slots demo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IFERROR(__xludf.DUMMYFUNCTION("""COMPUTED_VALUE"""),"pragmatic play casino multi slots demo")</f>
        <v>pragmatic play casino multi slots demo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IFERROR(__xludf.DUMMYFUNCTION("""COMPUTED_VALUE"""),"pragmatic play slots multi slots demo")</f>
        <v>pragmatic play slots multi slots demo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IFERROR(__xludf.DUMMYFUNCTION("""COMPUTED_VALUE"""),"evolution games multi slots demo")</f>
        <v>evolution games multi slots demo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IFERROR(__xludf.DUMMYFUNCTION("""COMPUTED_VALUE"""),"evolution casino games multi slots demo")</f>
        <v>evolution casino games multi slots demo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IFERROR(__xludf.DUMMYFUNCTION("""COMPUTED_VALUE"""),"evolution live casino multi slots demo")</f>
        <v>evolution live casino multi slots demo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IFERROR(__xludf.DUMMYFUNCTION("""COMPUTED_VALUE"""),"multislot games multi slots demo")</f>
        <v>multislot games multi slots demo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IFERROR(__xludf.DUMMYFUNCTION("""COMPUTED_VALUE"""),"multi slots multi slots demo")</f>
        <v>multi slots multi slots demo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IFERROR(__xludf.DUMMYFUNCTION("""COMPUTED_VALUE"""),"live casino providers multi slots demo")</f>
        <v>live casino providers multi slots demo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IFERROR(__xludf.DUMMYFUNCTION("""COMPUTED_VALUE"""),"casino providers multi slots demo")</f>
        <v>casino providers multi slots demo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IFERROR(__xludf.DUMMYFUNCTION("""COMPUTED_VALUE"""),"pragmatic play games")</f>
        <v>pragmatic play games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IFERROR(__xludf.DUMMYFUNCTION("""COMPUTED_VALUE"""),"pragmatic play casino")</f>
        <v>pragmatic play casino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IFERROR(__xludf.DUMMYFUNCTION("""COMPUTED_VALUE"""),"pragmatic play slots")</f>
        <v>pragmatic play slots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IFERROR(__xludf.DUMMYFUNCTION("""COMPUTED_VALUE"""),"evolution games")</f>
        <v>evolution games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IFERROR(__xludf.DUMMYFUNCTION("""COMPUTED_VALUE"""),"evolution casino games")</f>
        <v>evolution casino games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IFERROR(__xludf.DUMMYFUNCTION("""COMPUTED_VALUE"""),"evolution live casino")</f>
        <v>evolution live casino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IFERROR(__xludf.DUMMYFUNCTION("""COMPUTED_VALUE"""),"multislot games")</f>
        <v>multislot games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IFERROR(__xludf.DUMMYFUNCTION("""COMPUTED_VALUE"""),"multi slots")</f>
        <v>multi slots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IFERROR(__xludf.DUMMYFUNCTION("""COMPUTED_VALUE"""),"live casino providers")</f>
        <v>live casino providers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IFERROR(__xludf.DUMMYFUNCTION("""COMPUTED_VALUE"""),"casino providers")</f>
        <v>casino providers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2" width="18.0"/>
  </cols>
  <sheetData>
    <row r="1">
      <c r="A1" s="1"/>
      <c r="B1" s="2" t="s">
        <v>261</v>
      </c>
      <c r="C1" s="2" t="s">
        <v>262</v>
      </c>
      <c r="D1" s="2" t="s">
        <v>263</v>
      </c>
      <c r="E1" s="2" t="s">
        <v>264</v>
      </c>
      <c r="F1" s="2" t="s">
        <v>265</v>
      </c>
      <c r="G1" s="2" t="s">
        <v>266</v>
      </c>
      <c r="H1" s="2" t="s">
        <v>267</v>
      </c>
      <c r="I1" s="2" t="s">
        <v>248</v>
      </c>
      <c r="J1" s="2" t="s">
        <v>268</v>
      </c>
      <c r="K1" s="2" t="s">
        <v>269</v>
      </c>
      <c r="L1" s="2"/>
      <c r="M1" s="2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""&amp;$A3))"),"crazy time bahamas")</f>
        <v>crazy time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""&amp;$A3))"),"crazy time game bahamas")</f>
        <v>crazy time game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""&amp;$A3))"),"online blackjack bahamas")</f>
        <v>online blackjack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""&amp;$A3))"),"blackjack online bahamas")</f>
        <v>blackjack online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""&amp;$A3))"),"online roulette bahamas")</f>
        <v>online roulette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""&amp;$A3))"),"roulette online bahamas")</f>
        <v>roulette online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""&amp;$A3))"),"online slots bahamas")</f>
        <v>online slots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""&amp;$A3))"),"slot games bahamas")</f>
        <v>slot games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""&amp;$A3))"),"casino slots bahamas")</f>
        <v>casino slots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""&amp;$A3))"),"demo casino games bahamas")</f>
        <v>demo casino games bahamas</v>
      </c>
      <c r="L3" s="13"/>
      <c r="M3" s="13" t="str">
        <f>IFERROR(__xludf.DUMMYFUNCTION("FLATTEN(B3:K39,B1:K1)"),"crazy time bahamas")</f>
        <v>crazy time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45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""&amp;$A4))"),"crazy time online")</f>
        <v>crazy time online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""&amp;$A4))"),"crazy time game online")</f>
        <v>crazy time game online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""&amp;$A4))"),"online blackjack")</f>
        <v>online blackjack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""&amp;$A4))"),"blackjack online")</f>
        <v>blackjack online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""&amp;$A4))"),"online roulette")</f>
        <v>online roulette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""&amp;$A4))"),"roulette online")</f>
        <v>roulette online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""&amp;$A4))"),"online slots")</f>
        <v>online slots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""&amp;$A4))"),"slot games online")</f>
        <v>slot games online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""&amp;$A4))"),"casino slots online")</f>
        <v>casino slots online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""&amp;$A4))"),"demo casino games online")</f>
        <v>demo casino games online</v>
      </c>
      <c r="L4" s="13"/>
      <c r="M4" s="13" t="str">
        <f>IFERROR(__xludf.DUMMYFUNCTION("""COMPUTED_VALUE"""),"crazy time game bahamas")</f>
        <v>crazy time game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48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""&amp;$A5))"),"crazy time play online")</f>
        <v>crazy time play online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""&amp;$A5))"),"crazy time game play online")</f>
        <v>crazy time game play online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""&amp;$A5))"),"online blackjack play online")</f>
        <v>online blackjack play online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""&amp;$A5))"),"blackjack online play online")</f>
        <v>blackjack online play online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""&amp;$A5))"),"online roulette play online")</f>
        <v>online roulette play online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""&amp;$A5))"),"roulette online play online")</f>
        <v>roulette online play online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""&amp;$A5))"),"online slots play online")</f>
        <v>online slots play online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""&amp;$A5))"),"slot games play online")</f>
        <v>slot games play online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""&amp;$A5))"),"casino slots play online")</f>
        <v>casino slots play online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""&amp;$A5))"),"demo casino games play online")</f>
        <v>demo casino games play online</v>
      </c>
      <c r="L5" s="13"/>
      <c r="M5" s="13" t="str">
        <f>IFERROR(__xludf.DUMMYFUNCTION("""COMPUTED_VALUE"""),"online blackjack bahamas")</f>
        <v>online blackjack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60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""&amp;$A6))"),"crazy time real money")</f>
        <v>crazy time real money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""&amp;$A6))"),"crazy time game real money")</f>
        <v>crazy time game real money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""&amp;$A6))"),"online blackjack real money")</f>
        <v>online blackjack real money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""&amp;$A6))"),"blackjack online real money")</f>
        <v>blackjack online real money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""&amp;$A6))"),"online roulette real money")</f>
        <v>online roulette real money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""&amp;$A6))"),"roulette online real money")</f>
        <v>roulette online real money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""&amp;$A6))"),"online slots real money")</f>
        <v>online slots real money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""&amp;$A6))"),"slot games real money")</f>
        <v>slot games real money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""&amp;$A6))"),"casino slots real money")</f>
        <v>casino slots real money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""&amp;$A6))"),"demo casino games real money")</f>
        <v>demo casino games real money</v>
      </c>
      <c r="L6" s="13"/>
      <c r="M6" s="13" t="str">
        <f>IFERROR(__xludf.DUMMYFUNCTION("""COMPUTED_VALUE"""),"blackjack online bahamas")</f>
        <v>blackjack online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94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""&amp;$A7))"),"crazy time mobile")</f>
        <v>crazy time mobile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""&amp;$A7))"),"crazy time game mobile")</f>
        <v>crazy time game mobile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""&amp;$A7))"),"online blackjack mobile")</f>
        <v>online blackjack mobile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""&amp;$A7))"),"blackjack online mobile")</f>
        <v>blackjack online mobile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""&amp;$A7))"),"online roulette mobile")</f>
        <v>online roulette mobile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""&amp;$A7))"),"roulette online mobile")</f>
        <v>roulette online mobile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""&amp;$A7))"),"online slots mobile")</f>
        <v>online slots mobile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""&amp;$A7))"),"slot games mobile")</f>
        <v>slot games mobile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""&amp;$A7))"),"casino slots mobile")</f>
        <v>casino slots mobile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""&amp;$A7))"),"demo casino games mobile")</f>
        <v>demo casino games mobile</v>
      </c>
      <c r="L7" s="13"/>
      <c r="M7" s="13" t="str">
        <f>IFERROR(__xludf.DUMMYFUNCTION("""COMPUTED_VALUE"""),"online roulette bahamas")</f>
        <v>online roulette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243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""&amp;$A8))"),"crazy time casino")</f>
        <v>crazy time casino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""&amp;$A8))"),"crazy time game casino")</f>
        <v>crazy time game casino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""&amp;$A8))"),"online blackjack casino")</f>
        <v>online blackjack casino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""&amp;$A8))"),"blackjack online casino")</f>
        <v>blackjack online casino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""&amp;$A8))"),"online roulette casino")</f>
        <v>online roulette casino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""&amp;$A8))"),"roulette online casino")</f>
        <v>roulette online casino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""&amp;$A8))"),"online slots casino")</f>
        <v>online slots casino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""&amp;$A8))"),"slot games casino")</f>
        <v>slot games casino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""&amp;$A8))"),"casino slots")</f>
        <v>casino slots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""&amp;$A8))"),"demo casino games")</f>
        <v>demo casino games</v>
      </c>
      <c r="L8" s="13"/>
      <c r="M8" s="13" t="str">
        <f>IFERROR(__xludf.DUMMYFUNCTION("""COMPUTED_VALUE"""),"roulette online bahamas")</f>
        <v>roulette online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29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""&amp;$A9))"),"crazy time live casino")</f>
        <v>crazy time live casino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""&amp;$A9))"),"crazy time game live casino")</f>
        <v>crazy time game live casino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""&amp;$A9))"),"online blackjack live casino")</f>
        <v>online blackjack live casino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""&amp;$A9))"),"blackjack online live casino")</f>
        <v>blackjack online live casino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""&amp;$A9))"),"online roulette live casino")</f>
        <v>online roulette live casino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""&amp;$A9))"),"roulette online live casino")</f>
        <v>roulette online live casino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""&amp;$A9))"),"online slots live casino")</f>
        <v>online slots live casino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""&amp;$A9))"),"slot games live casino")</f>
        <v>slot games live casino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""&amp;$A9))"),"casino slots live casino")</f>
        <v>casino slots live casino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""&amp;$A9))"),"demo casino games live casino")</f>
        <v>demo casino games live casino</v>
      </c>
      <c r="L9" s="13"/>
      <c r="M9" s="13" t="str">
        <f>IFERROR(__xludf.DUMMYFUNCTION("""COMPUTED_VALUE"""),"online slots bahamas")</f>
        <v>online slots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253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""&amp;$A10))"),"crazy time live dealer")</f>
        <v>crazy time live dealer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""&amp;$A10))"),"crazy time game live dealer")</f>
        <v>crazy time game live dealer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""&amp;$A10))"),"online blackjack live dealer")</f>
        <v>online blackjack live dealer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""&amp;$A10))"),"blackjack online live dealer")</f>
        <v>blackjack online live dealer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""&amp;$A10))"),"online roulette live dealer")</f>
        <v>online roulette live dealer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""&amp;$A10))"),"roulette online live dealer")</f>
        <v>roulette online live dealer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""&amp;$A10))"),"online slots live dealer")</f>
        <v>online slots live dealer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""&amp;$A10))"),"slot games live dealer")</f>
        <v>slot games live dealer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""&amp;$A10))"),"casino slots live dealer")</f>
        <v>casino slots live dealer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""&amp;$A10))"),"demo casino games live dealer")</f>
        <v>demo casino games live dealer</v>
      </c>
      <c r="L10" s="13"/>
      <c r="M10" s="13" t="str">
        <f>IFERROR(__xludf.DUMMYFUNCTION("""COMPUTED_VALUE"""),"slot games bahamas")</f>
        <v>slot games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270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""&amp;$A11))"),"crazy time Evolution")</f>
        <v>crazy time Evolution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""&amp;$A11))"),"crazy time game Evolution")</f>
        <v>crazy time game Evolution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""&amp;$A11))"),"online blackjack Evolution")</f>
        <v>online blackjack Evolution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""&amp;$A11))"),"blackjack online Evolution")</f>
        <v>blackjack online Evolution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""&amp;$A11))"),"online roulette Evolution")</f>
        <v>online roulette Evolution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""&amp;$A11))"),"roulette online Evolution")</f>
        <v>roulette online Evolution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""&amp;$A11))"),"online slots Evolution")</f>
        <v>online slots Evolution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""&amp;$A11))"),"slot games Evolution")</f>
        <v>slot games Evolution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""&amp;$A11))"),"casino slots Evolution")</f>
        <v>casino slots Evolution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""&amp;$A11))"),"demo casino games Evolution")</f>
        <v>demo casino games Evolution</v>
      </c>
      <c r="L11" s="13"/>
      <c r="M11" s="13" t="str">
        <f>IFERROR(__xludf.DUMMYFUNCTION("""COMPUTED_VALUE"""),"casino slots bahamas")</f>
        <v>casino slots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271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""&amp;$A12))"),"crazy time Pragmatic Play")</f>
        <v>crazy time Pragmatic Play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""&amp;$A12))"),"crazy time game Pragmatic Play")</f>
        <v>crazy time game Pragmatic Play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""&amp;$A12))"),"online blackjack Pragmatic Play")</f>
        <v>online blackjack Pragmatic Play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""&amp;$A12))"),"blackjack online Pragmatic Play")</f>
        <v>blackjack online Pragmatic Play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""&amp;$A12))"),"online roulette Pragmatic Play")</f>
        <v>online roulette Pragmatic Play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""&amp;$A12))"),"roulette online Pragmatic Play")</f>
        <v>roulette online Pragmatic Play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""&amp;$A12))"),"online slots Pragmatic Play")</f>
        <v>online slots Pragmatic Play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""&amp;$A12))"),"slot games Pragmatic Play")</f>
        <v>slot games Pragmatic Play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""&amp;$A12))"),"casino slots Pragmatic Play")</f>
        <v>casino slots Pragmatic Play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""&amp;$A12))"),"demo casino games Pragmatic Play")</f>
        <v>demo casino games Pragmatic Play</v>
      </c>
      <c r="L12" s="13"/>
      <c r="M12" s="13" t="str">
        <f>IFERROR(__xludf.DUMMYFUNCTION("""COMPUTED_VALUE"""),"demo casino games bahamas")</f>
        <v>demo casino games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58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""&amp;$A13))"),"crazy time rules")</f>
        <v>crazy time rules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""&amp;$A13))"),"crazy time game rules")</f>
        <v>crazy time game rules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""&amp;$A13))"),"online blackjack rules")</f>
        <v>online blackjack rules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""&amp;$A13))"),"blackjack online rules")</f>
        <v>blackjack online rules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""&amp;$A13))"),"online roulette rules")</f>
        <v>online roulette rules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""&amp;$A13))"),"roulette online rules")</f>
        <v>roulette online rules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""&amp;$A13))"),"online slots rules")</f>
        <v>online slots rules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""&amp;$A13))"),"slot games rules")</f>
        <v>slot games rules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""&amp;$A13))"),"casino slots rules")</f>
        <v>casino slots rules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""&amp;$A13))"),"demo casino games rules")</f>
        <v>demo casino games rules</v>
      </c>
      <c r="L13" s="13"/>
      <c r="M13" s="13" t="str">
        <f>IFERROR(__xludf.DUMMYFUNCTION("""COMPUTED_VALUE"""),"crazy time online")</f>
        <v>crazy time online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272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""&amp;$A14))"),"crazy time strategy")</f>
        <v>crazy time strategy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""&amp;$A14))"),"crazy time game strategy")</f>
        <v>crazy time game strategy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""&amp;$A14))"),"online blackjack strategy")</f>
        <v>online blackjack strategy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""&amp;$A14))"),"blackjack online strategy")</f>
        <v>blackjack online strategy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""&amp;$A14))"),"online roulette strategy")</f>
        <v>online roulette strategy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""&amp;$A14))"),"roulette online strategy")</f>
        <v>roulette online strategy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""&amp;$A14))"),"online slots strategy")</f>
        <v>online slots strategy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""&amp;$A14))"),"slot games strategy")</f>
        <v>slot games strategy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""&amp;$A14))"),"casino slots strategy")</f>
        <v>casino slots strategy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""&amp;$A14))"),"demo casino games strategy")</f>
        <v>demo casino games strategy</v>
      </c>
      <c r="L14" s="13"/>
      <c r="M14" s="13" t="str">
        <f>IFERROR(__xludf.DUMMYFUNCTION("""COMPUTED_VALUE"""),"crazy time game online")</f>
        <v>crazy time game online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142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""&amp;$A15))"),"crazy time tips")</f>
        <v>crazy time tips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""&amp;$A15))"),"crazy time game tips")</f>
        <v>crazy time game tips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""&amp;$A15))"),"online blackjack tips")</f>
        <v>online blackjack tips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""&amp;$A15))"),"blackjack online tips")</f>
        <v>blackjack online tips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""&amp;$A15))"),"online roulette tips")</f>
        <v>online roulette tips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""&amp;$A15))"),"roulette online tips")</f>
        <v>roulette online tips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""&amp;$A15))"),"online slots tips")</f>
        <v>online slots tips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""&amp;$A15))"),"slot games tips")</f>
        <v>slot games tips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""&amp;$A15))"),"casino slots tips")</f>
        <v>casino slots tips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""&amp;$A15))"),"demo casino games tips")</f>
        <v>demo casino games tips</v>
      </c>
      <c r="L15" s="13"/>
      <c r="M15" s="13" t="str">
        <f>IFERROR(__xludf.DUMMYFUNCTION("""COMPUTED_VALUE"""),"online blackjack")</f>
        <v>online blackjack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130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""&amp;$A16))"),"crazy time demo")</f>
        <v>crazy time demo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""&amp;$A16))"),"crazy time game demo")</f>
        <v>crazy time game demo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""&amp;$A16))"),"online blackjack demo")</f>
        <v>online blackjack demo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""&amp;$A16))"),"blackjack online demo")</f>
        <v>blackjack online demo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""&amp;$A16))"),"online roulette demo")</f>
        <v>online roulette demo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""&amp;$A16))"),"roulette online demo")</f>
        <v>roulette online demo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""&amp;$A16))"),"online slots demo")</f>
        <v>online slots demo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""&amp;$A16))"),"slot games demo")</f>
        <v>slot games demo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""&amp;$A16))"),"casino slots demo")</f>
        <v>casino slots demo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""&amp;$A16))"),"demo casino games")</f>
        <v>demo casino games</v>
      </c>
      <c r="L16" s="13"/>
      <c r="M16" s="13" t="str">
        <f>IFERROR(__xludf.DUMMYFUNCTION("""COMPUTED_VALUE"""),"blackjack online")</f>
        <v>blackjack online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120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""&amp;$A17))"),"crazy time free demo")</f>
        <v>crazy time free demo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""&amp;$A17))"),"crazy time game free demo")</f>
        <v>crazy time game free demo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""&amp;$A17))"),"online blackjack free demo")</f>
        <v>online blackjack free demo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""&amp;$A17))"),"blackjack online free demo")</f>
        <v>blackjack online free demo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""&amp;$A17))"),"online roulette free demo")</f>
        <v>online roulette free demo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""&amp;$A17))"),"roulette online free demo")</f>
        <v>roulette online free demo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""&amp;$A17))"),"online slots free demo")</f>
        <v>online slots free demo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""&amp;$A17))"),"slot games free demo")</f>
        <v>slot games free demo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""&amp;$A17))"),"casino slots free demo")</f>
        <v>casino slots free demo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""&amp;$A17))"),"demo casino games free demo")</f>
        <v>demo casino games free demo</v>
      </c>
      <c r="L17" s="13"/>
      <c r="M17" s="13" t="str">
        <f>IFERROR(__xludf.DUMMYFUNCTION("""COMPUTED_VALUE"""),"online roulette")</f>
        <v>online roulette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273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""&amp;$A18))"),"crazy time free")</f>
        <v>crazy time free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""&amp;$A18))"),"crazy time game free")</f>
        <v>crazy time game free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""&amp;$A18))"),"online blackjack free")</f>
        <v>online blackjack free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""&amp;$A18))"),"blackjack online free")</f>
        <v>blackjack online free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""&amp;$A18))"),"online roulette free")</f>
        <v>online roulette free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""&amp;$A18))"),"roulette online free")</f>
        <v>roulette online free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""&amp;$A18))"),"online slots free")</f>
        <v>online slots free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""&amp;$A18))"),"slot games free")</f>
        <v>slot games free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""&amp;$A18))"),"casino slots free")</f>
        <v>casino slots free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""&amp;$A18))"),"demo casino games free")</f>
        <v>demo casino games free</v>
      </c>
      <c r="L18" s="13"/>
      <c r="M18" s="13" t="str">
        <f>IFERROR(__xludf.DUMMYFUNCTION("""COMPUTED_VALUE"""),"roulette online")</f>
        <v>roulette online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137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""&amp;$A19))"),"crazy time bonus")</f>
        <v>crazy time bonus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""&amp;$A19))"),"crazy time game bonus")</f>
        <v>crazy time game bonus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""&amp;$A19))"),"online blackjack bonus")</f>
        <v>online blackjack bonus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""&amp;$A19))"),"blackjack online bonus")</f>
        <v>blackjack online bonus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""&amp;$A19))"),"online roulette bonus")</f>
        <v>online roulette bonus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""&amp;$A19))"),"roulette online bonus")</f>
        <v>roulette online bonus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""&amp;$A19))"),"online slots bonus")</f>
        <v>online slots bonus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""&amp;$A19))"),"slot games bonus")</f>
        <v>slot games bonus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""&amp;$A19))"),"casino slots bonus")</f>
        <v>casino slots bonus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""&amp;$A19))"),"demo casino games bonus")</f>
        <v>demo casino games bonus</v>
      </c>
      <c r="L19" s="13"/>
      <c r="M19" s="13" t="str">
        <f>IFERROR(__xludf.DUMMYFUNCTION("""COMPUTED_VALUE"""),"online slots")</f>
        <v>online slots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163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""&amp;$A20))"),"crazy time jackpot")</f>
        <v>crazy time jackpot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""&amp;$A20))"),"crazy time game jackpot")</f>
        <v>crazy time game jackpot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""&amp;$A20))"),"online blackjack jackpot")</f>
        <v>online blackjack jackpot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""&amp;$A20))"),"blackjack online jackpot")</f>
        <v>blackjack online jackpot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""&amp;$A20))"),"online roulette jackpot")</f>
        <v>online roulette jackpot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""&amp;$A20))"),"roulette online jackpot")</f>
        <v>roulette online jackpot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""&amp;$A20))"),"online slots jackpot")</f>
        <v>online slots jackpot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""&amp;$A20))"),"slot games jackpot")</f>
        <v>slot games jackpot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""&amp;$A20))"),"casino slots jackpot")</f>
        <v>casino slots jackpot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""&amp;$A20))"),"demo casino games jackpot")</f>
        <v>demo casino games jackpot</v>
      </c>
      <c r="L20" s="13"/>
      <c r="M20" s="13" t="str">
        <f>IFERROR(__xludf.DUMMYFUNCTION("""COMPUTED_VALUE"""),"slot games online")</f>
        <v>slot games online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63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""&amp;$A21))"),"crazy time best")</f>
        <v>crazy time best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""&amp;$A21))"),"crazy time game best")</f>
        <v>crazy time game best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""&amp;$A21))"),"online blackjack best")</f>
        <v>online blackjack best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""&amp;$A21))"),"blackjack online best")</f>
        <v>blackjack online best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""&amp;$A21))"),"online roulette best")</f>
        <v>online roulette best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""&amp;$A21))"),"roulette online best")</f>
        <v>roulette online best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""&amp;$A21))"),"online slots best")</f>
        <v>online slots best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""&amp;$A21))"),"slot games best")</f>
        <v>slot games best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""&amp;$A21))"),"casino slots best")</f>
        <v>casino slots best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""&amp;$A21))"),"demo casino games best")</f>
        <v>demo casino games best</v>
      </c>
      <c r="L21" s="13"/>
      <c r="M21" s="13" t="str">
        <f>IFERROR(__xludf.DUMMYFUNCTION("""COMPUTED_VALUE"""),"casino slots online")</f>
        <v>casino slots online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173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""&amp;$A22))"),"crazy time review")</f>
        <v>crazy time review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""&amp;$A22))"),"crazy time game review")</f>
        <v>crazy time game review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""&amp;$A22))"),"online blackjack review")</f>
        <v>online blackjack review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""&amp;$A22))"),"blackjack online review")</f>
        <v>blackjack online review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""&amp;$A22))"),"online roulette review")</f>
        <v>online roulette review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""&amp;$A22))"),"roulette online review")</f>
        <v>roulette online review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""&amp;$A22))"),"online slots review")</f>
        <v>online slots review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""&amp;$A22))"),"slot games review")</f>
        <v>slot games review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""&amp;$A22))"),"casino slots review")</f>
        <v>casino slots review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""&amp;$A22))"),"demo casino games review")</f>
        <v>demo casino games review</v>
      </c>
      <c r="L22" s="13"/>
      <c r="M22" s="13" t="str">
        <f>IFERROR(__xludf.DUMMYFUNCTION("""COMPUTED_VALUE"""),"demo casino games online")</f>
        <v>demo casino games online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174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""&amp;$A23))"),"crazy time reviews")</f>
        <v>crazy time reviews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""&amp;$A23))"),"crazy time game reviews")</f>
        <v>crazy time game reviews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""&amp;$A23))"),"online blackjack reviews")</f>
        <v>online blackjack reviews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""&amp;$A23))"),"blackjack online reviews")</f>
        <v>blackjack online reviews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""&amp;$A23))"),"online roulette reviews")</f>
        <v>online roulette reviews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""&amp;$A23))"),"roulette online reviews")</f>
        <v>roulette online reviews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""&amp;$A23))"),"online slots reviews")</f>
        <v>online slots reviews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""&amp;$A23))"),"slot games reviews")</f>
        <v>slot games reviews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""&amp;$A23))"),"casino slots reviews")</f>
        <v>casino slots reviews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""&amp;$A23))"),"demo casino games reviews")</f>
        <v>demo casino games reviews</v>
      </c>
      <c r="L23" s="13"/>
      <c r="M23" s="13" t="str">
        <f>IFERROR(__xludf.DUMMYFUNCTION("""COMPUTED_VALUE"""),"crazy time play online")</f>
        <v>crazy time play online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101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""&amp;$A24))"),"crazy time app")</f>
        <v>crazy time app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""&amp;$A24))"),"crazy time game app")</f>
        <v>crazy time game app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""&amp;$A24))"),"online blackjack app")</f>
        <v>online blackjack app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""&amp;$A24))"),"blackjack online app")</f>
        <v>blackjack online app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""&amp;$A24))"),"online roulette app")</f>
        <v>online roulette app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""&amp;$A24))"),"roulette online app")</f>
        <v>roulette online app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""&amp;$A24))"),"online slots app")</f>
        <v>online slots app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""&amp;$A24))"),"slot games app")</f>
        <v>slot games app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""&amp;$A24))"),"casino slots app")</f>
        <v>casino slots app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""&amp;$A24))"),"demo casino games app")</f>
        <v>demo casino games app</v>
      </c>
      <c r="L24" s="13"/>
      <c r="M24" s="13" t="str">
        <f>IFERROR(__xludf.DUMMYFUNCTION("""COMPUTED_VALUE"""),"crazy time game play online")</f>
        <v>crazy time game play online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124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""&amp;$A25))"),"crazy time login")</f>
        <v>crazy time login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""&amp;$A25))"),"crazy time game login")</f>
        <v>crazy time game login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""&amp;$A25))"),"online blackjack login")</f>
        <v>online blackjack login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""&amp;$A25))"),"blackjack online login")</f>
        <v>blackjack online login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""&amp;$A25))"),"online roulette login")</f>
        <v>online roulette login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""&amp;$A25))"),"roulette online login")</f>
        <v>roulette online login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""&amp;$A25))"),"online slots login")</f>
        <v>online slots login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""&amp;$A25))"),"slot games login")</f>
        <v>slot games login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""&amp;$A25))"),"casino slots login")</f>
        <v>casino slots login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""&amp;$A25))"),"demo casino games login")</f>
        <v>demo casino games login</v>
      </c>
      <c r="L25" s="13"/>
      <c r="M25" s="13" t="str">
        <f>IFERROR(__xludf.DUMMYFUNCTION("""COMPUTED_VALUE"""),"online blackjack play online")</f>
        <v>online blackjack play online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100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""&amp;$A26))"),"crazy time paradise games")</f>
        <v>crazy time paradise games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""&amp;$A26))"),"crazy time game paradise games")</f>
        <v>crazy time game paradise games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""&amp;$A26))"),"online blackjack paradise games")</f>
        <v>online blackjack paradise games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""&amp;$A26))"),"blackjack online paradise games")</f>
        <v>blackjack online paradise games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""&amp;$A26))"),"online roulette paradise games")</f>
        <v>online roulette paradise games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""&amp;$A26))"),"roulette online paradise games")</f>
        <v>roulette online paradise games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""&amp;$A26))"),"online slots paradise games")</f>
        <v>online slots paradise games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""&amp;$A26))"),"slot games paradise games")</f>
        <v>slot games paradise games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""&amp;$A26))"),"casino slots paradise games")</f>
        <v>casino slots paradise games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""&amp;$A26))"),"demo casino games paradise games")</f>
        <v>demo casino games paradise games</v>
      </c>
      <c r="L26" s="13"/>
      <c r="M26" s="13" t="str">
        <f>IFERROR(__xludf.DUMMYFUNCTION("""COMPUTED_VALUE"""),"blackjack online play online")</f>
        <v>blackjack online play online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79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""&amp;$A27))"),"crazy time island luck")</f>
        <v>crazy time island luck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""&amp;$A27))"),"crazy time game island luck")</f>
        <v>crazy time game island luck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""&amp;$A27))"),"online blackjack island luck")</f>
        <v>online blackjack island luck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""&amp;$A27))"),"blackjack online island luck")</f>
        <v>blackjack online island luck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""&amp;$A27))"),"online roulette island luck")</f>
        <v>online roulette island luck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""&amp;$A27))"),"roulette online island luck")</f>
        <v>roulette online island luck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""&amp;$A27))"),"online slots island luck")</f>
        <v>online slots island luck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""&amp;$A27))"),"slot games island luck")</f>
        <v>slot games island luck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""&amp;$A27))"),"casino slots island luck")</f>
        <v>casino slots island luck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""&amp;$A27))"),"demo casino games island luck")</f>
        <v>demo casino games island luck</v>
      </c>
      <c r="L27" s="13"/>
      <c r="M27" s="13" t="str">
        <f>IFERROR(__xludf.DUMMYFUNCTION("""COMPUTED_VALUE"""),"online roulette play online")</f>
        <v>online roulette play online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83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""&amp;$A28))"),"crazy time chances")</f>
        <v>crazy time chances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""&amp;$A28))"),"crazy time game chances")</f>
        <v>crazy time game chances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""&amp;$A28))"),"online blackjack chances")</f>
        <v>online blackjack chances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""&amp;$A28))"),"blackjack online chances")</f>
        <v>blackjack online chances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""&amp;$A28))"),"online roulette chances")</f>
        <v>online roulette chances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""&amp;$A28))"),"roulette online chances")</f>
        <v>roulette online chances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""&amp;$A28))"),"online slots chances")</f>
        <v>online slots chances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""&amp;$A28))"),"slot games chances")</f>
        <v>slot games chances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""&amp;$A28))"),"casino slots chances")</f>
        <v>casino slots chances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""&amp;$A28))"),"demo casino games chances")</f>
        <v>demo casino games chances</v>
      </c>
      <c r="L28" s="13"/>
      <c r="M28" s="13" t="str">
        <f>IFERROR(__xludf.DUMMYFUNCTION("""COMPUTED_VALUE"""),"roulette online play online")</f>
        <v>roulette online play online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86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""&amp;$A29))"),"crazy time ultra games")</f>
        <v>crazy time ultra games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""&amp;$A29))"),"crazy time game ultra games")</f>
        <v>crazy time game ultra games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""&amp;$A29))"),"online blackjack ultra games")</f>
        <v>online blackjack ultra games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""&amp;$A29))"),"blackjack online ultra games")</f>
        <v>blackjack online ultra games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""&amp;$A29))"),"online roulette ultra games")</f>
        <v>online roulette ultra games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""&amp;$A29))"),"roulette online ultra games")</f>
        <v>roulette online ultra games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""&amp;$A29))"),"online slots ultra games")</f>
        <v>online slots ultra games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""&amp;$A29))"),"slot games ultra games")</f>
        <v>slot games ultra games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""&amp;$A29))"),"casino slots ultra games")</f>
        <v>casino slots ultra games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""&amp;$A29))"),"demo casino games ultra games")</f>
        <v>demo casino games ultra games</v>
      </c>
      <c r="L29" s="13"/>
      <c r="M29" s="13" t="str">
        <f>IFERROR(__xludf.DUMMYFUNCTION("""COMPUTED_VALUE"""),"online slots play online")</f>
        <v>online slots play online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274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""&amp;$A30))"),"crazy time sweet bonanza")</f>
        <v>crazy time sweet bonanza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""&amp;$A30))"),"crazy time game sweet bonanza")</f>
        <v>crazy time game sweet bonanza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""&amp;$A30))"),"online blackjack sweet bonanza")</f>
        <v>online blackjack sweet bonanza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""&amp;$A30))"),"blackjack online sweet bonanza")</f>
        <v>blackjack online sweet bonanza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""&amp;$A30))"),"online roulette sweet bonanza")</f>
        <v>online roulette sweet bonanza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""&amp;$A30))"),"roulette online sweet bonanza")</f>
        <v>roulette online sweet bonanza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""&amp;$A30))"),"online slots sweet bonanza")</f>
        <v>online slots sweet bonanza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""&amp;$A30))"),"slot games sweet bonanza")</f>
        <v>slot games sweet bonanza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""&amp;$A30))"),"casino slots sweet bonanza")</f>
        <v>casino slots sweet bonanza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""&amp;$A30))"),"demo casino games sweet bonanza")</f>
        <v>demo casino games sweet bonanza</v>
      </c>
      <c r="L30" s="13"/>
      <c r="M30" s="13" t="str">
        <f>IFERROR(__xludf.DUMMYFUNCTION("""COMPUTED_VALUE"""),"slot games play online")</f>
        <v>slot games play online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275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""&amp;$A31))"),"crazy time gates of olympus")</f>
        <v>crazy time gates of olympus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""&amp;$A31))"),"crazy time game gates of olympus")</f>
        <v>crazy time game gates of olympus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""&amp;$A31))"),"online blackjack gates of olympus")</f>
        <v>online blackjack gates of olympus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""&amp;$A31))"),"blackjack online gates of olympus")</f>
        <v>blackjack online gates of olympus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""&amp;$A31))"),"online roulette gates of olympus")</f>
        <v>online roulette gates of olympus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""&amp;$A31))"),"roulette online gates of olympus")</f>
        <v>roulette online gates of olympus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""&amp;$A31))"),"online slots gates of olympus")</f>
        <v>online slots gates of olympus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""&amp;$A31))"),"slot games gates of olympus")</f>
        <v>slot games gates of olympus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""&amp;$A31))"),"casino slots gates of olympus")</f>
        <v>casino slots gates of olympus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""&amp;$A31))"),"demo casino games gates of olympus")</f>
        <v>demo casino games gates of olympus</v>
      </c>
      <c r="L31" s="13"/>
      <c r="M31" s="13" t="str">
        <f>IFERROR(__xludf.DUMMYFUNCTION("""COMPUTED_VALUE"""),"casino slots play online")</f>
        <v>casino slots play online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276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""&amp;$A32))"),"crazy time big bass bonanza")</f>
        <v>crazy time big bass bonanza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""&amp;$A32))"),"crazy time game big bass bonanza")</f>
        <v>crazy time game big bass bonanza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""&amp;$A32))"),"online blackjack big bass bonanza")</f>
        <v>online blackjack big bass bonanza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""&amp;$A32))"),"blackjack online big bass bonanza")</f>
        <v>blackjack online big bass bonanza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""&amp;$A32))"),"online roulette big bass bonanza")</f>
        <v>online roulette big bass bonanza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""&amp;$A32))"),"roulette online big bass bonanza")</f>
        <v>roulette online big bass bonanza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""&amp;$A32))"),"online slots big bass bonanza")</f>
        <v>online slots big bass bonanza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""&amp;$A32))"),"slot games big bass bonanza")</f>
        <v>slot games big bass bonanza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""&amp;$A32))"),"casino slots big bass bonanza")</f>
        <v>casino slots big bass bonanza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""&amp;$A32))"),"demo casino games big bass bonanza")</f>
        <v>demo casino games big bass bonanza</v>
      </c>
      <c r="L32" s="13"/>
      <c r="M32" s="13" t="str">
        <f>IFERROR(__xludf.DUMMYFUNCTION("""COMPUTED_VALUE"""),"demo casino games play online")</f>
        <v>demo casino games play online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277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""&amp;$A33))"),"crazy time lightning roulette")</f>
        <v>crazy time lightning roulette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""&amp;$A33))"),"crazy time game lightning roulette")</f>
        <v>crazy time game lightning roulette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""&amp;$A33))"),"online blackjack lightning roulette")</f>
        <v>online blackjack lightning roulette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""&amp;$A33))"),"blackjack online lightning roulette")</f>
        <v>blackjack online lightning roulette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""&amp;$A33))"),"online roulette lightning roulette")</f>
        <v>online roulette lightning roulette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""&amp;$A33))"),"roulette online lightning roulette")</f>
        <v>roulette online lightning roulette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""&amp;$A33))"),"online slots lightning roulette")</f>
        <v>online slots lightning roulette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""&amp;$A33))"),"slot games lightning roulette")</f>
        <v>slot games lightning roulette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""&amp;$A33))"),"casino slots lightning roulette")</f>
        <v>casino slots lightning roulette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""&amp;$A33))"),"demo casino games lightning roulette")</f>
        <v>demo casino games lightning roulette</v>
      </c>
      <c r="L33" s="13"/>
      <c r="M33" s="13" t="str">
        <f>IFERROR(__xludf.DUMMYFUNCTION("""COMPUTED_VALUE"""),"crazy time real money")</f>
        <v>crazy time real money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278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""&amp;$A34))"),"crazy time monopoly live")</f>
        <v>crazy time monopoly live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""&amp;$A34))"),"crazy time game monopoly live")</f>
        <v>crazy time game monopoly live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""&amp;$A34))"),"online blackjack monopoly live")</f>
        <v>online blackjack monopoly live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""&amp;$A34))"),"blackjack online monopoly live")</f>
        <v>blackjack online monopoly live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""&amp;$A34))"),"online roulette monopoly live")</f>
        <v>online roulette monopoly live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""&amp;$A34))"),"roulette online monopoly live")</f>
        <v>roulette online monopoly live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""&amp;$A34))"),"online slots monopoly live")</f>
        <v>online slots monopoly live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""&amp;$A34))"),"slot games monopoly live")</f>
        <v>slot games monopoly live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""&amp;$A34))"),"casino slots monopoly live")</f>
        <v>casino slots monopoly live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""&amp;$A34))"),"demo casino games monopoly live")</f>
        <v>demo casino games monopoly live</v>
      </c>
      <c r="L34" s="13"/>
      <c r="M34" s="13" t="str">
        <f>IFERROR(__xludf.DUMMYFUNCTION("""COMPUTED_VALUE"""),"crazy time game real money")</f>
        <v>crazy time game real money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280</v>
      </c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""&amp;$A35))"),"crazy time dream catcher")</f>
        <v>crazy time dream catcher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""&amp;$A35))"),"crazy time game dream catcher")</f>
        <v>crazy time game dream catcher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""&amp;$A35))"),"online blackjack dream catcher")</f>
        <v>online blackjack dream catcher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""&amp;$A35))"),"blackjack online dream catcher")</f>
        <v>blackjack online dream catcher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""&amp;$A35))"),"online roulette dream catcher")</f>
        <v>online roulette dream catcher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""&amp;$A35))"),"roulette online dream catcher")</f>
        <v>roulette online dream catcher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""&amp;$A35))"),"online slots dream catcher")</f>
        <v>online slots dream catcher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""&amp;$A35))"),"slot games dream catcher")</f>
        <v>slot games dream catcher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""&amp;$A35))"),"casino slots dream catcher")</f>
        <v>casino slots dream catcher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""&amp;$A35))"),"demo casino games dream catcher")</f>
        <v>demo casino games dream catcher</v>
      </c>
      <c r="L35" s="13"/>
      <c r="M35" s="13" t="str">
        <f>IFERROR(__xludf.DUMMYFUNCTION("""COMPUTED_VALUE"""),"online blackjack real money")</f>
        <v>online blackjack real money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54</v>
      </c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""&amp;$A36))"),"crazy time caribbean")</f>
        <v>crazy time caribbean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""&amp;$A36))"),"crazy time game caribbean")</f>
        <v>crazy time game caribbean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""&amp;$A36))"),"online blackjack caribbean")</f>
        <v>online blackjack caribbean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""&amp;$A36))"),"blackjack online caribbean")</f>
        <v>blackjack online caribbean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""&amp;$A36))"),"online roulette caribbean")</f>
        <v>online roulette caribbean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""&amp;$A36))"),"roulette online caribbean")</f>
        <v>roulette online caribbean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""&amp;$A36))"),"online slots caribbean")</f>
        <v>online slots caribbean</v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""&amp;$A36))"),"slot games caribbean")</f>
        <v>slot games caribbean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""&amp;$A36))"),"casino slots caribbean")</f>
        <v>casino slots caribbean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""&amp;$A36))"),"demo casino games caribbean")</f>
        <v>demo casino games caribbean</v>
      </c>
      <c r="L36" s="13"/>
      <c r="M36" s="13" t="str">
        <f>IFERROR(__xludf.DUMMYFUNCTION("""COMPUTED_VALUE"""),"blackjack online real money")</f>
        <v>blackjack online real money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76</v>
      </c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""&amp;$A37))"),"crazy time trusted")</f>
        <v>crazy time trusted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""&amp;$A37))"),"crazy time game trusted")</f>
        <v>crazy time game trusted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""&amp;$A37))"),"online blackjack trusted")</f>
        <v>online blackjack trusted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""&amp;$A37))"),"blackjack online trusted")</f>
        <v>blackjack online trusted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""&amp;$A37))"),"online roulette trusted")</f>
        <v>online roulette trusted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""&amp;$A37))"),"roulette online trusted")</f>
        <v>roulette online trusted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""&amp;$A37))"),"online slots trusted")</f>
        <v>online slots trusted</v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""&amp;$A37))"),"slot games trusted")</f>
        <v>slot games trusted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""&amp;$A37))"),"casino slots trusted")</f>
        <v>casino slots trusted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""&amp;$A37))"),"demo casino games trusted")</f>
        <v>demo casino games trusted</v>
      </c>
      <c r="L37" s="13"/>
      <c r="M37" s="13" t="str">
        <f>IFERROR(__xludf.DUMMYFUNCTION("""COMPUTED_VALUE"""),"online roulette real money")</f>
        <v>online roulette real money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 t="s">
        <v>87</v>
      </c>
      <c r="B38" s="13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""&amp;$A38))"),"crazy time licensed")</f>
        <v>crazy time licensed</v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""&amp;$A38))"),"crazy time game licensed")</f>
        <v>crazy time game licensed</v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""&amp;$A38))"),"online blackjack licensed")</f>
        <v>online blackjack licensed</v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""&amp;$A38))"),"blackjack online licensed")</f>
        <v>blackjack online licensed</v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""&amp;$A38))"),"online roulette licensed")</f>
        <v>online roulette licensed</v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""&amp;$A38))"),"roulette online licensed")</f>
        <v>roulette online licensed</v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""&amp;$A38))"),"online slots licensed")</f>
        <v>online slots licensed</v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""&amp;$A38))"),"slot games licensed")</f>
        <v>slot games licensed</v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""&amp;$A38))"),"casino slots licensed")</f>
        <v>casino slots licensed</v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""&amp;$A38))"),"demo casino games licensed")</f>
        <v>demo casino games licensed</v>
      </c>
      <c r="L38" s="13"/>
      <c r="M38" s="13" t="str">
        <f>IFERROR(__xludf.DUMMYFUNCTION("""COMPUTED_VALUE"""),"roulette online real money")</f>
        <v>roulette online real money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 t="s">
        <v>151</v>
      </c>
      <c r="B39" s="13" t="str">
        <f>IFERROR(__xludf.DUMMYFUNCTION("IF($A39="""","""",IF(OR(REGEXMATCH(LOWER(B$1),""(^| )""&amp;LOWER($A39)&amp;""($| )""),AND(RIGHT(LOWER($A39),1)=""s"",REGEXMATCH(LOWER(B$1),""(^| )""&amp;LEFT(LOWER($A39),LEN($A39)-1)&amp;""($| )""))),B$1,B$1&amp;"" ""&amp;$A39))"),"crazy time free spins")</f>
        <v>crazy time free spins</v>
      </c>
      <c r="C39" s="13" t="str">
        <f>IFERROR(__xludf.DUMMYFUNCTION("IF($A39="""","""",IF(OR(REGEXMATCH(LOWER(C$1),""(^| )""&amp;LOWER($A39)&amp;""($| )""),AND(RIGHT(LOWER($A39),1)=""s"",REGEXMATCH(LOWER(C$1),""(^| )""&amp;LEFT(LOWER($A39),LEN($A39)-1)&amp;""($| )""))),C$1,C$1&amp;"" ""&amp;$A39))"),"crazy time game free spins")</f>
        <v>crazy time game free spins</v>
      </c>
      <c r="D39" s="13" t="str">
        <f>IFERROR(__xludf.DUMMYFUNCTION("IF($A39="""","""",IF(OR(REGEXMATCH(LOWER(D$1),""(^| )""&amp;LOWER($A39)&amp;""($| )""),AND(RIGHT(LOWER($A39),1)=""s"",REGEXMATCH(LOWER(D$1),""(^| )""&amp;LEFT(LOWER($A39),LEN($A39)-1)&amp;""($| )""))),D$1,D$1&amp;"" ""&amp;$A39))"),"online blackjack free spins")</f>
        <v>online blackjack free spins</v>
      </c>
      <c r="E39" s="13" t="str">
        <f>IFERROR(__xludf.DUMMYFUNCTION("IF($A39="""","""",IF(OR(REGEXMATCH(LOWER(E$1),""(^| )""&amp;LOWER($A39)&amp;""($| )""),AND(RIGHT(LOWER($A39),1)=""s"",REGEXMATCH(LOWER(E$1),""(^| )""&amp;LEFT(LOWER($A39),LEN($A39)-1)&amp;""($| )""))),E$1,E$1&amp;"" ""&amp;$A39))"),"blackjack online free spins")</f>
        <v>blackjack online free spins</v>
      </c>
      <c r="F39" s="13" t="str">
        <f>IFERROR(__xludf.DUMMYFUNCTION("IF($A39="""","""",IF(OR(REGEXMATCH(LOWER(F$1),""(^| )""&amp;LOWER($A39)&amp;""($| )""),AND(RIGHT(LOWER($A39),1)=""s"",REGEXMATCH(LOWER(F$1),""(^| )""&amp;LEFT(LOWER($A39),LEN($A39)-1)&amp;""($| )""))),F$1,F$1&amp;"" ""&amp;$A39))"),"online roulette free spins")</f>
        <v>online roulette free spins</v>
      </c>
      <c r="G39" s="13" t="str">
        <f>IFERROR(__xludf.DUMMYFUNCTION("IF($A39="""","""",IF(OR(REGEXMATCH(LOWER(G$1),""(^| )""&amp;LOWER($A39)&amp;""($| )""),AND(RIGHT(LOWER($A39),1)=""s"",REGEXMATCH(LOWER(G$1),""(^| )""&amp;LEFT(LOWER($A39),LEN($A39)-1)&amp;""($| )""))),G$1,G$1&amp;"" ""&amp;$A39))"),"roulette online free spins")</f>
        <v>roulette online free spins</v>
      </c>
      <c r="H39" s="13" t="str">
        <f>IFERROR(__xludf.DUMMYFUNCTION("IF($A39="""","""",IF(OR(REGEXMATCH(LOWER(H$1),""(^| )""&amp;LOWER($A39)&amp;""($| )""),AND(RIGHT(LOWER($A39),1)=""s"",REGEXMATCH(LOWER(H$1),""(^| )""&amp;LEFT(LOWER($A39),LEN($A39)-1)&amp;""($| )""))),H$1,H$1&amp;"" ""&amp;$A39))"),"online slots free spins")</f>
        <v>online slots free spins</v>
      </c>
      <c r="I39" s="13" t="str">
        <f>IFERROR(__xludf.DUMMYFUNCTION("IF($A39="""","""",IF(OR(REGEXMATCH(LOWER(I$1),""(^| )""&amp;LOWER($A39)&amp;""($| )""),AND(RIGHT(LOWER($A39),1)=""s"",REGEXMATCH(LOWER(I$1),""(^| )""&amp;LEFT(LOWER($A39),LEN($A39)-1)&amp;""($| )""))),I$1,I$1&amp;"" ""&amp;$A39))"),"slot games free spins")</f>
        <v>slot games free spins</v>
      </c>
      <c r="J39" s="13" t="str">
        <f>IFERROR(__xludf.DUMMYFUNCTION("IF($A39="""","""",IF(OR(REGEXMATCH(LOWER(J$1),""(^| )""&amp;LOWER($A39)&amp;""($| )""),AND(RIGHT(LOWER($A39),1)=""s"",REGEXMATCH(LOWER(J$1),""(^| )""&amp;LEFT(LOWER($A39),LEN($A39)-1)&amp;""($| )""))),J$1,J$1&amp;"" ""&amp;$A39))"),"casino slots free spins")</f>
        <v>casino slots free spins</v>
      </c>
      <c r="K39" s="13" t="str">
        <f>IFERROR(__xludf.DUMMYFUNCTION("IF($A39="""","""",IF(OR(REGEXMATCH(LOWER(K$1),""(^| )""&amp;LOWER($A39)&amp;""($| )""),AND(RIGHT(LOWER($A39),1)=""s"",REGEXMATCH(LOWER(K$1),""(^| )""&amp;LEFT(LOWER($A39),LEN($A39)-1)&amp;""($| )""))),K$1,K$1&amp;"" ""&amp;$A39))"),"demo casino games free spins")</f>
        <v>demo casino games free spins</v>
      </c>
      <c r="L39" s="13"/>
      <c r="M39" s="13" t="str">
        <f>IFERROR(__xludf.DUMMYFUNCTION("""COMPUTED_VALUE"""),"online slots real money")</f>
        <v>online slots real money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IFERROR(__xludf.DUMMYFUNCTION("""COMPUTED_VALUE"""),"slot games real money")</f>
        <v>slot games real money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IFERROR(__xludf.DUMMYFUNCTION("""COMPUTED_VALUE"""),"casino slots real money")</f>
        <v>casino slots real money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IFERROR(__xludf.DUMMYFUNCTION("""COMPUTED_VALUE"""),"demo casino games real money")</f>
        <v>demo casino games real money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IFERROR(__xludf.DUMMYFUNCTION("""COMPUTED_VALUE"""),"crazy time mobile")</f>
        <v>crazy time mobile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IFERROR(__xludf.DUMMYFUNCTION("""COMPUTED_VALUE"""),"crazy time game mobile")</f>
        <v>crazy time game mobile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IFERROR(__xludf.DUMMYFUNCTION("""COMPUTED_VALUE"""),"online blackjack mobile")</f>
        <v>online blackjack mobile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IFERROR(__xludf.DUMMYFUNCTION("""COMPUTED_VALUE"""),"blackjack online mobile")</f>
        <v>blackjack online mobile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IFERROR(__xludf.DUMMYFUNCTION("""COMPUTED_VALUE"""),"online roulette mobile")</f>
        <v>online roulette mobile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IFERROR(__xludf.DUMMYFUNCTION("""COMPUTED_VALUE"""),"roulette online mobile")</f>
        <v>roulette online mobile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IFERROR(__xludf.DUMMYFUNCTION("""COMPUTED_VALUE"""),"online slots mobile")</f>
        <v>online slots mobile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IFERROR(__xludf.DUMMYFUNCTION("""COMPUTED_VALUE"""),"slot games mobile")</f>
        <v>slot games mobile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IFERROR(__xludf.DUMMYFUNCTION("""COMPUTED_VALUE"""),"casino slots mobile")</f>
        <v>casino slots mobile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IFERROR(__xludf.DUMMYFUNCTION("""COMPUTED_VALUE"""),"demo casino games mobile")</f>
        <v>demo casino games mobile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IFERROR(__xludf.DUMMYFUNCTION("""COMPUTED_VALUE"""),"crazy time casino")</f>
        <v>crazy time casino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IFERROR(__xludf.DUMMYFUNCTION("""COMPUTED_VALUE"""),"crazy time game casino")</f>
        <v>crazy time game casino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IFERROR(__xludf.DUMMYFUNCTION("""COMPUTED_VALUE"""),"online blackjack casino")</f>
        <v>online blackjack casino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IFERROR(__xludf.DUMMYFUNCTION("""COMPUTED_VALUE"""),"blackjack online casino")</f>
        <v>blackjack online casino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IFERROR(__xludf.DUMMYFUNCTION("""COMPUTED_VALUE"""),"online roulette casino")</f>
        <v>online roulette casino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IFERROR(__xludf.DUMMYFUNCTION("""COMPUTED_VALUE"""),"roulette online casino")</f>
        <v>roulette online casino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IFERROR(__xludf.DUMMYFUNCTION("""COMPUTED_VALUE"""),"online slots casino")</f>
        <v>online slots casino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IFERROR(__xludf.DUMMYFUNCTION("""COMPUTED_VALUE"""),"slot games casino")</f>
        <v>slot games casino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IFERROR(__xludf.DUMMYFUNCTION("""COMPUTED_VALUE"""),"casino slots")</f>
        <v>casino slots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IFERROR(__xludf.DUMMYFUNCTION("""COMPUTED_VALUE"""),"demo casino games")</f>
        <v>demo casino games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IFERROR(__xludf.DUMMYFUNCTION("""COMPUTED_VALUE"""),"crazy time live casino")</f>
        <v>crazy time live casino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IFERROR(__xludf.DUMMYFUNCTION("""COMPUTED_VALUE"""),"crazy time game live casino")</f>
        <v>crazy time game live casino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IFERROR(__xludf.DUMMYFUNCTION("""COMPUTED_VALUE"""),"online blackjack live casino")</f>
        <v>online blackjack live casino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IFERROR(__xludf.DUMMYFUNCTION("""COMPUTED_VALUE"""),"blackjack online live casino")</f>
        <v>blackjack online live casino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IFERROR(__xludf.DUMMYFUNCTION("""COMPUTED_VALUE"""),"online roulette live casino")</f>
        <v>online roulette live casino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IFERROR(__xludf.DUMMYFUNCTION("""COMPUTED_VALUE"""),"roulette online live casino")</f>
        <v>roulette online live casino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IFERROR(__xludf.DUMMYFUNCTION("""COMPUTED_VALUE"""),"online slots live casino")</f>
        <v>online slots live casino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IFERROR(__xludf.DUMMYFUNCTION("""COMPUTED_VALUE"""),"slot games live casino")</f>
        <v>slot games live casino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IFERROR(__xludf.DUMMYFUNCTION("""COMPUTED_VALUE"""),"casino slots live casino")</f>
        <v>casino slots live casino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IFERROR(__xludf.DUMMYFUNCTION("""COMPUTED_VALUE"""),"demo casino games live casino")</f>
        <v>demo casino games live casino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IFERROR(__xludf.DUMMYFUNCTION("""COMPUTED_VALUE"""),"crazy time live dealer")</f>
        <v>crazy time live dealer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IFERROR(__xludf.DUMMYFUNCTION("""COMPUTED_VALUE"""),"crazy time game live dealer")</f>
        <v>crazy time game live dealer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IFERROR(__xludf.DUMMYFUNCTION("""COMPUTED_VALUE"""),"online blackjack live dealer")</f>
        <v>online blackjack live dealer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IFERROR(__xludf.DUMMYFUNCTION("""COMPUTED_VALUE"""),"blackjack online live dealer")</f>
        <v>blackjack online live dealer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IFERROR(__xludf.DUMMYFUNCTION("""COMPUTED_VALUE"""),"online roulette live dealer")</f>
        <v>online roulette live dealer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IFERROR(__xludf.DUMMYFUNCTION("""COMPUTED_VALUE"""),"roulette online live dealer")</f>
        <v>roulette online live dealer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IFERROR(__xludf.DUMMYFUNCTION("""COMPUTED_VALUE"""),"online slots live dealer")</f>
        <v>online slots live dealer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IFERROR(__xludf.DUMMYFUNCTION("""COMPUTED_VALUE"""),"slot games live dealer")</f>
        <v>slot games live dealer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IFERROR(__xludf.DUMMYFUNCTION("""COMPUTED_VALUE"""),"casino slots live dealer")</f>
        <v>casino slots live dealer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IFERROR(__xludf.DUMMYFUNCTION("""COMPUTED_VALUE"""),"demo casino games live dealer")</f>
        <v>demo casino games live dealer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IFERROR(__xludf.DUMMYFUNCTION("""COMPUTED_VALUE"""),"crazy time Evolution")</f>
        <v>crazy time Evolution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IFERROR(__xludf.DUMMYFUNCTION("""COMPUTED_VALUE"""),"crazy time game Evolution")</f>
        <v>crazy time game Evolution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IFERROR(__xludf.DUMMYFUNCTION("""COMPUTED_VALUE"""),"online blackjack Evolution")</f>
        <v>online blackjack Evolution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IFERROR(__xludf.DUMMYFUNCTION("""COMPUTED_VALUE"""),"blackjack online Evolution")</f>
        <v>blackjack online Evolution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IFERROR(__xludf.DUMMYFUNCTION("""COMPUTED_VALUE"""),"online roulette Evolution")</f>
        <v>online roulette Evolution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IFERROR(__xludf.DUMMYFUNCTION("""COMPUTED_VALUE"""),"roulette online Evolution")</f>
        <v>roulette online Evolution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IFERROR(__xludf.DUMMYFUNCTION("""COMPUTED_VALUE"""),"online slots Evolution")</f>
        <v>online slots Evolution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IFERROR(__xludf.DUMMYFUNCTION("""COMPUTED_VALUE"""),"slot games Evolution")</f>
        <v>slot games Evolution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IFERROR(__xludf.DUMMYFUNCTION("""COMPUTED_VALUE"""),"casino slots Evolution")</f>
        <v>casino slots Evolution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IFERROR(__xludf.DUMMYFUNCTION("""COMPUTED_VALUE"""),"demo casino games Evolution")</f>
        <v>demo casino games Evolution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IFERROR(__xludf.DUMMYFUNCTION("""COMPUTED_VALUE"""),"crazy time Pragmatic Play")</f>
        <v>crazy time Pragmatic Play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IFERROR(__xludf.DUMMYFUNCTION("""COMPUTED_VALUE"""),"crazy time game Pragmatic Play")</f>
        <v>crazy time game Pragmatic Play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IFERROR(__xludf.DUMMYFUNCTION("""COMPUTED_VALUE"""),"online blackjack Pragmatic Play")</f>
        <v>online blackjack Pragmatic Play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IFERROR(__xludf.DUMMYFUNCTION("""COMPUTED_VALUE"""),"blackjack online Pragmatic Play")</f>
        <v>blackjack online Pragmatic Play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IFERROR(__xludf.DUMMYFUNCTION("""COMPUTED_VALUE"""),"online roulette Pragmatic Play")</f>
        <v>online roulette Pragmatic Play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IFERROR(__xludf.DUMMYFUNCTION("""COMPUTED_VALUE"""),"roulette online Pragmatic Play")</f>
        <v>roulette online Pragmatic Play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IFERROR(__xludf.DUMMYFUNCTION("""COMPUTED_VALUE"""),"online slots Pragmatic Play")</f>
        <v>online slots Pragmatic Play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IFERROR(__xludf.DUMMYFUNCTION("""COMPUTED_VALUE"""),"slot games Pragmatic Play")</f>
        <v>slot games Pragmatic Play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IFERROR(__xludf.DUMMYFUNCTION("""COMPUTED_VALUE"""),"casino slots Pragmatic Play")</f>
        <v>casino slots Pragmatic Play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IFERROR(__xludf.DUMMYFUNCTION("""COMPUTED_VALUE"""),"demo casino games Pragmatic Play")</f>
        <v>demo casino games Pragmatic Play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IFERROR(__xludf.DUMMYFUNCTION("""COMPUTED_VALUE"""),"crazy time rules")</f>
        <v>crazy time rules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IFERROR(__xludf.DUMMYFUNCTION("""COMPUTED_VALUE"""),"crazy time game rules")</f>
        <v>crazy time game rules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IFERROR(__xludf.DUMMYFUNCTION("""COMPUTED_VALUE"""),"online blackjack rules")</f>
        <v>online blackjack rules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IFERROR(__xludf.DUMMYFUNCTION("""COMPUTED_VALUE"""),"blackjack online rules")</f>
        <v>blackjack online rules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IFERROR(__xludf.DUMMYFUNCTION("""COMPUTED_VALUE"""),"online roulette rules")</f>
        <v>online roulette rules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IFERROR(__xludf.DUMMYFUNCTION("""COMPUTED_VALUE"""),"roulette online rules")</f>
        <v>roulette online rules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IFERROR(__xludf.DUMMYFUNCTION("""COMPUTED_VALUE"""),"online slots rules")</f>
        <v>online slots rules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IFERROR(__xludf.DUMMYFUNCTION("""COMPUTED_VALUE"""),"slot games rules")</f>
        <v>slot games rules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IFERROR(__xludf.DUMMYFUNCTION("""COMPUTED_VALUE"""),"casino slots rules")</f>
        <v>casino slots rules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IFERROR(__xludf.DUMMYFUNCTION("""COMPUTED_VALUE"""),"demo casino games rules")</f>
        <v>demo casino games rules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IFERROR(__xludf.DUMMYFUNCTION("""COMPUTED_VALUE"""),"crazy time strategy")</f>
        <v>crazy time strategy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IFERROR(__xludf.DUMMYFUNCTION("""COMPUTED_VALUE"""),"crazy time game strategy")</f>
        <v>crazy time game strategy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IFERROR(__xludf.DUMMYFUNCTION("""COMPUTED_VALUE"""),"online blackjack strategy")</f>
        <v>online blackjack strategy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IFERROR(__xludf.DUMMYFUNCTION("""COMPUTED_VALUE"""),"blackjack online strategy")</f>
        <v>blackjack online strategy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IFERROR(__xludf.DUMMYFUNCTION("""COMPUTED_VALUE"""),"online roulette strategy")</f>
        <v>online roulette strategy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IFERROR(__xludf.DUMMYFUNCTION("""COMPUTED_VALUE"""),"roulette online strategy")</f>
        <v>roulette online strategy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IFERROR(__xludf.DUMMYFUNCTION("""COMPUTED_VALUE"""),"online slots strategy")</f>
        <v>online slots strategy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IFERROR(__xludf.DUMMYFUNCTION("""COMPUTED_VALUE"""),"slot games strategy")</f>
        <v>slot games strategy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IFERROR(__xludf.DUMMYFUNCTION("""COMPUTED_VALUE"""),"casino slots strategy")</f>
        <v>casino slots strategy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IFERROR(__xludf.DUMMYFUNCTION("""COMPUTED_VALUE"""),"demo casino games strategy")</f>
        <v>demo casino games strategy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IFERROR(__xludf.DUMMYFUNCTION("""COMPUTED_VALUE"""),"crazy time tips")</f>
        <v>crazy time tips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IFERROR(__xludf.DUMMYFUNCTION("""COMPUTED_VALUE"""),"crazy time game tips")</f>
        <v>crazy time game tips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IFERROR(__xludf.DUMMYFUNCTION("""COMPUTED_VALUE"""),"online blackjack tips")</f>
        <v>online blackjack tips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IFERROR(__xludf.DUMMYFUNCTION("""COMPUTED_VALUE"""),"blackjack online tips")</f>
        <v>blackjack online tips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IFERROR(__xludf.DUMMYFUNCTION("""COMPUTED_VALUE"""),"online roulette tips")</f>
        <v>online roulette tips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IFERROR(__xludf.DUMMYFUNCTION("""COMPUTED_VALUE"""),"roulette online tips")</f>
        <v>roulette online tips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IFERROR(__xludf.DUMMYFUNCTION("""COMPUTED_VALUE"""),"online slots tips")</f>
        <v>online slots tips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IFERROR(__xludf.DUMMYFUNCTION("""COMPUTED_VALUE"""),"slot games tips")</f>
        <v>slot games tips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IFERROR(__xludf.DUMMYFUNCTION("""COMPUTED_VALUE"""),"casino slots tips")</f>
        <v>casino slots tips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IFERROR(__xludf.DUMMYFUNCTION("""COMPUTED_VALUE"""),"demo casino games tips")</f>
        <v>demo casino games tips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IFERROR(__xludf.DUMMYFUNCTION("""COMPUTED_VALUE"""),"crazy time demo")</f>
        <v>crazy time demo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IFERROR(__xludf.DUMMYFUNCTION("""COMPUTED_VALUE"""),"crazy time game demo")</f>
        <v>crazy time game demo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IFERROR(__xludf.DUMMYFUNCTION("""COMPUTED_VALUE"""),"online blackjack demo")</f>
        <v>online blackjack demo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IFERROR(__xludf.DUMMYFUNCTION("""COMPUTED_VALUE"""),"blackjack online demo")</f>
        <v>blackjack online demo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IFERROR(__xludf.DUMMYFUNCTION("""COMPUTED_VALUE"""),"online roulette demo")</f>
        <v>online roulette demo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IFERROR(__xludf.DUMMYFUNCTION("""COMPUTED_VALUE"""),"roulette online demo")</f>
        <v>roulette online demo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IFERROR(__xludf.DUMMYFUNCTION("""COMPUTED_VALUE"""),"online slots demo")</f>
        <v>online slots demo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IFERROR(__xludf.DUMMYFUNCTION("""COMPUTED_VALUE"""),"slot games demo")</f>
        <v>slot games demo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IFERROR(__xludf.DUMMYFUNCTION("""COMPUTED_VALUE"""),"casino slots demo")</f>
        <v>casino slots demo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IFERROR(__xludf.DUMMYFUNCTION("""COMPUTED_VALUE"""),"demo casino games")</f>
        <v>demo casino games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IFERROR(__xludf.DUMMYFUNCTION("""COMPUTED_VALUE"""),"crazy time free demo")</f>
        <v>crazy time free demo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IFERROR(__xludf.DUMMYFUNCTION("""COMPUTED_VALUE"""),"crazy time game free demo")</f>
        <v>crazy time game free demo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IFERROR(__xludf.DUMMYFUNCTION("""COMPUTED_VALUE"""),"online blackjack free demo")</f>
        <v>online blackjack free demo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IFERROR(__xludf.DUMMYFUNCTION("""COMPUTED_VALUE"""),"blackjack online free demo")</f>
        <v>blackjack online free demo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IFERROR(__xludf.DUMMYFUNCTION("""COMPUTED_VALUE"""),"online roulette free demo")</f>
        <v>online roulette free demo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IFERROR(__xludf.DUMMYFUNCTION("""COMPUTED_VALUE"""),"roulette online free demo")</f>
        <v>roulette online free demo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IFERROR(__xludf.DUMMYFUNCTION("""COMPUTED_VALUE"""),"online slots free demo")</f>
        <v>online slots free demo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IFERROR(__xludf.DUMMYFUNCTION("""COMPUTED_VALUE"""),"slot games free demo")</f>
        <v>slot games free demo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IFERROR(__xludf.DUMMYFUNCTION("""COMPUTED_VALUE"""),"casino slots free demo")</f>
        <v>casino slots free demo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IFERROR(__xludf.DUMMYFUNCTION("""COMPUTED_VALUE"""),"demo casino games free demo")</f>
        <v>demo casino games free demo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IFERROR(__xludf.DUMMYFUNCTION("""COMPUTED_VALUE"""),"crazy time free")</f>
        <v>crazy time free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IFERROR(__xludf.DUMMYFUNCTION("""COMPUTED_VALUE"""),"crazy time game free")</f>
        <v>crazy time game free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IFERROR(__xludf.DUMMYFUNCTION("""COMPUTED_VALUE"""),"online blackjack free")</f>
        <v>online blackjack free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IFERROR(__xludf.DUMMYFUNCTION("""COMPUTED_VALUE"""),"blackjack online free")</f>
        <v>blackjack online free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IFERROR(__xludf.DUMMYFUNCTION("""COMPUTED_VALUE"""),"online roulette free")</f>
        <v>online roulette free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IFERROR(__xludf.DUMMYFUNCTION("""COMPUTED_VALUE"""),"roulette online free")</f>
        <v>roulette online free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IFERROR(__xludf.DUMMYFUNCTION("""COMPUTED_VALUE"""),"online slots free")</f>
        <v>online slots free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IFERROR(__xludf.DUMMYFUNCTION("""COMPUTED_VALUE"""),"slot games free")</f>
        <v>slot games free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IFERROR(__xludf.DUMMYFUNCTION("""COMPUTED_VALUE"""),"casino slots free")</f>
        <v>casino slots free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IFERROR(__xludf.DUMMYFUNCTION("""COMPUTED_VALUE"""),"demo casino games free")</f>
        <v>demo casino games free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IFERROR(__xludf.DUMMYFUNCTION("""COMPUTED_VALUE"""),"crazy time bonus")</f>
        <v>crazy time bonus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IFERROR(__xludf.DUMMYFUNCTION("""COMPUTED_VALUE"""),"crazy time game bonus")</f>
        <v>crazy time game bonus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IFERROR(__xludf.DUMMYFUNCTION("""COMPUTED_VALUE"""),"online blackjack bonus")</f>
        <v>online blackjack bonus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IFERROR(__xludf.DUMMYFUNCTION("""COMPUTED_VALUE"""),"blackjack online bonus")</f>
        <v>blackjack online bonus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IFERROR(__xludf.DUMMYFUNCTION("""COMPUTED_VALUE"""),"online roulette bonus")</f>
        <v>online roulette bonus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IFERROR(__xludf.DUMMYFUNCTION("""COMPUTED_VALUE"""),"roulette online bonus")</f>
        <v>roulette online bonus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IFERROR(__xludf.DUMMYFUNCTION("""COMPUTED_VALUE"""),"online slots bonus")</f>
        <v>online slots bonus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IFERROR(__xludf.DUMMYFUNCTION("""COMPUTED_VALUE"""),"slot games bonus")</f>
        <v>slot games bonus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IFERROR(__xludf.DUMMYFUNCTION("""COMPUTED_VALUE"""),"casino slots bonus")</f>
        <v>casino slots bonus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IFERROR(__xludf.DUMMYFUNCTION("""COMPUTED_VALUE"""),"demo casino games bonus")</f>
        <v>demo casino games bonus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IFERROR(__xludf.DUMMYFUNCTION("""COMPUTED_VALUE"""),"crazy time jackpot")</f>
        <v>crazy time jackpot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IFERROR(__xludf.DUMMYFUNCTION("""COMPUTED_VALUE"""),"crazy time game jackpot")</f>
        <v>crazy time game jackpot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IFERROR(__xludf.DUMMYFUNCTION("""COMPUTED_VALUE"""),"online blackjack jackpot")</f>
        <v>online blackjack jackpot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IFERROR(__xludf.DUMMYFUNCTION("""COMPUTED_VALUE"""),"blackjack online jackpot")</f>
        <v>blackjack online jackpot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IFERROR(__xludf.DUMMYFUNCTION("""COMPUTED_VALUE"""),"online roulette jackpot")</f>
        <v>online roulette jackpot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IFERROR(__xludf.DUMMYFUNCTION("""COMPUTED_VALUE"""),"roulette online jackpot")</f>
        <v>roulette online jackpot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IFERROR(__xludf.DUMMYFUNCTION("""COMPUTED_VALUE"""),"online slots jackpot")</f>
        <v>online slots jackpot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IFERROR(__xludf.DUMMYFUNCTION("""COMPUTED_VALUE"""),"slot games jackpot")</f>
        <v>slot games jackpot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IFERROR(__xludf.DUMMYFUNCTION("""COMPUTED_VALUE"""),"casino slots jackpot")</f>
        <v>casino slots jackpot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IFERROR(__xludf.DUMMYFUNCTION("""COMPUTED_VALUE"""),"demo casino games jackpot")</f>
        <v>demo casino games jackpot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IFERROR(__xludf.DUMMYFUNCTION("""COMPUTED_VALUE"""),"crazy time best")</f>
        <v>crazy time best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IFERROR(__xludf.DUMMYFUNCTION("""COMPUTED_VALUE"""),"crazy time game best")</f>
        <v>crazy time game best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IFERROR(__xludf.DUMMYFUNCTION("""COMPUTED_VALUE"""),"online blackjack best")</f>
        <v>online blackjack best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IFERROR(__xludf.DUMMYFUNCTION("""COMPUTED_VALUE"""),"blackjack online best")</f>
        <v>blackjack online best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IFERROR(__xludf.DUMMYFUNCTION("""COMPUTED_VALUE"""),"online roulette best")</f>
        <v>online roulette best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IFERROR(__xludf.DUMMYFUNCTION("""COMPUTED_VALUE"""),"roulette online best")</f>
        <v>roulette online best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IFERROR(__xludf.DUMMYFUNCTION("""COMPUTED_VALUE"""),"online slots best")</f>
        <v>online slots best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IFERROR(__xludf.DUMMYFUNCTION("""COMPUTED_VALUE"""),"slot games best")</f>
        <v>slot games best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IFERROR(__xludf.DUMMYFUNCTION("""COMPUTED_VALUE"""),"casino slots best")</f>
        <v>casino slots best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IFERROR(__xludf.DUMMYFUNCTION("""COMPUTED_VALUE"""),"demo casino games best")</f>
        <v>demo casino games best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IFERROR(__xludf.DUMMYFUNCTION("""COMPUTED_VALUE"""),"crazy time review")</f>
        <v>crazy time review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IFERROR(__xludf.DUMMYFUNCTION("""COMPUTED_VALUE"""),"crazy time game review")</f>
        <v>crazy time game review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IFERROR(__xludf.DUMMYFUNCTION("""COMPUTED_VALUE"""),"online blackjack review")</f>
        <v>online blackjack review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IFERROR(__xludf.DUMMYFUNCTION("""COMPUTED_VALUE"""),"blackjack online review")</f>
        <v>blackjack online review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IFERROR(__xludf.DUMMYFUNCTION("""COMPUTED_VALUE"""),"online roulette review")</f>
        <v>online roulette review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IFERROR(__xludf.DUMMYFUNCTION("""COMPUTED_VALUE"""),"roulette online review")</f>
        <v>roulette online review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IFERROR(__xludf.DUMMYFUNCTION("""COMPUTED_VALUE"""),"online slots review")</f>
        <v>online slots review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IFERROR(__xludf.DUMMYFUNCTION("""COMPUTED_VALUE"""),"slot games review")</f>
        <v>slot games review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IFERROR(__xludf.DUMMYFUNCTION("""COMPUTED_VALUE"""),"casino slots review")</f>
        <v>casino slots review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IFERROR(__xludf.DUMMYFUNCTION("""COMPUTED_VALUE"""),"demo casino games review")</f>
        <v>demo casino games review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IFERROR(__xludf.DUMMYFUNCTION("""COMPUTED_VALUE"""),"crazy time reviews")</f>
        <v>crazy time reviews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IFERROR(__xludf.DUMMYFUNCTION("""COMPUTED_VALUE"""),"crazy time game reviews")</f>
        <v>crazy time game reviews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IFERROR(__xludf.DUMMYFUNCTION("""COMPUTED_VALUE"""),"online blackjack reviews")</f>
        <v>online blackjack reviews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IFERROR(__xludf.DUMMYFUNCTION("""COMPUTED_VALUE"""),"blackjack online reviews")</f>
        <v>blackjack online reviews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IFERROR(__xludf.DUMMYFUNCTION("""COMPUTED_VALUE"""),"online roulette reviews")</f>
        <v>online roulette reviews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IFERROR(__xludf.DUMMYFUNCTION("""COMPUTED_VALUE"""),"roulette online reviews")</f>
        <v>roulette online reviews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IFERROR(__xludf.DUMMYFUNCTION("""COMPUTED_VALUE"""),"online slots reviews")</f>
        <v>online slots reviews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IFERROR(__xludf.DUMMYFUNCTION("""COMPUTED_VALUE"""),"slot games reviews")</f>
        <v>slot games reviews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IFERROR(__xludf.DUMMYFUNCTION("""COMPUTED_VALUE"""),"casino slots reviews")</f>
        <v>casino slots reviews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IFERROR(__xludf.DUMMYFUNCTION("""COMPUTED_VALUE"""),"demo casino games reviews")</f>
        <v>demo casino games reviews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IFERROR(__xludf.DUMMYFUNCTION("""COMPUTED_VALUE"""),"crazy time app")</f>
        <v>crazy time app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IFERROR(__xludf.DUMMYFUNCTION("""COMPUTED_VALUE"""),"crazy time game app")</f>
        <v>crazy time game app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IFERROR(__xludf.DUMMYFUNCTION("""COMPUTED_VALUE"""),"online blackjack app")</f>
        <v>online blackjack app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IFERROR(__xludf.DUMMYFUNCTION("""COMPUTED_VALUE"""),"blackjack online app")</f>
        <v>blackjack online app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IFERROR(__xludf.DUMMYFUNCTION("""COMPUTED_VALUE"""),"online roulette app")</f>
        <v>online roulette app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IFERROR(__xludf.DUMMYFUNCTION("""COMPUTED_VALUE"""),"roulette online app")</f>
        <v>roulette online app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IFERROR(__xludf.DUMMYFUNCTION("""COMPUTED_VALUE"""),"online slots app")</f>
        <v>online slots app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IFERROR(__xludf.DUMMYFUNCTION("""COMPUTED_VALUE"""),"slot games app")</f>
        <v>slot games app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IFERROR(__xludf.DUMMYFUNCTION("""COMPUTED_VALUE"""),"casino slots app")</f>
        <v>casino slots app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IFERROR(__xludf.DUMMYFUNCTION("""COMPUTED_VALUE"""),"demo casino games app")</f>
        <v>demo casino games app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IFERROR(__xludf.DUMMYFUNCTION("""COMPUTED_VALUE"""),"crazy time login")</f>
        <v>crazy time login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IFERROR(__xludf.DUMMYFUNCTION("""COMPUTED_VALUE"""),"crazy time game login")</f>
        <v>crazy time game login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IFERROR(__xludf.DUMMYFUNCTION("""COMPUTED_VALUE"""),"online blackjack login")</f>
        <v>online blackjack login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IFERROR(__xludf.DUMMYFUNCTION("""COMPUTED_VALUE"""),"blackjack online login")</f>
        <v>blackjack online login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IFERROR(__xludf.DUMMYFUNCTION("""COMPUTED_VALUE"""),"online roulette login")</f>
        <v>online roulette login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IFERROR(__xludf.DUMMYFUNCTION("""COMPUTED_VALUE"""),"roulette online login")</f>
        <v>roulette online login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IFERROR(__xludf.DUMMYFUNCTION("""COMPUTED_VALUE"""),"online slots login")</f>
        <v>online slots login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IFERROR(__xludf.DUMMYFUNCTION("""COMPUTED_VALUE"""),"slot games login")</f>
        <v>slot games login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IFERROR(__xludf.DUMMYFUNCTION("""COMPUTED_VALUE"""),"casino slots login")</f>
        <v>casino slots login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IFERROR(__xludf.DUMMYFUNCTION("""COMPUTED_VALUE"""),"demo casino games login")</f>
        <v>demo casino games login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IFERROR(__xludf.DUMMYFUNCTION("""COMPUTED_VALUE"""),"crazy time paradise games")</f>
        <v>crazy time paradise games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IFERROR(__xludf.DUMMYFUNCTION("""COMPUTED_VALUE"""),"crazy time game paradise games")</f>
        <v>crazy time game paradise games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IFERROR(__xludf.DUMMYFUNCTION("""COMPUTED_VALUE"""),"online blackjack paradise games")</f>
        <v>online blackjack paradise games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IFERROR(__xludf.DUMMYFUNCTION("""COMPUTED_VALUE"""),"blackjack online paradise games")</f>
        <v>blackjack online paradise games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IFERROR(__xludf.DUMMYFUNCTION("""COMPUTED_VALUE"""),"online roulette paradise games")</f>
        <v>online roulette paradise games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IFERROR(__xludf.DUMMYFUNCTION("""COMPUTED_VALUE"""),"roulette online paradise games")</f>
        <v>roulette online paradise games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IFERROR(__xludf.DUMMYFUNCTION("""COMPUTED_VALUE"""),"online slots paradise games")</f>
        <v>online slots paradise games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IFERROR(__xludf.DUMMYFUNCTION("""COMPUTED_VALUE"""),"slot games paradise games")</f>
        <v>slot games paradise games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IFERROR(__xludf.DUMMYFUNCTION("""COMPUTED_VALUE"""),"casino slots paradise games")</f>
        <v>casino slots paradise games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IFERROR(__xludf.DUMMYFUNCTION("""COMPUTED_VALUE"""),"demo casino games paradise games")</f>
        <v>demo casino games paradise games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IFERROR(__xludf.DUMMYFUNCTION("""COMPUTED_VALUE"""),"crazy time island luck")</f>
        <v>crazy time island luck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IFERROR(__xludf.DUMMYFUNCTION("""COMPUTED_VALUE"""),"crazy time game island luck")</f>
        <v>crazy time game island luck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IFERROR(__xludf.DUMMYFUNCTION("""COMPUTED_VALUE"""),"online blackjack island luck")</f>
        <v>online blackjack island luck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IFERROR(__xludf.DUMMYFUNCTION("""COMPUTED_VALUE"""),"blackjack online island luck")</f>
        <v>blackjack online island luck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IFERROR(__xludf.DUMMYFUNCTION("""COMPUTED_VALUE"""),"online roulette island luck")</f>
        <v>online roulette island luck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IFERROR(__xludf.DUMMYFUNCTION("""COMPUTED_VALUE"""),"roulette online island luck")</f>
        <v>roulette online island luck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IFERROR(__xludf.DUMMYFUNCTION("""COMPUTED_VALUE"""),"online slots island luck")</f>
        <v>online slots island luck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IFERROR(__xludf.DUMMYFUNCTION("""COMPUTED_VALUE"""),"slot games island luck")</f>
        <v>slot games island luck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IFERROR(__xludf.DUMMYFUNCTION("""COMPUTED_VALUE"""),"casino slots island luck")</f>
        <v>casino slots island luck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IFERROR(__xludf.DUMMYFUNCTION("""COMPUTED_VALUE"""),"demo casino games island luck")</f>
        <v>demo casino games island luck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IFERROR(__xludf.DUMMYFUNCTION("""COMPUTED_VALUE"""),"crazy time chances")</f>
        <v>crazy time chances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IFERROR(__xludf.DUMMYFUNCTION("""COMPUTED_VALUE"""),"crazy time game chances")</f>
        <v>crazy time game chances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IFERROR(__xludf.DUMMYFUNCTION("""COMPUTED_VALUE"""),"online blackjack chances")</f>
        <v>online blackjack chances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IFERROR(__xludf.DUMMYFUNCTION("""COMPUTED_VALUE"""),"blackjack online chances")</f>
        <v>blackjack online chances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IFERROR(__xludf.DUMMYFUNCTION("""COMPUTED_VALUE"""),"online roulette chances")</f>
        <v>online roulette chances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IFERROR(__xludf.DUMMYFUNCTION("""COMPUTED_VALUE"""),"roulette online chances")</f>
        <v>roulette online chances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IFERROR(__xludf.DUMMYFUNCTION("""COMPUTED_VALUE"""),"online slots chances")</f>
        <v>online slots chances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IFERROR(__xludf.DUMMYFUNCTION("""COMPUTED_VALUE"""),"slot games chances")</f>
        <v>slot games chances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IFERROR(__xludf.DUMMYFUNCTION("""COMPUTED_VALUE"""),"casino slots chances")</f>
        <v>casino slots chances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IFERROR(__xludf.DUMMYFUNCTION("""COMPUTED_VALUE"""),"demo casino games chances")</f>
        <v>demo casino games chances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IFERROR(__xludf.DUMMYFUNCTION("""COMPUTED_VALUE"""),"crazy time ultra games")</f>
        <v>crazy time ultra games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IFERROR(__xludf.DUMMYFUNCTION("""COMPUTED_VALUE"""),"crazy time game ultra games")</f>
        <v>crazy time game ultra games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IFERROR(__xludf.DUMMYFUNCTION("""COMPUTED_VALUE"""),"online blackjack ultra games")</f>
        <v>online blackjack ultra games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IFERROR(__xludf.DUMMYFUNCTION("""COMPUTED_VALUE"""),"blackjack online ultra games")</f>
        <v>blackjack online ultra games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IFERROR(__xludf.DUMMYFUNCTION("""COMPUTED_VALUE"""),"online roulette ultra games")</f>
        <v>online roulette ultra games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IFERROR(__xludf.DUMMYFUNCTION("""COMPUTED_VALUE"""),"roulette online ultra games")</f>
        <v>roulette online ultra games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IFERROR(__xludf.DUMMYFUNCTION("""COMPUTED_VALUE"""),"online slots ultra games")</f>
        <v>online slots ultra games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IFERROR(__xludf.DUMMYFUNCTION("""COMPUTED_VALUE"""),"slot games ultra games")</f>
        <v>slot games ultra games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IFERROR(__xludf.DUMMYFUNCTION("""COMPUTED_VALUE"""),"casino slots ultra games")</f>
        <v>casino slots ultra games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IFERROR(__xludf.DUMMYFUNCTION("""COMPUTED_VALUE"""),"demo casino games ultra games")</f>
        <v>demo casino games ultra games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IFERROR(__xludf.DUMMYFUNCTION("""COMPUTED_VALUE"""),"crazy time sweet bonanza")</f>
        <v>crazy time sweet bonanza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IFERROR(__xludf.DUMMYFUNCTION("""COMPUTED_VALUE"""),"crazy time game sweet bonanza")</f>
        <v>crazy time game sweet bonanza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IFERROR(__xludf.DUMMYFUNCTION("""COMPUTED_VALUE"""),"online blackjack sweet bonanza")</f>
        <v>online blackjack sweet bonanza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IFERROR(__xludf.DUMMYFUNCTION("""COMPUTED_VALUE"""),"blackjack online sweet bonanza")</f>
        <v>blackjack online sweet bonanza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IFERROR(__xludf.DUMMYFUNCTION("""COMPUTED_VALUE"""),"online roulette sweet bonanza")</f>
        <v>online roulette sweet bonanza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IFERROR(__xludf.DUMMYFUNCTION("""COMPUTED_VALUE"""),"roulette online sweet bonanza")</f>
        <v>roulette online sweet bonanza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IFERROR(__xludf.DUMMYFUNCTION("""COMPUTED_VALUE"""),"online slots sweet bonanza")</f>
        <v>online slots sweet bonanza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IFERROR(__xludf.DUMMYFUNCTION("""COMPUTED_VALUE"""),"slot games sweet bonanza")</f>
        <v>slot games sweet bonanza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IFERROR(__xludf.DUMMYFUNCTION("""COMPUTED_VALUE"""),"casino slots sweet bonanza")</f>
        <v>casino slots sweet bonanza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IFERROR(__xludf.DUMMYFUNCTION("""COMPUTED_VALUE"""),"demo casino games sweet bonanza")</f>
        <v>demo casino games sweet bonanza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IFERROR(__xludf.DUMMYFUNCTION("""COMPUTED_VALUE"""),"crazy time gates of olympus")</f>
        <v>crazy time gates of olympus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IFERROR(__xludf.DUMMYFUNCTION("""COMPUTED_VALUE"""),"crazy time game gates of olympus")</f>
        <v>crazy time game gates of olympus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IFERROR(__xludf.DUMMYFUNCTION("""COMPUTED_VALUE"""),"online blackjack gates of olympus")</f>
        <v>online blackjack gates of olympus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IFERROR(__xludf.DUMMYFUNCTION("""COMPUTED_VALUE"""),"blackjack online gates of olympus")</f>
        <v>blackjack online gates of olympus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IFERROR(__xludf.DUMMYFUNCTION("""COMPUTED_VALUE"""),"online roulette gates of olympus")</f>
        <v>online roulette gates of olympus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IFERROR(__xludf.DUMMYFUNCTION("""COMPUTED_VALUE"""),"roulette online gates of olympus")</f>
        <v>roulette online gates of olympus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IFERROR(__xludf.DUMMYFUNCTION("""COMPUTED_VALUE"""),"online slots gates of olympus")</f>
        <v>online slots gates of olympus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IFERROR(__xludf.DUMMYFUNCTION("""COMPUTED_VALUE"""),"slot games gates of olympus")</f>
        <v>slot games gates of olympus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IFERROR(__xludf.DUMMYFUNCTION("""COMPUTED_VALUE"""),"casino slots gates of olympus")</f>
        <v>casino slots gates of olympus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IFERROR(__xludf.DUMMYFUNCTION("""COMPUTED_VALUE"""),"demo casino games gates of olympus")</f>
        <v>demo casino games gates of olympus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IFERROR(__xludf.DUMMYFUNCTION("""COMPUTED_VALUE"""),"crazy time big bass bonanza")</f>
        <v>crazy time big bass bonanza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IFERROR(__xludf.DUMMYFUNCTION("""COMPUTED_VALUE"""),"crazy time game big bass bonanza")</f>
        <v>crazy time game big bass bonanza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IFERROR(__xludf.DUMMYFUNCTION("""COMPUTED_VALUE"""),"online blackjack big bass bonanza")</f>
        <v>online blackjack big bass bonanza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IFERROR(__xludf.DUMMYFUNCTION("""COMPUTED_VALUE"""),"blackjack online big bass bonanza")</f>
        <v>blackjack online big bass bonanza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IFERROR(__xludf.DUMMYFUNCTION("""COMPUTED_VALUE"""),"online roulette big bass bonanza")</f>
        <v>online roulette big bass bonanza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IFERROR(__xludf.DUMMYFUNCTION("""COMPUTED_VALUE"""),"roulette online big bass bonanza")</f>
        <v>roulette online big bass bonanza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IFERROR(__xludf.DUMMYFUNCTION("""COMPUTED_VALUE"""),"online slots big bass bonanza")</f>
        <v>online slots big bass bonanza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IFERROR(__xludf.DUMMYFUNCTION("""COMPUTED_VALUE"""),"slot games big bass bonanza")</f>
        <v>slot games big bass bonanza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IFERROR(__xludf.DUMMYFUNCTION("""COMPUTED_VALUE"""),"casino slots big bass bonanza")</f>
        <v>casino slots big bass bonanza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IFERROR(__xludf.DUMMYFUNCTION("""COMPUTED_VALUE"""),"demo casino games big bass bonanza")</f>
        <v>demo casino games big bass bonanza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IFERROR(__xludf.DUMMYFUNCTION("""COMPUTED_VALUE"""),"crazy time lightning roulette")</f>
        <v>crazy time lightning roulette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IFERROR(__xludf.DUMMYFUNCTION("""COMPUTED_VALUE"""),"crazy time game lightning roulette")</f>
        <v>crazy time game lightning roulette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IFERROR(__xludf.DUMMYFUNCTION("""COMPUTED_VALUE"""),"online blackjack lightning roulette")</f>
        <v>online blackjack lightning roulette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IFERROR(__xludf.DUMMYFUNCTION("""COMPUTED_VALUE"""),"blackjack online lightning roulette")</f>
        <v>blackjack online lightning roulette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IFERROR(__xludf.DUMMYFUNCTION("""COMPUTED_VALUE"""),"online roulette lightning roulette")</f>
        <v>online roulette lightning roulette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IFERROR(__xludf.DUMMYFUNCTION("""COMPUTED_VALUE"""),"roulette online lightning roulette")</f>
        <v>roulette online lightning roulette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IFERROR(__xludf.DUMMYFUNCTION("""COMPUTED_VALUE"""),"online slots lightning roulette")</f>
        <v>online slots lightning roulette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IFERROR(__xludf.DUMMYFUNCTION("""COMPUTED_VALUE"""),"slot games lightning roulette")</f>
        <v>slot games lightning roulette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IFERROR(__xludf.DUMMYFUNCTION("""COMPUTED_VALUE"""),"casino slots lightning roulette")</f>
        <v>casino slots lightning roulette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IFERROR(__xludf.DUMMYFUNCTION("""COMPUTED_VALUE"""),"demo casino games lightning roulette")</f>
        <v>demo casino games lightning roulette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IFERROR(__xludf.DUMMYFUNCTION("""COMPUTED_VALUE"""),"crazy time monopoly live")</f>
        <v>crazy time monopoly live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IFERROR(__xludf.DUMMYFUNCTION("""COMPUTED_VALUE"""),"crazy time game monopoly live")</f>
        <v>crazy time game monopoly live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IFERROR(__xludf.DUMMYFUNCTION("""COMPUTED_VALUE"""),"online blackjack monopoly live")</f>
        <v>online blackjack monopoly live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IFERROR(__xludf.DUMMYFUNCTION("""COMPUTED_VALUE"""),"blackjack online monopoly live")</f>
        <v>blackjack online monopoly live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IFERROR(__xludf.DUMMYFUNCTION("""COMPUTED_VALUE"""),"online roulette monopoly live")</f>
        <v>online roulette monopoly live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IFERROR(__xludf.DUMMYFUNCTION("""COMPUTED_VALUE"""),"roulette online monopoly live")</f>
        <v>roulette online monopoly live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IFERROR(__xludf.DUMMYFUNCTION("""COMPUTED_VALUE"""),"online slots monopoly live")</f>
        <v>online slots monopoly live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IFERROR(__xludf.DUMMYFUNCTION("""COMPUTED_VALUE"""),"slot games monopoly live")</f>
        <v>slot games monopoly live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IFERROR(__xludf.DUMMYFUNCTION("""COMPUTED_VALUE"""),"casino slots monopoly live")</f>
        <v>casino slots monopoly live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IFERROR(__xludf.DUMMYFUNCTION("""COMPUTED_VALUE"""),"demo casino games monopoly live")</f>
        <v>demo casino games monopoly live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IFERROR(__xludf.DUMMYFUNCTION("""COMPUTED_VALUE"""),"crazy time dream catcher")</f>
        <v>crazy time dream catcher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IFERROR(__xludf.DUMMYFUNCTION("""COMPUTED_VALUE"""),"crazy time game dream catcher")</f>
        <v>crazy time game dream catcher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IFERROR(__xludf.DUMMYFUNCTION("""COMPUTED_VALUE"""),"online blackjack dream catcher")</f>
        <v>online blackjack dream catcher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IFERROR(__xludf.DUMMYFUNCTION("""COMPUTED_VALUE"""),"blackjack online dream catcher")</f>
        <v>blackjack online dream catcher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IFERROR(__xludf.DUMMYFUNCTION("""COMPUTED_VALUE"""),"online roulette dream catcher")</f>
        <v>online roulette dream catcher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IFERROR(__xludf.DUMMYFUNCTION("""COMPUTED_VALUE"""),"roulette online dream catcher")</f>
        <v>roulette online dream catcher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IFERROR(__xludf.DUMMYFUNCTION("""COMPUTED_VALUE"""),"online slots dream catcher")</f>
        <v>online slots dream catcher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IFERROR(__xludf.DUMMYFUNCTION("""COMPUTED_VALUE"""),"slot games dream catcher")</f>
        <v>slot games dream catcher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IFERROR(__xludf.DUMMYFUNCTION("""COMPUTED_VALUE"""),"casino slots dream catcher")</f>
        <v>casino slots dream catcher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IFERROR(__xludf.DUMMYFUNCTION("""COMPUTED_VALUE"""),"demo casino games dream catcher")</f>
        <v>demo casino games dream catcher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IFERROR(__xludf.DUMMYFUNCTION("""COMPUTED_VALUE"""),"crazy time caribbean")</f>
        <v>crazy time caribbean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IFERROR(__xludf.DUMMYFUNCTION("""COMPUTED_VALUE"""),"crazy time game caribbean")</f>
        <v>crazy time game caribbean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IFERROR(__xludf.DUMMYFUNCTION("""COMPUTED_VALUE"""),"online blackjack caribbean")</f>
        <v>online blackjack caribbean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IFERROR(__xludf.DUMMYFUNCTION("""COMPUTED_VALUE"""),"blackjack online caribbean")</f>
        <v>blackjack online caribbean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IFERROR(__xludf.DUMMYFUNCTION("""COMPUTED_VALUE"""),"online roulette caribbean")</f>
        <v>online roulette caribbean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IFERROR(__xludf.DUMMYFUNCTION("""COMPUTED_VALUE"""),"roulette online caribbean")</f>
        <v>roulette online caribbean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IFERROR(__xludf.DUMMYFUNCTION("""COMPUTED_VALUE"""),"online slots caribbean")</f>
        <v>online slots caribbean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IFERROR(__xludf.DUMMYFUNCTION("""COMPUTED_VALUE"""),"slot games caribbean")</f>
        <v>slot games caribbean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IFERROR(__xludf.DUMMYFUNCTION("""COMPUTED_VALUE"""),"casino slots caribbean")</f>
        <v>casino slots caribbean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IFERROR(__xludf.DUMMYFUNCTION("""COMPUTED_VALUE"""),"demo casino games caribbean")</f>
        <v>demo casino games caribbean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IFERROR(__xludf.DUMMYFUNCTION("""COMPUTED_VALUE"""),"crazy time trusted")</f>
        <v>crazy time trusted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IFERROR(__xludf.DUMMYFUNCTION("""COMPUTED_VALUE"""),"crazy time game trusted")</f>
        <v>crazy time game trusted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IFERROR(__xludf.DUMMYFUNCTION("""COMPUTED_VALUE"""),"online blackjack trusted")</f>
        <v>online blackjack trusted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IFERROR(__xludf.DUMMYFUNCTION("""COMPUTED_VALUE"""),"blackjack online trusted")</f>
        <v>blackjack online trusted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IFERROR(__xludf.DUMMYFUNCTION("""COMPUTED_VALUE"""),"online roulette trusted")</f>
        <v>online roulette trusted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IFERROR(__xludf.DUMMYFUNCTION("""COMPUTED_VALUE"""),"roulette online trusted")</f>
        <v>roulette online trusted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IFERROR(__xludf.DUMMYFUNCTION("""COMPUTED_VALUE"""),"online slots trusted")</f>
        <v>online slots trusted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IFERROR(__xludf.DUMMYFUNCTION("""COMPUTED_VALUE"""),"slot games trusted")</f>
        <v>slot games trusted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IFERROR(__xludf.DUMMYFUNCTION("""COMPUTED_VALUE"""),"casino slots trusted")</f>
        <v>casino slots trusted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IFERROR(__xludf.DUMMYFUNCTION("""COMPUTED_VALUE"""),"demo casino games trusted")</f>
        <v>demo casino games trusted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IFERROR(__xludf.DUMMYFUNCTION("""COMPUTED_VALUE"""),"crazy time licensed")</f>
        <v>crazy time licensed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IFERROR(__xludf.DUMMYFUNCTION("""COMPUTED_VALUE"""),"crazy time game licensed")</f>
        <v>crazy time game licensed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IFERROR(__xludf.DUMMYFUNCTION("""COMPUTED_VALUE"""),"online blackjack licensed")</f>
        <v>online blackjack licensed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IFERROR(__xludf.DUMMYFUNCTION("""COMPUTED_VALUE"""),"blackjack online licensed")</f>
        <v>blackjack online licensed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IFERROR(__xludf.DUMMYFUNCTION("""COMPUTED_VALUE"""),"online roulette licensed")</f>
        <v>online roulette licensed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IFERROR(__xludf.DUMMYFUNCTION("""COMPUTED_VALUE"""),"roulette online licensed")</f>
        <v>roulette online licensed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IFERROR(__xludf.DUMMYFUNCTION("""COMPUTED_VALUE"""),"online slots licensed")</f>
        <v>online slots licensed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IFERROR(__xludf.DUMMYFUNCTION("""COMPUTED_VALUE"""),"slot games licensed")</f>
        <v>slot games licensed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IFERROR(__xludf.DUMMYFUNCTION("""COMPUTED_VALUE"""),"casino slots licensed")</f>
        <v>casino slots licensed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IFERROR(__xludf.DUMMYFUNCTION("""COMPUTED_VALUE"""),"demo casino games licensed")</f>
        <v>demo casino games licensed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IFERROR(__xludf.DUMMYFUNCTION("""COMPUTED_VALUE"""),"crazy time free spins")</f>
        <v>crazy time free spins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IFERROR(__xludf.DUMMYFUNCTION("""COMPUTED_VALUE"""),"crazy time game free spins")</f>
        <v>crazy time game free spins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IFERROR(__xludf.DUMMYFUNCTION("""COMPUTED_VALUE"""),"online blackjack free spins")</f>
        <v>online blackjack free spins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IFERROR(__xludf.DUMMYFUNCTION("""COMPUTED_VALUE"""),"blackjack online free spins")</f>
        <v>blackjack online free spins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IFERROR(__xludf.DUMMYFUNCTION("""COMPUTED_VALUE"""),"online roulette free spins")</f>
        <v>online roulette free spins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IFERROR(__xludf.DUMMYFUNCTION("""COMPUTED_VALUE"""),"roulette online free spins")</f>
        <v>roulette online free spins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IFERROR(__xludf.DUMMYFUNCTION("""COMPUTED_VALUE"""),"online slots free spins")</f>
        <v>online slots free spins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IFERROR(__xludf.DUMMYFUNCTION("""COMPUTED_VALUE"""),"slot games free spins")</f>
        <v>slot games free spins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IFERROR(__xludf.DUMMYFUNCTION("""COMPUTED_VALUE"""),"casino slots free spins")</f>
        <v>casino slots free spins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IFERROR(__xludf.DUMMYFUNCTION("""COMPUTED_VALUE"""),"demo casino games free spins")</f>
        <v>demo casino games free spins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 t="str">
        <f>IFERROR(__xludf.DUMMYFUNCTION("""COMPUTED_VALUE"""),"crazy time")</f>
        <v>crazy time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 t="str">
        <f>IFERROR(__xludf.DUMMYFUNCTION("""COMPUTED_VALUE"""),"crazy time game")</f>
        <v>crazy time game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 t="str">
        <f>IFERROR(__xludf.DUMMYFUNCTION("""COMPUTED_VALUE"""),"online blackjack")</f>
        <v>online blackjack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 t="str">
        <f>IFERROR(__xludf.DUMMYFUNCTION("""COMPUTED_VALUE"""),"blackjack online")</f>
        <v>blackjack online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 t="str">
        <f>IFERROR(__xludf.DUMMYFUNCTION("""COMPUTED_VALUE"""),"online roulette")</f>
        <v>online roulette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 t="str">
        <f>IFERROR(__xludf.DUMMYFUNCTION("""COMPUTED_VALUE"""),"roulette online")</f>
        <v>roulette online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 t="str">
        <f>IFERROR(__xludf.DUMMYFUNCTION("""COMPUTED_VALUE"""),"online slots")</f>
        <v>online slots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 t="str">
        <f>IFERROR(__xludf.DUMMYFUNCTION("""COMPUTED_VALUE"""),"slot games")</f>
        <v>slot games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 t="str">
        <f>IFERROR(__xludf.DUMMYFUNCTION("""COMPUTED_VALUE"""),"casino slots")</f>
        <v>casino slots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 t="str">
        <f>IFERROR(__xludf.DUMMYFUNCTION("""COMPUTED_VALUE"""),"demo casino games")</f>
        <v>demo casino games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1" width="18.0"/>
    <col customWidth="1" min="13" max="13" width="27.63"/>
  </cols>
  <sheetData>
    <row r="1">
      <c r="A1" s="1"/>
      <c r="B1" s="2" t="s">
        <v>79</v>
      </c>
      <c r="C1" s="2" t="s">
        <v>279</v>
      </c>
      <c r="D1" s="2" t="s">
        <v>86</v>
      </c>
      <c r="E1" s="2" t="s">
        <v>100</v>
      </c>
      <c r="F1" s="2" t="s">
        <v>105</v>
      </c>
      <c r="G1" s="2" t="s">
        <v>90</v>
      </c>
      <c r="H1" s="2" t="s">
        <v>96</v>
      </c>
      <c r="I1" s="2" t="s">
        <v>281</v>
      </c>
      <c r="J1" s="2" t="s">
        <v>282</v>
      </c>
      <c r="K1" s="2" t="s">
        <v>83</v>
      </c>
      <c r="L1" s="1"/>
      <c r="M1" s="2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0" t="s">
        <v>39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""&amp;$A3))"),"island luck bahamas")</f>
        <v>island luck bahamas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""&amp;$A3))"),"chances games bahamas")</f>
        <v>chances games bahamas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""&amp;$A3))"),"ultra games bahamas")</f>
        <v>ultra games bahamas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""&amp;$A3))"),"paradise games bahamas")</f>
        <v>paradise games bahamas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""&amp;$A3))"),"pggames bahamas")</f>
        <v>pggames bahamas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""&amp;$A3))"),"asurewin bahamas")</f>
        <v>asurewin bahamas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""&amp;$A3))"),"a sure win bahamas")</f>
        <v>a sure win bahamas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""&amp;$A3))"),"everybody wins live bahamas")</f>
        <v>everybody wins live bahamas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""&amp;$A3))"),"the island game bahamas")</f>
        <v>the island game bahamas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""&amp;$A3))"),"chances bahamas")</f>
        <v>chances bahamas</v>
      </c>
      <c r="L3" s="13"/>
      <c r="M3" s="13" t="str">
        <f>IFERROR(__xludf.DUMMYFUNCTION("FLATTEN(B3:K42,B1:K1)"),"island luck bahamas")</f>
        <v>island luck bahamas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0" t="s">
        <v>124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""&amp;$A4))"),"island luck login")</f>
        <v>island luck login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""&amp;$A4))"),"chances games login")</f>
        <v>chances games login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""&amp;$A4))"),"ultra games login")</f>
        <v>ultra games login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""&amp;$A4))"),"paradise games login")</f>
        <v>paradise games login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""&amp;$A4))"),"pggames login")</f>
        <v>pggames login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""&amp;$A4))"),"asurewin login")</f>
        <v>asurewin login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""&amp;$A4))"),"a sure win login")</f>
        <v>a sure win login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""&amp;$A4))"),"everybody wins live login")</f>
        <v>everybody wins live login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""&amp;$A4))"),"the island game login")</f>
        <v>the island game login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""&amp;$A4))"),"chances login")</f>
        <v>chances login</v>
      </c>
      <c r="L4" s="13"/>
      <c r="M4" s="13" t="str">
        <f>IFERROR(__xludf.DUMMYFUNCTION("""COMPUTED_VALUE"""),"chances games bahamas")</f>
        <v>chances games bahamas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" t="s">
        <v>94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""&amp;$A5))"),"island luck mobile")</f>
        <v>island luck mobile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""&amp;$A5))"),"chances games mobile")</f>
        <v>chances games mobile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""&amp;$A5))"),"ultra games mobile")</f>
        <v>ultra games mobile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""&amp;$A5))"),"paradise games mobile")</f>
        <v>paradise games mobile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""&amp;$A5))"),"pggames mobile")</f>
        <v>pggames mobile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""&amp;$A5))"),"asurewin mobile")</f>
        <v>asurewin mobile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""&amp;$A5))"),"a sure win mobile")</f>
        <v>a sure win mobile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""&amp;$A5))"),"everybody wins live mobile")</f>
        <v>everybody wins live mobile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""&amp;$A5))"),"the island game mobile")</f>
        <v>the island game mobile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""&amp;$A5))"),"chances mobile")</f>
        <v>chances mobile</v>
      </c>
      <c r="L5" s="13"/>
      <c r="M5" s="13" t="str">
        <f>IFERROR(__xludf.DUMMYFUNCTION("""COMPUTED_VALUE"""),"ultra games bahamas")</f>
        <v>ultra games bahamas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0" t="s">
        <v>101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""&amp;$A6))"),"island luck app")</f>
        <v>island luck app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""&amp;$A6))"),"chances games app")</f>
        <v>chances games app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""&amp;$A6))"),"ultra games app")</f>
        <v>ultra games app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""&amp;$A6))"),"paradise games app")</f>
        <v>paradise games app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""&amp;$A6))"),"pggames app")</f>
        <v>pggames app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""&amp;$A6))"),"asurewin app")</f>
        <v>asurewin app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""&amp;$A6))"),"a sure win app")</f>
        <v>a sure win app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""&amp;$A6))"),"everybody wins live app")</f>
        <v>everybody wins live app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""&amp;$A6))"),"the island game app")</f>
        <v>the island game app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""&amp;$A6))"),"chances app")</f>
        <v>chances app</v>
      </c>
      <c r="L6" s="13"/>
      <c r="M6" s="13" t="str">
        <f>IFERROR(__xludf.DUMMYFUNCTION("""COMPUTED_VALUE"""),"paradise games bahamas")</f>
        <v>paradise games bahamas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0" t="s">
        <v>0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""&amp;$A7))"),"island luck winning numbers")</f>
        <v>island luck winning numbers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""&amp;$A7))"),"chances games winning numbers")</f>
        <v>chances games winning numbers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""&amp;$A7))"),"ultra games winning numbers")</f>
        <v>ultra games winning numbers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""&amp;$A7))"),"paradise games winning numbers")</f>
        <v>paradise games winning numbers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""&amp;$A7))"),"pggames winning numbers")</f>
        <v>pggames winning numbers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""&amp;$A7))"),"asurewin winning numbers")</f>
        <v>asurewin winning numbers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""&amp;$A7))"),"a sure win winning numbers")</f>
        <v>a sure win winning numbers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""&amp;$A7))"),"everybody wins live winning numbers")</f>
        <v>everybody wins live winning numbers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""&amp;$A7))"),"the island game winning numbers")</f>
        <v>the island game winning numbers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""&amp;$A7))"),"chances winning numbers")</f>
        <v>chances winning numbers</v>
      </c>
      <c r="L7" s="13"/>
      <c r="M7" s="13" t="str">
        <f>IFERROR(__xludf.DUMMYFUNCTION("""COMPUTED_VALUE"""),"pggames bahamas")</f>
        <v>pggames bahamas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0" t="s">
        <v>3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""&amp;$A8))"),"island luck winning number")</f>
        <v>island luck winning number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""&amp;$A8))"),"chances games winning number")</f>
        <v>chances games winning number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""&amp;$A8))"),"ultra games winning number")</f>
        <v>ultra games winning number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""&amp;$A8))"),"paradise games winning number")</f>
        <v>paradise games winning number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""&amp;$A8))"),"pggames winning number")</f>
        <v>pggames winning number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""&amp;$A8))"),"asurewin winning number")</f>
        <v>asurewin winning number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""&amp;$A8))"),"a sure win winning number")</f>
        <v>a sure win winning number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""&amp;$A8))"),"everybody wins live winning number")</f>
        <v>everybody wins live winning number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""&amp;$A8))"),"the island game winning number")</f>
        <v>the island game winning number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""&amp;$A8))"),"chances winning number")</f>
        <v>chances winning number</v>
      </c>
      <c r="L8" s="13"/>
      <c r="M8" s="13" t="str">
        <f>IFERROR(__xludf.DUMMYFUNCTION("""COMPUTED_VALUE"""),"asurewin bahamas")</f>
        <v>asurewin bahamas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0" t="s">
        <v>22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""&amp;$A9))"),"island luck winning numbers today")</f>
        <v>island luck winning numbers today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""&amp;$A9))"),"chances games winning numbers today")</f>
        <v>chances games winning numbers today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""&amp;$A9))"),"ultra games winning numbers today")</f>
        <v>ultra games winning numbers today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""&amp;$A9))"),"paradise games winning numbers today")</f>
        <v>paradise games winning numbers today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""&amp;$A9))"),"pggames winning numbers today")</f>
        <v>pggames winning numbers today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""&amp;$A9))"),"asurewin winning numbers today")</f>
        <v>asurewin winning numbers today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""&amp;$A9))"),"a sure win winning numbers today")</f>
        <v>a sure win winning numbers today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""&amp;$A9))"),"everybody wins live winning numbers today")</f>
        <v>everybody wins live winning numbers today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""&amp;$A9))"),"the island game winning numbers today")</f>
        <v>the island game winning numbers today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""&amp;$A9))"),"chances winning numbers today")</f>
        <v>chances winning numbers today</v>
      </c>
      <c r="L9" s="13"/>
      <c r="M9" s="13" t="str">
        <f>IFERROR(__xludf.DUMMYFUNCTION("""COMPUTED_VALUE"""),"a sure win bahamas")</f>
        <v>a sure win bahamas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0" t="s">
        <v>283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""&amp;$A10))"),"island luck results today")</f>
        <v>island luck results today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""&amp;$A10))"),"chances games results today")</f>
        <v>chances games results today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""&amp;$A10))"),"ultra games results today")</f>
        <v>ultra games results today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""&amp;$A10))"),"paradise games results today")</f>
        <v>paradise games results today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""&amp;$A10))"),"pggames results today")</f>
        <v>pggames results today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""&amp;$A10))"),"asurewin results today")</f>
        <v>asurewin results today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""&amp;$A10))"),"a sure win results today")</f>
        <v>a sure win results today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""&amp;$A10))"),"everybody wins live results today")</f>
        <v>everybody wins live results today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""&amp;$A10))"),"the island game results today")</f>
        <v>the island game results today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""&amp;$A10))"),"chances results today")</f>
        <v>chances results today</v>
      </c>
      <c r="L10" s="13"/>
      <c r="M10" s="13" t="str">
        <f>IFERROR(__xludf.DUMMYFUNCTION("""COMPUTED_VALUE"""),"everybody wins live bahamas")</f>
        <v>everybody wins live bahamas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0" t="s">
        <v>6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""&amp;$A11))"),"island luck lottery results")</f>
        <v>island luck lottery results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""&amp;$A11))"),"chances games lottery results")</f>
        <v>chances games lottery results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""&amp;$A11))"),"ultra games lottery results")</f>
        <v>ultra games lottery results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""&amp;$A11))"),"paradise games lottery results")</f>
        <v>paradise games lottery results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""&amp;$A11))"),"pggames lottery results")</f>
        <v>pggames lottery results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""&amp;$A11))"),"asurewin lottery results")</f>
        <v>asurewin lottery results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""&amp;$A11))"),"a sure win lottery results")</f>
        <v>a sure win lottery results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""&amp;$A11))"),"everybody wins live lottery results")</f>
        <v>everybody wins live lottery results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""&amp;$A11))"),"the island game lottery results")</f>
        <v>the island game lottery results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""&amp;$A11))"),"chances lottery results")</f>
        <v>chances lottery results</v>
      </c>
      <c r="L11" s="13"/>
      <c r="M11" s="13" t="str">
        <f>IFERROR(__xludf.DUMMYFUNCTION("""COMPUTED_VALUE"""),"the island game bahamas")</f>
        <v>the island game bahamas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0" t="s">
        <v>2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""&amp;$A12))"),"island luck lottery post")</f>
        <v>island luck lottery post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""&amp;$A12))"),"chances games lottery post")</f>
        <v>chances games lottery post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""&amp;$A12))"),"ultra games lottery post")</f>
        <v>ultra games lottery post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""&amp;$A12))"),"paradise games lottery post")</f>
        <v>paradise games lottery post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""&amp;$A12))"),"pggames lottery post")</f>
        <v>pggames lottery post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""&amp;$A12))"),"asurewin lottery post")</f>
        <v>asurewin lottery post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""&amp;$A12))"),"a sure win lottery post")</f>
        <v>a sure win lottery post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""&amp;$A12))"),"everybody wins live lottery post")</f>
        <v>everybody wins live lottery post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""&amp;$A12))"),"the island game lottery post")</f>
        <v>the island game lottery post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""&amp;$A12))"),"chances lottery post")</f>
        <v>chances lottery post</v>
      </c>
      <c r="L12" s="13"/>
      <c r="M12" s="13" t="str">
        <f>IFERROR(__xludf.DUMMYFUNCTION("""COMPUTED_VALUE"""),"chances bahamas")</f>
        <v>chances bahamas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0" t="s">
        <v>284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""&amp;$A13))"),"island luck number")</f>
        <v>island luck number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""&amp;$A13))"),"chances games number")</f>
        <v>chances games number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""&amp;$A13))"),"ultra games number")</f>
        <v>ultra games number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""&amp;$A13))"),"paradise games number")</f>
        <v>paradise games number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""&amp;$A13))"),"pggames number")</f>
        <v>pggames number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""&amp;$A13))"),"asurewin number")</f>
        <v>asurewin number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""&amp;$A13))"),"a sure win number")</f>
        <v>a sure win number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""&amp;$A13))"),"everybody wins live number")</f>
        <v>everybody wins live number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""&amp;$A13))"),"the island game number")</f>
        <v>the island game number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""&amp;$A13))"),"chances number")</f>
        <v>chances number</v>
      </c>
      <c r="L13" s="13"/>
      <c r="M13" s="13" t="str">
        <f>IFERROR(__xludf.DUMMYFUNCTION("""COMPUTED_VALUE"""),"island luck login")</f>
        <v>island luck login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285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""&amp;$A14))"),"island luck numbers")</f>
        <v>island luck numbers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""&amp;$A14))"),"chances games numbers")</f>
        <v>chances games numbers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""&amp;$A14))"),"ultra games numbers")</f>
        <v>ultra games numbers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""&amp;$A14))"),"paradise games numbers")</f>
        <v>paradise games numbers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""&amp;$A14))"),"pggames numbers")</f>
        <v>pggames numbers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""&amp;$A14))"),"asurewin numbers")</f>
        <v>asurewin numbers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""&amp;$A14))"),"a sure win numbers")</f>
        <v>a sure win numbers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""&amp;$A14))"),"everybody wins live numbers")</f>
        <v>everybody wins live numbers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""&amp;$A14))"),"the island game numbers")</f>
        <v>the island game numbers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""&amp;$A14))"),"chances numbers")</f>
        <v>chances numbers</v>
      </c>
      <c r="L14" s="13"/>
      <c r="M14" s="13" t="str">
        <f>IFERROR(__xludf.DUMMYFUNCTION("""COMPUTED_VALUE"""),"chances games login")</f>
        <v>chances games login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130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""&amp;$A15))"),"island luck demo")</f>
        <v>island luck demo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""&amp;$A15))"),"chances games demo")</f>
        <v>chances games demo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""&amp;$A15))"),"ultra games demo")</f>
        <v>ultra games demo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""&amp;$A15))"),"paradise games demo")</f>
        <v>paradise games demo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""&amp;$A15))"),"pggames demo")</f>
        <v>pggames demo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""&amp;$A15))"),"asurewin demo")</f>
        <v>asurewin demo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""&amp;$A15))"),"a sure win demo")</f>
        <v>a sure win demo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""&amp;$A15))"),"everybody wins live demo")</f>
        <v>everybody wins live demo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""&amp;$A15))"),"the island game demo")</f>
        <v>the island game demo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""&amp;$A15))"),"chances demo")</f>
        <v>chances demo</v>
      </c>
      <c r="L15" s="13"/>
      <c r="M15" s="13" t="str">
        <f>IFERROR(__xludf.DUMMYFUNCTION("""COMPUTED_VALUE"""),"ultra games login")</f>
        <v>ultra games login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199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""&amp;$A16))"),"island luck games")</f>
        <v>island luck games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""&amp;$A16))"),"chances games")</f>
        <v>chances games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""&amp;$A16))"),"ultra games")</f>
        <v>ultra games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""&amp;$A16))"),"paradise games")</f>
        <v>paradise games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""&amp;$A16))"),"pggames games")</f>
        <v>pggames games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""&amp;$A16))"),"asurewin games")</f>
        <v>asurewin games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""&amp;$A16))"),"a sure win games")</f>
        <v>a sure win games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""&amp;$A16))"),"everybody wins live games")</f>
        <v>everybody wins live games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""&amp;$A16))"),"the island game")</f>
        <v>the island game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""&amp;$A16))"),"chances games")</f>
        <v>chances games</v>
      </c>
      <c r="L16" s="13"/>
      <c r="M16" s="13" t="str">
        <f>IFERROR(__xludf.DUMMYFUNCTION("""COMPUTED_VALUE"""),"paradise games login")</f>
        <v>paradise games login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10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""&amp;$A17))"),"island luck casino games")</f>
        <v>island luck casino games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""&amp;$A17))"),"chances games casino games")</f>
        <v>chances games casino games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""&amp;$A17))"),"ultra games casino games")</f>
        <v>ultra games casino games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""&amp;$A17))"),"paradise games casino games")</f>
        <v>paradise games casino games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""&amp;$A17))"),"pggames casino games")</f>
        <v>pggames casino games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""&amp;$A17))"),"asurewin casino games")</f>
        <v>asurewin casino games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""&amp;$A17))"),"a sure win casino games")</f>
        <v>a sure win casino games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""&amp;$A17))"),"everybody wins live casino games")</f>
        <v>everybody wins live casino games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""&amp;$A17))"),"the island game casino games")</f>
        <v>the island game casino games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""&amp;$A17))"),"chances casino games")</f>
        <v>chances casino games</v>
      </c>
      <c r="L17" s="13"/>
      <c r="M17" s="13" t="str">
        <f>IFERROR(__xludf.DUMMYFUNCTION("""COMPUTED_VALUE"""),"pggames login")</f>
        <v>pggames login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""&amp;$A18))"),"island luck online casino")</f>
        <v>island luck online casino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""&amp;$A18))"),"chances games online casino")</f>
        <v>chances games online casino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""&amp;$A18))"),"ultra games online casino")</f>
        <v>ultra games online casino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""&amp;$A18))"),"paradise games online casino")</f>
        <v>paradise games online casino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""&amp;$A18))"),"pggames online casino")</f>
        <v>pggames online casino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""&amp;$A18))"),"asurewin online casino")</f>
        <v>asurewin online casino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""&amp;$A18))"),"a sure win online casino")</f>
        <v>a sure win online casino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""&amp;$A18))"),"everybody wins live online casino")</f>
        <v>everybody wins live online casino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""&amp;$A18))"),"the island game online casino")</f>
        <v>the island game online casino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""&amp;$A18))"),"chances online casino")</f>
        <v>chances online casino</v>
      </c>
      <c r="L18" s="13"/>
      <c r="M18" s="13" t="str">
        <f>IFERROR(__xludf.DUMMYFUNCTION("""COMPUTED_VALUE"""),"asurewin login")</f>
        <v>asurewin login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34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""&amp;$A19))"),"island luck sportsbook")</f>
        <v>island luck sportsbook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""&amp;$A19))"),"chances games sportsbook")</f>
        <v>chances games sportsbook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""&amp;$A19))"),"ultra games sportsbook")</f>
        <v>ultra games sportsbook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""&amp;$A19))"),"paradise games sportsbook")</f>
        <v>paradise games sportsbook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""&amp;$A19))"),"pggames sportsbook")</f>
        <v>pggames sportsbook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""&amp;$A19))"),"asurewin sportsbook")</f>
        <v>asurewin sportsbook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""&amp;$A19))"),"a sure win sportsbook")</f>
        <v>a sure win sportsbook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""&amp;$A19))"),"everybody wins live sportsbook")</f>
        <v>everybody wins live sportsbook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""&amp;$A19))"),"the island game sportsbook")</f>
        <v>the island game sportsbook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""&amp;$A19))"),"chances sportsbook")</f>
        <v>chances sportsbook</v>
      </c>
      <c r="L19" s="13"/>
      <c r="M19" s="13" t="str">
        <f>IFERROR(__xludf.DUMMYFUNCTION("""COMPUTED_VALUE"""),"a sure win login")</f>
        <v>a sure win login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32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""&amp;$A20))"),"island luck sports betting")</f>
        <v>island luck sports betting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""&amp;$A20))"),"chances games sports betting")</f>
        <v>chances games sports betting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""&amp;$A20))"),"ultra games sports betting")</f>
        <v>ultra games sports betting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""&amp;$A20))"),"paradise games sports betting")</f>
        <v>paradise games sports betting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""&amp;$A20))"),"pggames sports betting")</f>
        <v>pggames sports betting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""&amp;$A20))"),"asurewin sports betting")</f>
        <v>asurewin sports betting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""&amp;$A20))"),"a sure win sports betting")</f>
        <v>a sure win sports betting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""&amp;$A20))"),"everybody wins live sports betting")</f>
        <v>everybody wins live sports betting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""&amp;$A20))"),"the island game sports betting")</f>
        <v>the island game sports betting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""&amp;$A20))"),"chances sports betting")</f>
        <v>chances sports betting</v>
      </c>
      <c r="L20" s="13"/>
      <c r="M20" s="13" t="str">
        <f>IFERROR(__xludf.DUMMYFUNCTION("""COMPUTED_VALUE"""),"everybody wins live login")</f>
        <v>everybody wins live login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67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""&amp;$A21))"),"island luck odds")</f>
        <v>island luck odds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""&amp;$A21))"),"chances games odds")</f>
        <v>chances games odds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""&amp;$A21))"),"ultra games odds")</f>
        <v>ultra games odds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""&amp;$A21))"),"paradise games odds")</f>
        <v>paradise games odds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""&amp;$A21))"),"pggames odds")</f>
        <v>pggames odds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""&amp;$A21))"),"asurewin odds")</f>
        <v>asurewin odds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""&amp;$A21))"),"a sure win odds")</f>
        <v>a sure win odds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""&amp;$A21))"),"everybody wins live odds")</f>
        <v>everybody wins live odds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""&amp;$A21))"),"the island game odds")</f>
        <v>the island game odds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""&amp;$A21))"),"chances odds")</f>
        <v>chances odds</v>
      </c>
      <c r="L21" s="13"/>
      <c r="M21" s="13" t="str">
        <f>IFERROR(__xludf.DUMMYFUNCTION("""COMPUTED_VALUE"""),"the island game login")</f>
        <v>the island game login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143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""&amp;$A22))"),"island luck locations")</f>
        <v>island luck locations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""&amp;$A22))"),"chances games locations")</f>
        <v>chances games locations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""&amp;$A22))"),"ultra games locations")</f>
        <v>ultra games locations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""&amp;$A22))"),"paradise games locations")</f>
        <v>paradise games locations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""&amp;$A22))"),"pggames locations")</f>
        <v>pggames locations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""&amp;$A22))"),"asurewin locations")</f>
        <v>asurewin locations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""&amp;$A22))"),"a sure win locations")</f>
        <v>a sure win locations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""&amp;$A22))"),"everybody wins live locations")</f>
        <v>everybody wins live locations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""&amp;$A22))"),"the island game locations")</f>
        <v>the island game locations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""&amp;$A22))"),"chances locations")</f>
        <v>chances locations</v>
      </c>
      <c r="L22" s="13"/>
      <c r="M22" s="13" t="str">
        <f>IFERROR(__xludf.DUMMYFUNCTION("""COMPUTED_VALUE"""),"chances login")</f>
        <v>chances login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138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""&amp;$A23))"),"island luck stores")</f>
        <v>island luck stores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""&amp;$A23))"),"chances games stores")</f>
        <v>chances games stores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""&amp;$A23))"),"ultra games stores")</f>
        <v>ultra games stores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""&amp;$A23))"),"paradise games stores")</f>
        <v>paradise games stores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""&amp;$A23))"),"pggames stores")</f>
        <v>pggames stores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""&amp;$A23))"),"asurewin stores")</f>
        <v>asurewin stores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""&amp;$A23))"),"a sure win stores")</f>
        <v>a sure win stores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""&amp;$A23))"),"everybody wins live stores")</f>
        <v>everybody wins live stores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""&amp;$A23))"),"the island game stores")</f>
        <v>the island game stores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""&amp;$A23))"),"chances stores")</f>
        <v>chances stores</v>
      </c>
      <c r="L23" s="13"/>
      <c r="M23" s="13" t="str">
        <f>IFERROR(__xludf.DUMMYFUNCTION("""COMPUTED_VALUE"""),"island luck mobile")</f>
        <v>island luck mobile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175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""&amp;$A24))"),"island luck near me")</f>
        <v>island luck near me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""&amp;$A24))"),"chances games near me")</f>
        <v>chances games near me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""&amp;$A24))"),"ultra games near me")</f>
        <v>ultra games near me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""&amp;$A24))"),"paradise games near me")</f>
        <v>paradise games near me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""&amp;$A24))"),"pggames near me")</f>
        <v>pggames near me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""&amp;$A24))"),"asurewin near me")</f>
        <v>asurewin near me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""&amp;$A24))"),"a sure win near me")</f>
        <v>a sure win near me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""&amp;$A24))"),"everybody wins live near me")</f>
        <v>everybody wins live near me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""&amp;$A24))"),"the island game near me")</f>
        <v>the island game near me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""&amp;$A24))"),"chances near me")</f>
        <v>chances near me</v>
      </c>
      <c r="L24" s="13"/>
      <c r="M24" s="13" t="str">
        <f>IFERROR(__xludf.DUMMYFUNCTION("""COMPUTED_VALUE"""),"chances games mobile")</f>
        <v>chances games mobile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141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""&amp;$A25))"),"island luck nassau")</f>
        <v>island luck nassau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""&amp;$A25))"),"chances games nassau")</f>
        <v>chances games nassau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""&amp;$A25))"),"ultra games nassau")</f>
        <v>ultra games nassau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""&amp;$A25))"),"paradise games nassau")</f>
        <v>paradise games nassau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""&amp;$A25))"),"pggames nassau")</f>
        <v>pggames nassau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""&amp;$A25))"),"asurewin nassau")</f>
        <v>asurewin nassau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""&amp;$A25))"),"a sure win nassau")</f>
        <v>a sure win nassau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""&amp;$A25))"),"everybody wins live nassau")</f>
        <v>everybody wins live nassau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""&amp;$A25))"),"the island game nassau")</f>
        <v>the island game nassau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""&amp;$A25))"),"chances nassau")</f>
        <v>chances nassau</v>
      </c>
      <c r="L25" s="13"/>
      <c r="M25" s="13" t="str">
        <f>IFERROR(__xludf.DUMMYFUNCTION("""COMPUTED_VALUE"""),"ultra games mobile")</f>
        <v>ultra games mobile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147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""&amp;$A26))"),"island luck freeport")</f>
        <v>island luck freeport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""&amp;$A26))"),"chances games freeport")</f>
        <v>chances games freeport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""&amp;$A26))"),"ultra games freeport")</f>
        <v>ultra games freeport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""&amp;$A26))"),"paradise games freeport")</f>
        <v>paradise games freeport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""&amp;$A26))"),"pggames freeport")</f>
        <v>pggames freeport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""&amp;$A26))"),"asurewin freeport")</f>
        <v>asurewin freeport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""&amp;$A26))"),"a sure win freeport")</f>
        <v>a sure win freeport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""&amp;$A26))"),"everybody wins live freeport")</f>
        <v>everybody wins live freeport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""&amp;$A26))"),"the island game freeport")</f>
        <v>the island game freeport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""&amp;$A26))"),"chances freeport")</f>
        <v>chances freeport</v>
      </c>
      <c r="L26" s="13"/>
      <c r="M26" s="13" t="str">
        <f>IFERROR(__xludf.DUMMYFUNCTION("""COMPUTED_VALUE"""),"paradise games mobile")</f>
        <v>paradise games mobile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286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""&amp;$A27))"),"island luck web cafe")</f>
        <v>island luck web cafe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""&amp;$A27))"),"chances games web cafe")</f>
        <v>chances games web cafe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""&amp;$A27))"),"ultra games web cafe")</f>
        <v>ultra games web cafe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""&amp;$A27))"),"paradise games web cafe")</f>
        <v>paradise games web cafe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""&amp;$A27))"),"pggames web cafe")</f>
        <v>pggames web cafe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""&amp;$A27))"),"asurewin web cafe")</f>
        <v>asurewin web cafe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""&amp;$A27))"),"a sure win web cafe")</f>
        <v>a sure win web cafe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""&amp;$A27))"),"everybody wins live web cafe")</f>
        <v>everybody wins live web cafe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""&amp;$A27))"),"the island game web cafe")</f>
        <v>the island game web cafe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""&amp;$A27))"),"chances web cafe")</f>
        <v>chances web cafe</v>
      </c>
      <c r="L27" s="13"/>
      <c r="M27" s="13" t="str">
        <f>IFERROR(__xludf.DUMMYFUNCTION("""COMPUTED_VALUE"""),"pggames mobile")</f>
        <v>pggames mobile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129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""&amp;$A28))"),"island luck deposit")</f>
        <v>island luck deposit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""&amp;$A28))"),"chances games deposit")</f>
        <v>chances games deposit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""&amp;$A28))"),"ultra games deposit")</f>
        <v>ultra games deposit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""&amp;$A28))"),"paradise games deposit")</f>
        <v>paradise games deposit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""&amp;$A28))"),"pggames deposit")</f>
        <v>pggames deposit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""&amp;$A28))"),"asurewin deposit")</f>
        <v>asurewin deposit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""&amp;$A28))"),"a sure win deposit")</f>
        <v>a sure win deposit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""&amp;$A28))"),"everybody wins live deposit")</f>
        <v>everybody wins live deposit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""&amp;$A28))"),"the island game deposit")</f>
        <v>the island game deposit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""&amp;$A28))"),"chances deposit")</f>
        <v>chances deposit</v>
      </c>
      <c r="L28" s="13"/>
      <c r="M28" s="13" t="str">
        <f>IFERROR(__xludf.DUMMYFUNCTION("""COMPUTED_VALUE"""),"asurewin mobile")</f>
        <v>asurewin mobile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133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""&amp;$A29))"),"island luck withdrawal")</f>
        <v>island luck withdrawal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""&amp;$A29))"),"chances games withdrawal")</f>
        <v>chances games withdrawal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""&amp;$A29))"),"ultra games withdrawal")</f>
        <v>ultra games withdrawal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""&amp;$A29))"),"paradise games withdrawal")</f>
        <v>paradise games withdrawal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""&amp;$A29))"),"pggames withdrawal")</f>
        <v>pggames withdrawal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""&amp;$A29))"),"asurewin withdrawal")</f>
        <v>asurewin withdrawal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""&amp;$A29))"),"a sure win withdrawal")</f>
        <v>a sure win withdrawal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""&amp;$A29))"),"everybody wins live withdrawal")</f>
        <v>everybody wins live withdrawal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""&amp;$A29))"),"the island game withdrawal")</f>
        <v>the island game withdrawal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""&amp;$A29))"),"chances withdrawal")</f>
        <v>chances withdrawal</v>
      </c>
      <c r="L29" s="13"/>
      <c r="M29" s="13" t="str">
        <f>IFERROR(__xludf.DUMMYFUNCTION("""COMPUTED_VALUE"""),"a sure win mobile")</f>
        <v>a sure win mobile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287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""&amp;$A30))"),"island luck cash out")</f>
        <v>island luck cash out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""&amp;$A30))"),"chances games cash out")</f>
        <v>chances games cash out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""&amp;$A30))"),"ultra games cash out")</f>
        <v>ultra games cash out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""&amp;$A30))"),"paradise games cash out")</f>
        <v>paradise games cash out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""&amp;$A30))"),"pggames cash out")</f>
        <v>pggames cash out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""&amp;$A30))"),"asurewin cash out")</f>
        <v>asurewin cash out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""&amp;$A30))"),"a sure win cash out")</f>
        <v>a sure win cash out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""&amp;$A30))"),"everybody wins live cash out")</f>
        <v>everybody wins live cash out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""&amp;$A30))"),"the island game cash out")</f>
        <v>the island game cash out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""&amp;$A30))"),"chances cash out")</f>
        <v>chances cash out</v>
      </c>
      <c r="L30" s="13"/>
      <c r="M30" s="13" t="str">
        <f>IFERROR(__xludf.DUMMYFUNCTION("""COMPUTED_VALUE"""),"everybody wins live mobile")</f>
        <v>everybody wins live mobile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288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""&amp;$A31))"),"island luck customer service")</f>
        <v>island luck customer service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""&amp;$A31))"),"chances games customer service")</f>
        <v>chances games customer service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""&amp;$A31))"),"ultra games customer service")</f>
        <v>ultra games customer service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""&amp;$A31))"),"paradise games customer service")</f>
        <v>paradise games customer service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""&amp;$A31))"),"pggames customer service")</f>
        <v>pggames customer service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""&amp;$A31))"),"asurewin customer service")</f>
        <v>asurewin customer service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""&amp;$A31))"),"a sure win customer service")</f>
        <v>a sure win customer service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""&amp;$A31))"),"everybody wins live customer service")</f>
        <v>everybody wins live customer service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""&amp;$A31))"),"the island game customer service")</f>
        <v>the island game customer service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""&amp;$A31))"),"chances customer service")</f>
        <v>chances customer service</v>
      </c>
      <c r="L31" s="13"/>
      <c r="M31" s="13" t="str">
        <f>IFERROR(__xludf.DUMMYFUNCTION("""COMPUTED_VALUE"""),"the island game mobile")</f>
        <v>the island game mobile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289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""&amp;$A32))"),"island luck contact")</f>
        <v>island luck contact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""&amp;$A32))"),"chances games contact")</f>
        <v>chances games contact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""&amp;$A32))"),"ultra games contact")</f>
        <v>ultra games contact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""&amp;$A32))"),"paradise games contact")</f>
        <v>paradise games contact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""&amp;$A32))"),"pggames contact")</f>
        <v>pggames contact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""&amp;$A32))"),"asurewin contact")</f>
        <v>asurewin contact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""&amp;$A32))"),"a sure win contact")</f>
        <v>a sure win contact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""&amp;$A32))"),"everybody wins live contact")</f>
        <v>everybody wins live contact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""&amp;$A32))"),"the island game contact")</f>
        <v>the island game contact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""&amp;$A32))"),"chances contact")</f>
        <v>chances contact</v>
      </c>
      <c r="L32" s="13"/>
      <c r="M32" s="13" t="str">
        <f>IFERROR(__xludf.DUMMYFUNCTION("""COMPUTED_VALUE"""),"chances mobile")</f>
        <v>chances mobile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290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""&amp;$A33))"),"island luck phone number")</f>
        <v>island luck phone number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""&amp;$A33))"),"chances games phone number")</f>
        <v>chances games phone number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""&amp;$A33))"),"ultra games phone number")</f>
        <v>ultra games phone number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""&amp;$A33))"),"paradise games phone number")</f>
        <v>paradise games phone number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""&amp;$A33))"),"pggames phone number")</f>
        <v>pggames phone number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""&amp;$A33))"),"asurewin phone number")</f>
        <v>asurewin phone number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""&amp;$A33))"),"a sure win phone number")</f>
        <v>a sure win phone number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""&amp;$A33))"),"everybody wins live phone number")</f>
        <v>everybody wins live phone number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""&amp;$A33))"),"the island game phone number")</f>
        <v>the island game phone number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""&amp;$A33))"),"chances phone number")</f>
        <v>chances phone number</v>
      </c>
      <c r="L33" s="13"/>
      <c r="M33" s="13" t="str">
        <f>IFERROR(__xludf.DUMMYFUNCTION("""COMPUTED_VALUE"""),"island luck app")</f>
        <v>island luck app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291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""&amp;$A34))"),"island luck promotions")</f>
        <v>island luck promotions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""&amp;$A34))"),"chances games promotions")</f>
        <v>chances games promotions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""&amp;$A34))"),"ultra games promotions")</f>
        <v>ultra games promotions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""&amp;$A34))"),"paradise games promotions")</f>
        <v>paradise games promotions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""&amp;$A34))"),"pggames promotions")</f>
        <v>pggames promotions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""&amp;$A34))"),"asurewin promotions")</f>
        <v>asurewin promotions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""&amp;$A34))"),"a sure win promotions")</f>
        <v>a sure win promotions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""&amp;$A34))"),"everybody wins live promotions")</f>
        <v>everybody wins live promotions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""&amp;$A34))"),"the island game promotions")</f>
        <v>the island game promotions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""&amp;$A34))"),"chances promotions")</f>
        <v>chances promotions</v>
      </c>
      <c r="L34" s="13"/>
      <c r="M34" s="13" t="str">
        <f>IFERROR(__xludf.DUMMYFUNCTION("""COMPUTED_VALUE"""),"chances games app")</f>
        <v>chances games app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137</v>
      </c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""&amp;$A35))"),"island luck bonus")</f>
        <v>island luck bonus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""&amp;$A35))"),"chances games bonus")</f>
        <v>chances games bonus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""&amp;$A35))"),"ultra games bonus")</f>
        <v>ultra games bonus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""&amp;$A35))"),"paradise games bonus")</f>
        <v>paradise games bonus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""&amp;$A35))"),"pggames bonus")</f>
        <v>pggames bonus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""&amp;$A35))"),"asurewin bonus")</f>
        <v>asurewin bonus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""&amp;$A35))"),"a sure win bonus")</f>
        <v>a sure win bonus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""&amp;$A35))"),"everybody wins live bonus")</f>
        <v>everybody wins live bonus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""&amp;$A35))"),"the island game bonus")</f>
        <v>the island game bonus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""&amp;$A35))"),"chances bonus")</f>
        <v>chances bonus</v>
      </c>
      <c r="L35" s="13"/>
      <c r="M35" s="13" t="str">
        <f>IFERROR(__xludf.DUMMYFUNCTION("""COMPUTED_VALUE"""),"ultra games app")</f>
        <v>ultra games app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 t="s">
        <v>173</v>
      </c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""&amp;$A36))"),"island luck review")</f>
        <v>island luck review</v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""&amp;$A36))"),"chances games review")</f>
        <v>chances games review</v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""&amp;$A36))"),"ultra games review")</f>
        <v>ultra games review</v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""&amp;$A36))"),"paradise games review")</f>
        <v>paradise games review</v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""&amp;$A36))"),"pggames review")</f>
        <v>pggames review</v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""&amp;$A36))"),"asurewin review")</f>
        <v>asurewin review</v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""&amp;$A36))"),"a sure win review")</f>
        <v>a sure win review</v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""&amp;$A36))"),"everybody wins live review")</f>
        <v>everybody wins live review</v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""&amp;$A36))"),"the island game review")</f>
        <v>the island game review</v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""&amp;$A36))"),"chances review")</f>
        <v>chances review</v>
      </c>
      <c r="L36" s="13"/>
      <c r="M36" s="13" t="str">
        <f>IFERROR(__xludf.DUMMYFUNCTION("""COMPUTED_VALUE"""),"paradise games app")</f>
        <v>paradise games app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 t="s">
        <v>174</v>
      </c>
      <c r="B37" s="12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""&amp;$A37))"),"island luck reviews")</f>
        <v>island luck reviews</v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""&amp;$A37))"),"chances games reviews")</f>
        <v>chances games reviews</v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""&amp;$A37))"),"ultra games reviews")</f>
        <v>ultra games reviews</v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""&amp;$A37))"),"paradise games reviews")</f>
        <v>paradise games reviews</v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""&amp;$A37))"),"pggames reviews")</f>
        <v>pggames reviews</v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""&amp;$A37))"),"asurewin reviews")</f>
        <v>asurewin reviews</v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""&amp;$A37))"),"a sure win reviews")</f>
        <v>a sure win reviews</v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""&amp;$A37))"),"everybody wins live reviews")</f>
        <v>everybody wins live reviews</v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""&amp;$A37))"),"the island game reviews")</f>
        <v>the island game reviews</v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""&amp;$A37))"),"chances reviews")</f>
        <v>chances reviews</v>
      </c>
      <c r="L37" s="13"/>
      <c r="M37" s="13" t="str">
        <f>IFERROR(__xludf.DUMMYFUNCTION("""COMPUTED_VALUE"""),"pggames app")</f>
        <v>pggames app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 t="s">
        <v>292</v>
      </c>
      <c r="B38" s="12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""&amp;$A38))"),"island luck alternative")</f>
        <v>island luck alternative</v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""&amp;$A38))"),"chances games alternative")</f>
        <v>chances games alternative</v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""&amp;$A38))"),"ultra games alternative")</f>
        <v>ultra games alternative</v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""&amp;$A38))"),"paradise games alternative")</f>
        <v>paradise games alternative</v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""&amp;$A38))"),"pggames alternative")</f>
        <v>pggames alternative</v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""&amp;$A38))"),"asurewin alternative")</f>
        <v>asurewin alternative</v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""&amp;$A38))"),"a sure win alternative")</f>
        <v>a sure win alternative</v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""&amp;$A38))"),"everybody wins live alternative")</f>
        <v>everybody wins live alternative</v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""&amp;$A38))"),"the island game alternative")</f>
        <v>the island game alternative</v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""&amp;$A38))"),"chances alternative")</f>
        <v>chances alternative</v>
      </c>
      <c r="L38" s="13"/>
      <c r="M38" s="13" t="str">
        <f>IFERROR(__xludf.DUMMYFUNCTION("""COMPUTED_VALUE"""),"asurewin app")</f>
        <v>asurewin app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 t="s">
        <v>293</v>
      </c>
      <c r="B39" s="12" t="str">
        <f>IFERROR(__xludf.DUMMYFUNCTION("IF($A39="""","""",IF(OR(REGEXMATCH(LOWER(B$1),""(^| )""&amp;LOWER($A39)&amp;""($| )""),AND(RIGHT(LOWER($A39),1)=""s"",REGEXMATCH(LOWER(B$1),""(^| )""&amp;LEFT(LOWER($A39),LEN($A39)-1)&amp;""($| )""))),B$1,B$1&amp;"" ""&amp;$A39))"),"island luck alternatives")</f>
        <v>island luck alternatives</v>
      </c>
      <c r="C39" s="13" t="str">
        <f>IFERROR(__xludf.DUMMYFUNCTION("IF($A39="""","""",IF(OR(REGEXMATCH(LOWER(C$1),""(^| )""&amp;LOWER($A39)&amp;""($| )""),AND(RIGHT(LOWER($A39),1)=""s"",REGEXMATCH(LOWER(C$1),""(^| )""&amp;LEFT(LOWER($A39),LEN($A39)-1)&amp;""($| )""))),C$1,C$1&amp;"" ""&amp;$A39))"),"chances games alternatives")</f>
        <v>chances games alternatives</v>
      </c>
      <c r="D39" s="13" t="str">
        <f>IFERROR(__xludf.DUMMYFUNCTION("IF($A39="""","""",IF(OR(REGEXMATCH(LOWER(D$1),""(^| )""&amp;LOWER($A39)&amp;""($| )""),AND(RIGHT(LOWER($A39),1)=""s"",REGEXMATCH(LOWER(D$1),""(^| )""&amp;LEFT(LOWER($A39),LEN($A39)-1)&amp;""($| )""))),D$1,D$1&amp;"" ""&amp;$A39))"),"ultra games alternatives")</f>
        <v>ultra games alternatives</v>
      </c>
      <c r="E39" s="13" t="str">
        <f>IFERROR(__xludf.DUMMYFUNCTION("IF($A39="""","""",IF(OR(REGEXMATCH(LOWER(E$1),""(^| )""&amp;LOWER($A39)&amp;""($| )""),AND(RIGHT(LOWER($A39),1)=""s"",REGEXMATCH(LOWER(E$1),""(^| )""&amp;LEFT(LOWER($A39),LEN($A39)-1)&amp;""($| )""))),E$1,E$1&amp;"" ""&amp;$A39))"),"paradise games alternatives")</f>
        <v>paradise games alternatives</v>
      </c>
      <c r="F39" s="13" t="str">
        <f>IFERROR(__xludf.DUMMYFUNCTION("IF($A39="""","""",IF(OR(REGEXMATCH(LOWER(F$1),""(^| )""&amp;LOWER($A39)&amp;""($| )""),AND(RIGHT(LOWER($A39),1)=""s"",REGEXMATCH(LOWER(F$1),""(^| )""&amp;LEFT(LOWER($A39),LEN($A39)-1)&amp;""($| )""))),F$1,F$1&amp;"" ""&amp;$A39))"),"pggames alternatives")</f>
        <v>pggames alternatives</v>
      </c>
      <c r="G39" s="13" t="str">
        <f>IFERROR(__xludf.DUMMYFUNCTION("IF($A39="""","""",IF(OR(REGEXMATCH(LOWER(G$1),""(^| )""&amp;LOWER($A39)&amp;""($| )""),AND(RIGHT(LOWER($A39),1)=""s"",REGEXMATCH(LOWER(G$1),""(^| )""&amp;LEFT(LOWER($A39),LEN($A39)-1)&amp;""($| )""))),G$1,G$1&amp;"" ""&amp;$A39))"),"asurewin alternatives")</f>
        <v>asurewin alternatives</v>
      </c>
      <c r="H39" s="13" t="str">
        <f>IFERROR(__xludf.DUMMYFUNCTION("IF($A39="""","""",IF(OR(REGEXMATCH(LOWER(H$1),""(^| )""&amp;LOWER($A39)&amp;""($| )""),AND(RIGHT(LOWER($A39),1)=""s"",REGEXMATCH(LOWER(H$1),""(^| )""&amp;LEFT(LOWER($A39),LEN($A39)-1)&amp;""($| )""))),H$1,H$1&amp;"" ""&amp;$A39))"),"a sure win alternatives")</f>
        <v>a sure win alternatives</v>
      </c>
      <c r="I39" s="13" t="str">
        <f>IFERROR(__xludf.DUMMYFUNCTION("IF($A39="""","""",IF(OR(REGEXMATCH(LOWER(I$1),""(^| )""&amp;LOWER($A39)&amp;""($| )""),AND(RIGHT(LOWER($A39),1)=""s"",REGEXMATCH(LOWER(I$1),""(^| )""&amp;LEFT(LOWER($A39),LEN($A39)-1)&amp;""($| )""))),I$1,I$1&amp;"" ""&amp;$A39))"),"everybody wins live alternatives")</f>
        <v>everybody wins live alternatives</v>
      </c>
      <c r="J39" s="13" t="str">
        <f>IFERROR(__xludf.DUMMYFUNCTION("IF($A39="""","""",IF(OR(REGEXMATCH(LOWER(J$1),""(^| )""&amp;LOWER($A39)&amp;""($| )""),AND(RIGHT(LOWER($A39),1)=""s"",REGEXMATCH(LOWER(J$1),""(^| )""&amp;LEFT(LOWER($A39),LEN($A39)-1)&amp;""($| )""))),J$1,J$1&amp;"" ""&amp;$A39))"),"the island game alternatives")</f>
        <v>the island game alternatives</v>
      </c>
      <c r="K39" s="13" t="str">
        <f>IFERROR(__xludf.DUMMYFUNCTION("IF($A39="""","""",IF(OR(REGEXMATCH(LOWER(K$1),""(^| )""&amp;LOWER($A39)&amp;""($| )""),AND(RIGHT(LOWER($A39),1)=""s"",REGEXMATCH(LOWER(K$1),""(^| )""&amp;LEFT(LOWER($A39),LEN($A39)-1)&amp;""($| )""))),K$1,K$1&amp;"" ""&amp;$A39))"),"chances alternatives")</f>
        <v>chances alternatives</v>
      </c>
      <c r="L39" s="13"/>
      <c r="M39" s="13" t="str">
        <f>IFERROR(__xludf.DUMMYFUNCTION("""COMPUTED_VALUE"""),"a sure win app")</f>
        <v>a sure win app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 t="s">
        <v>294</v>
      </c>
      <c r="B40" s="13" t="str">
        <f>IFERROR(__xludf.DUMMYFUNCTION("IF($A40="""","""",IF(OR(REGEXMATCH(LOWER(B$1),""(^| )""&amp;LOWER($A40)&amp;""($| )""),AND(RIGHT(LOWER($A40),1)=""s"",REGEXMATCH(LOWER(B$1),""(^| )""&amp;LEFT(LOWER($A40),LEN($A40)-1)&amp;""($| )""))),B$1,B$1&amp;"" ""&amp;$A40))"),"island luck vs paradise games")</f>
        <v>island luck vs paradise games</v>
      </c>
      <c r="C40" s="13" t="str">
        <f>IFERROR(__xludf.DUMMYFUNCTION("IF($A40="""","""",IF(OR(REGEXMATCH(LOWER(C$1),""(^| )""&amp;LOWER($A40)&amp;""($| )""),AND(RIGHT(LOWER($A40),1)=""s"",REGEXMATCH(LOWER(C$1),""(^| )""&amp;LEFT(LOWER($A40),LEN($A40)-1)&amp;""($| )""))),C$1,C$1&amp;"" ""&amp;$A40))"),"chances games vs paradise games")</f>
        <v>chances games vs paradise games</v>
      </c>
      <c r="D40" s="13" t="str">
        <f>IFERROR(__xludf.DUMMYFUNCTION("IF($A40="""","""",IF(OR(REGEXMATCH(LOWER(D$1),""(^| )""&amp;LOWER($A40)&amp;""($| )""),AND(RIGHT(LOWER($A40),1)=""s"",REGEXMATCH(LOWER(D$1),""(^| )""&amp;LEFT(LOWER($A40),LEN($A40)-1)&amp;""($| )""))),D$1,D$1&amp;"" ""&amp;$A40))"),"ultra games vs paradise games")</f>
        <v>ultra games vs paradise games</v>
      </c>
      <c r="E40" s="13" t="str">
        <f>IFERROR(__xludf.DUMMYFUNCTION("IF($A40="""","""",IF(OR(REGEXMATCH(LOWER(E$1),""(^| )""&amp;LOWER($A40)&amp;""($| )""),AND(RIGHT(LOWER($A40),1)=""s"",REGEXMATCH(LOWER(E$1),""(^| )""&amp;LEFT(LOWER($A40),LEN($A40)-1)&amp;""($| )""))),E$1,E$1&amp;"" ""&amp;$A40))"),"paradise games vs paradise games")</f>
        <v>paradise games vs paradise games</v>
      </c>
      <c r="F40" s="13" t="str">
        <f>IFERROR(__xludf.DUMMYFUNCTION("IF($A40="""","""",IF(OR(REGEXMATCH(LOWER(F$1),""(^| )""&amp;LOWER($A40)&amp;""($| )""),AND(RIGHT(LOWER($A40),1)=""s"",REGEXMATCH(LOWER(F$1),""(^| )""&amp;LEFT(LOWER($A40),LEN($A40)-1)&amp;""($| )""))),F$1,F$1&amp;"" ""&amp;$A40))"),"pggames vs paradise games")</f>
        <v>pggames vs paradise games</v>
      </c>
      <c r="G40" s="13" t="str">
        <f>IFERROR(__xludf.DUMMYFUNCTION("IF($A40="""","""",IF(OR(REGEXMATCH(LOWER(G$1),""(^| )""&amp;LOWER($A40)&amp;""($| )""),AND(RIGHT(LOWER($A40),1)=""s"",REGEXMATCH(LOWER(G$1),""(^| )""&amp;LEFT(LOWER($A40),LEN($A40)-1)&amp;""($| )""))),G$1,G$1&amp;"" ""&amp;$A40))"),"asurewin vs paradise games")</f>
        <v>asurewin vs paradise games</v>
      </c>
      <c r="H40" s="13" t="str">
        <f>IFERROR(__xludf.DUMMYFUNCTION("IF($A40="""","""",IF(OR(REGEXMATCH(LOWER(H$1),""(^| )""&amp;LOWER($A40)&amp;""($| )""),AND(RIGHT(LOWER($A40),1)=""s"",REGEXMATCH(LOWER(H$1),""(^| )""&amp;LEFT(LOWER($A40),LEN($A40)-1)&amp;""($| )""))),H$1,H$1&amp;"" ""&amp;$A40))"),"a sure win vs paradise games")</f>
        <v>a sure win vs paradise games</v>
      </c>
      <c r="I40" s="13" t="str">
        <f>IFERROR(__xludf.DUMMYFUNCTION("IF($A40="""","""",IF(OR(REGEXMATCH(LOWER(I$1),""(^| )""&amp;LOWER($A40)&amp;""($| )""),AND(RIGHT(LOWER($A40),1)=""s"",REGEXMATCH(LOWER(I$1),""(^| )""&amp;LEFT(LOWER($A40),LEN($A40)-1)&amp;""($| )""))),I$1,I$1&amp;"" ""&amp;$A40))"),"everybody wins live vs paradise games")</f>
        <v>everybody wins live vs paradise games</v>
      </c>
      <c r="J40" s="13" t="str">
        <f>IFERROR(__xludf.DUMMYFUNCTION("IF($A40="""","""",IF(OR(REGEXMATCH(LOWER(J$1),""(^| )""&amp;LOWER($A40)&amp;""($| )""),AND(RIGHT(LOWER($A40),1)=""s"",REGEXMATCH(LOWER(J$1),""(^| )""&amp;LEFT(LOWER($A40),LEN($A40)-1)&amp;""($| )""))),J$1,J$1&amp;"" ""&amp;$A40))"),"the island game vs paradise games")</f>
        <v>the island game vs paradise games</v>
      </c>
      <c r="K40" s="13" t="str">
        <f>IFERROR(__xludf.DUMMYFUNCTION("IF($A40="""","""",IF(OR(REGEXMATCH(LOWER(K$1),""(^| )""&amp;LOWER($A40)&amp;""($| )""),AND(RIGHT(LOWER($A40),1)=""s"",REGEXMATCH(LOWER(K$1),""(^| )""&amp;LEFT(LOWER($A40),LEN($A40)-1)&amp;""($| )""))),K$1,K$1&amp;"" ""&amp;$A40))"),"chances vs paradise games")</f>
        <v>chances vs paradise games</v>
      </c>
      <c r="L40" s="13"/>
      <c r="M40" s="13" t="str">
        <f>IFERROR(__xludf.DUMMYFUNCTION("""COMPUTED_VALUE"""),"everybody wins live app")</f>
        <v>everybody wins live app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 t="s">
        <v>295</v>
      </c>
      <c r="B41" s="13" t="str">
        <f>IFERROR(__xludf.DUMMYFUNCTION("IF($A41="""","""",IF(OR(REGEXMATCH(LOWER(B$1),""(^| )""&amp;LOWER($A41)&amp;""($| )""),AND(RIGHT(LOWER($A41),1)=""s"",REGEXMATCH(LOWER(B$1),""(^| )""&amp;LEFT(LOWER($A41),LEN($A41)-1)&amp;""($| )""))),B$1,B$1&amp;"" ""&amp;$A41))"),"island luck pggames com")</f>
        <v>island luck pggames com</v>
      </c>
      <c r="C41" s="13" t="str">
        <f>IFERROR(__xludf.DUMMYFUNCTION("IF($A41="""","""",IF(OR(REGEXMATCH(LOWER(C$1),""(^| )""&amp;LOWER($A41)&amp;""($| )""),AND(RIGHT(LOWER($A41),1)=""s"",REGEXMATCH(LOWER(C$1),""(^| )""&amp;LEFT(LOWER($A41),LEN($A41)-1)&amp;""($| )""))),C$1,C$1&amp;"" ""&amp;$A41))"),"chances games pggames com")</f>
        <v>chances games pggames com</v>
      </c>
      <c r="D41" s="13" t="str">
        <f>IFERROR(__xludf.DUMMYFUNCTION("IF($A41="""","""",IF(OR(REGEXMATCH(LOWER(D$1),""(^| )""&amp;LOWER($A41)&amp;""($| )""),AND(RIGHT(LOWER($A41),1)=""s"",REGEXMATCH(LOWER(D$1),""(^| )""&amp;LEFT(LOWER($A41),LEN($A41)-1)&amp;""($| )""))),D$1,D$1&amp;"" ""&amp;$A41))"),"ultra games pggames com")</f>
        <v>ultra games pggames com</v>
      </c>
      <c r="E41" s="13" t="str">
        <f>IFERROR(__xludf.DUMMYFUNCTION("IF($A41="""","""",IF(OR(REGEXMATCH(LOWER(E$1),""(^| )""&amp;LOWER($A41)&amp;""($| )""),AND(RIGHT(LOWER($A41),1)=""s"",REGEXMATCH(LOWER(E$1),""(^| )""&amp;LEFT(LOWER($A41),LEN($A41)-1)&amp;""($| )""))),E$1,E$1&amp;"" ""&amp;$A41))"),"paradise games pggames com")</f>
        <v>paradise games pggames com</v>
      </c>
      <c r="F41" s="13" t="str">
        <f>IFERROR(__xludf.DUMMYFUNCTION("IF($A41="""","""",IF(OR(REGEXMATCH(LOWER(F$1),""(^| )""&amp;LOWER($A41)&amp;""($| )""),AND(RIGHT(LOWER($A41),1)=""s"",REGEXMATCH(LOWER(F$1),""(^| )""&amp;LEFT(LOWER($A41),LEN($A41)-1)&amp;""($| )""))),F$1,F$1&amp;"" ""&amp;$A41))"),"pggames pggames com")</f>
        <v>pggames pggames com</v>
      </c>
      <c r="G41" s="13" t="str">
        <f>IFERROR(__xludf.DUMMYFUNCTION("IF($A41="""","""",IF(OR(REGEXMATCH(LOWER(G$1),""(^| )""&amp;LOWER($A41)&amp;""($| )""),AND(RIGHT(LOWER($A41),1)=""s"",REGEXMATCH(LOWER(G$1),""(^| )""&amp;LEFT(LOWER($A41),LEN($A41)-1)&amp;""($| )""))),G$1,G$1&amp;"" ""&amp;$A41))"),"asurewin pggames com")</f>
        <v>asurewin pggames com</v>
      </c>
      <c r="H41" s="13" t="str">
        <f>IFERROR(__xludf.DUMMYFUNCTION("IF($A41="""","""",IF(OR(REGEXMATCH(LOWER(H$1),""(^| )""&amp;LOWER($A41)&amp;""($| )""),AND(RIGHT(LOWER($A41),1)=""s"",REGEXMATCH(LOWER(H$1),""(^| )""&amp;LEFT(LOWER($A41),LEN($A41)-1)&amp;""($| )""))),H$1,H$1&amp;"" ""&amp;$A41))"),"a sure win pggames com")</f>
        <v>a sure win pggames com</v>
      </c>
      <c r="I41" s="13" t="str">
        <f>IFERROR(__xludf.DUMMYFUNCTION("IF($A41="""","""",IF(OR(REGEXMATCH(LOWER(I$1),""(^| )""&amp;LOWER($A41)&amp;""($| )""),AND(RIGHT(LOWER($A41),1)=""s"",REGEXMATCH(LOWER(I$1),""(^| )""&amp;LEFT(LOWER($A41),LEN($A41)-1)&amp;""($| )""))),I$1,I$1&amp;"" ""&amp;$A41))"),"everybody wins live pggames com")</f>
        <v>everybody wins live pggames com</v>
      </c>
      <c r="J41" s="13" t="str">
        <f>IFERROR(__xludf.DUMMYFUNCTION("IF($A41="""","""",IF(OR(REGEXMATCH(LOWER(J$1),""(^| )""&amp;LOWER($A41)&amp;""($| )""),AND(RIGHT(LOWER($A41),1)=""s"",REGEXMATCH(LOWER(J$1),""(^| )""&amp;LEFT(LOWER($A41),LEN($A41)-1)&amp;""($| )""))),J$1,J$1&amp;"" ""&amp;$A41))"),"the island game pggames com")</f>
        <v>the island game pggames com</v>
      </c>
      <c r="K41" s="13" t="str">
        <f>IFERROR(__xludf.DUMMYFUNCTION("IF($A41="""","""",IF(OR(REGEXMATCH(LOWER(K$1),""(^| )""&amp;LOWER($A41)&amp;""($| )""),AND(RIGHT(LOWER($A41),1)=""s"",REGEXMATCH(LOWER(K$1),""(^| )""&amp;LEFT(LOWER($A41),LEN($A41)-1)&amp;""($| )""))),K$1,K$1&amp;"" ""&amp;$A41))"),"chances pggames com")</f>
        <v>chances pggames com</v>
      </c>
      <c r="L41" s="13"/>
      <c r="M41" s="13" t="str">
        <f>IFERROR(__xludf.DUMMYFUNCTION("""COMPUTED_VALUE"""),"the island game app")</f>
        <v>the island game app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 t="s">
        <v>54</v>
      </c>
      <c r="B42" s="13" t="str">
        <f>IFERROR(__xludf.DUMMYFUNCTION("IF($A42="""","""",IF(OR(REGEXMATCH(LOWER(B$1),""(^| )""&amp;LOWER($A42)&amp;""($| )""),AND(RIGHT(LOWER($A42),1)=""s"",REGEXMATCH(LOWER(B$1),""(^| )""&amp;LEFT(LOWER($A42),LEN($A42)-1)&amp;""($| )""))),B$1,B$1&amp;"" ""&amp;$A42))"),"island luck caribbean")</f>
        <v>island luck caribbean</v>
      </c>
      <c r="C42" s="13" t="str">
        <f>IFERROR(__xludf.DUMMYFUNCTION("IF($A42="""","""",IF(OR(REGEXMATCH(LOWER(C$1),""(^| )""&amp;LOWER($A42)&amp;""($| )""),AND(RIGHT(LOWER($A42),1)=""s"",REGEXMATCH(LOWER(C$1),""(^| )""&amp;LEFT(LOWER($A42),LEN($A42)-1)&amp;""($| )""))),C$1,C$1&amp;"" ""&amp;$A42))"),"chances games caribbean")</f>
        <v>chances games caribbean</v>
      </c>
      <c r="D42" s="13" t="str">
        <f>IFERROR(__xludf.DUMMYFUNCTION("IF($A42="""","""",IF(OR(REGEXMATCH(LOWER(D$1),""(^| )""&amp;LOWER($A42)&amp;""($| )""),AND(RIGHT(LOWER($A42),1)=""s"",REGEXMATCH(LOWER(D$1),""(^| )""&amp;LEFT(LOWER($A42),LEN($A42)-1)&amp;""($| )""))),D$1,D$1&amp;"" ""&amp;$A42))"),"ultra games caribbean")</f>
        <v>ultra games caribbean</v>
      </c>
      <c r="E42" s="13" t="str">
        <f>IFERROR(__xludf.DUMMYFUNCTION("IF($A42="""","""",IF(OR(REGEXMATCH(LOWER(E$1),""(^| )""&amp;LOWER($A42)&amp;""($| )""),AND(RIGHT(LOWER($A42),1)=""s"",REGEXMATCH(LOWER(E$1),""(^| )""&amp;LEFT(LOWER($A42),LEN($A42)-1)&amp;""($| )""))),E$1,E$1&amp;"" ""&amp;$A42))"),"paradise games caribbean")</f>
        <v>paradise games caribbean</v>
      </c>
      <c r="F42" s="13" t="str">
        <f>IFERROR(__xludf.DUMMYFUNCTION("IF($A42="""","""",IF(OR(REGEXMATCH(LOWER(F$1),""(^| )""&amp;LOWER($A42)&amp;""($| )""),AND(RIGHT(LOWER($A42),1)=""s"",REGEXMATCH(LOWER(F$1),""(^| )""&amp;LEFT(LOWER($A42),LEN($A42)-1)&amp;""($| )""))),F$1,F$1&amp;"" ""&amp;$A42))"),"pggames caribbean")</f>
        <v>pggames caribbean</v>
      </c>
      <c r="G42" s="13" t="str">
        <f>IFERROR(__xludf.DUMMYFUNCTION("IF($A42="""","""",IF(OR(REGEXMATCH(LOWER(G$1),""(^| )""&amp;LOWER($A42)&amp;""($| )""),AND(RIGHT(LOWER($A42),1)=""s"",REGEXMATCH(LOWER(G$1),""(^| )""&amp;LEFT(LOWER($A42),LEN($A42)-1)&amp;""($| )""))),G$1,G$1&amp;"" ""&amp;$A42))"),"asurewin caribbean")</f>
        <v>asurewin caribbean</v>
      </c>
      <c r="H42" s="13" t="str">
        <f>IFERROR(__xludf.DUMMYFUNCTION("IF($A42="""","""",IF(OR(REGEXMATCH(LOWER(H$1),""(^| )""&amp;LOWER($A42)&amp;""($| )""),AND(RIGHT(LOWER($A42),1)=""s"",REGEXMATCH(LOWER(H$1),""(^| )""&amp;LEFT(LOWER($A42),LEN($A42)-1)&amp;""($| )""))),H$1,H$1&amp;"" ""&amp;$A42))"),"a sure win caribbean")</f>
        <v>a sure win caribbean</v>
      </c>
      <c r="I42" s="13" t="str">
        <f>IFERROR(__xludf.DUMMYFUNCTION("IF($A42="""","""",IF(OR(REGEXMATCH(LOWER(I$1),""(^| )""&amp;LOWER($A42)&amp;""($| )""),AND(RIGHT(LOWER($A42),1)=""s"",REGEXMATCH(LOWER(I$1),""(^| )""&amp;LEFT(LOWER($A42),LEN($A42)-1)&amp;""($| )""))),I$1,I$1&amp;"" ""&amp;$A42))"),"everybody wins live caribbean")</f>
        <v>everybody wins live caribbean</v>
      </c>
      <c r="J42" s="13" t="str">
        <f>IFERROR(__xludf.DUMMYFUNCTION("IF($A42="""","""",IF(OR(REGEXMATCH(LOWER(J$1),""(^| )""&amp;LOWER($A42)&amp;""($| )""),AND(RIGHT(LOWER($A42),1)=""s"",REGEXMATCH(LOWER(J$1),""(^| )""&amp;LEFT(LOWER($A42),LEN($A42)-1)&amp;""($| )""))),J$1,J$1&amp;"" ""&amp;$A42))"),"the island game caribbean")</f>
        <v>the island game caribbean</v>
      </c>
      <c r="K42" s="13" t="str">
        <f>IFERROR(__xludf.DUMMYFUNCTION("IF($A42="""","""",IF(OR(REGEXMATCH(LOWER(K$1),""(^| )""&amp;LOWER($A42)&amp;""($| )""),AND(RIGHT(LOWER($A42),1)=""s"",REGEXMATCH(LOWER(K$1),""(^| )""&amp;LEFT(LOWER($A42),LEN($A42)-1)&amp;""($| )""))),K$1,K$1&amp;"" ""&amp;$A42))"),"chances caribbean")</f>
        <v>chances caribbean</v>
      </c>
      <c r="L42" s="13"/>
      <c r="M42" s="13" t="str">
        <f>IFERROR(__xludf.DUMMYFUNCTION("""COMPUTED_VALUE"""),"chances app")</f>
        <v>chances app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IFERROR(__xludf.DUMMYFUNCTION("""COMPUTED_VALUE"""),"island luck winning numbers")</f>
        <v>island luck winning numbers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IFERROR(__xludf.DUMMYFUNCTION("""COMPUTED_VALUE"""),"chances games winning numbers")</f>
        <v>chances games winning numbers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IFERROR(__xludf.DUMMYFUNCTION("""COMPUTED_VALUE"""),"ultra games winning numbers")</f>
        <v>ultra games winning numbers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IFERROR(__xludf.DUMMYFUNCTION("""COMPUTED_VALUE"""),"paradise games winning numbers")</f>
        <v>paradise games winning numbers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IFERROR(__xludf.DUMMYFUNCTION("""COMPUTED_VALUE"""),"pggames winning numbers")</f>
        <v>pggames winning numbers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IFERROR(__xludf.DUMMYFUNCTION("""COMPUTED_VALUE"""),"asurewin winning numbers")</f>
        <v>asurewin winning numbers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IFERROR(__xludf.DUMMYFUNCTION("""COMPUTED_VALUE"""),"a sure win winning numbers")</f>
        <v>a sure win winning numbers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IFERROR(__xludf.DUMMYFUNCTION("""COMPUTED_VALUE"""),"everybody wins live winning numbers")</f>
        <v>everybody wins live winning numbers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IFERROR(__xludf.DUMMYFUNCTION("""COMPUTED_VALUE"""),"the island game winning numbers")</f>
        <v>the island game winning numbers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IFERROR(__xludf.DUMMYFUNCTION("""COMPUTED_VALUE"""),"chances winning numbers")</f>
        <v>chances winning numbers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IFERROR(__xludf.DUMMYFUNCTION("""COMPUTED_VALUE"""),"island luck winning number")</f>
        <v>island luck winning number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IFERROR(__xludf.DUMMYFUNCTION("""COMPUTED_VALUE"""),"chances games winning number")</f>
        <v>chances games winning number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IFERROR(__xludf.DUMMYFUNCTION("""COMPUTED_VALUE"""),"ultra games winning number")</f>
        <v>ultra games winning number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IFERROR(__xludf.DUMMYFUNCTION("""COMPUTED_VALUE"""),"paradise games winning number")</f>
        <v>paradise games winning number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6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IFERROR(__xludf.DUMMYFUNCTION("""COMPUTED_VALUE"""),"pggames winning number")</f>
        <v>pggames winning number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IFERROR(__xludf.DUMMYFUNCTION("""COMPUTED_VALUE"""),"asurewin winning number")</f>
        <v>asurewin winning number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IFERROR(__xludf.DUMMYFUNCTION("""COMPUTED_VALUE"""),"a sure win winning number")</f>
        <v>a sure win winning number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IFERROR(__xludf.DUMMYFUNCTION("""COMPUTED_VALUE"""),"everybody wins live winning number")</f>
        <v>everybody wins live winning number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IFERROR(__xludf.DUMMYFUNCTION("""COMPUTED_VALUE"""),"the island game winning number")</f>
        <v>the island game winning number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IFERROR(__xludf.DUMMYFUNCTION("""COMPUTED_VALUE"""),"chances winning number")</f>
        <v>chances winning number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IFERROR(__xludf.DUMMYFUNCTION("""COMPUTED_VALUE"""),"island luck winning numbers today")</f>
        <v>island luck winning numbers today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IFERROR(__xludf.DUMMYFUNCTION("""COMPUTED_VALUE"""),"chances games winning numbers today")</f>
        <v>chances games winning numbers today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IFERROR(__xludf.DUMMYFUNCTION("""COMPUTED_VALUE"""),"ultra games winning numbers today")</f>
        <v>ultra games winning numbers today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IFERROR(__xludf.DUMMYFUNCTION("""COMPUTED_VALUE"""),"paradise games winning numbers today")</f>
        <v>paradise games winning numbers today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IFERROR(__xludf.DUMMYFUNCTION("""COMPUTED_VALUE"""),"pggames winning numbers today")</f>
        <v>pggames winning numbers today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IFERROR(__xludf.DUMMYFUNCTION("""COMPUTED_VALUE"""),"asurewin winning numbers today")</f>
        <v>asurewin winning numbers today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IFERROR(__xludf.DUMMYFUNCTION("""COMPUTED_VALUE"""),"a sure win winning numbers today")</f>
        <v>a sure win winning numbers today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IFERROR(__xludf.DUMMYFUNCTION("""COMPUTED_VALUE"""),"everybody wins live winning numbers today")</f>
        <v>everybody wins live winning numbers today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IFERROR(__xludf.DUMMYFUNCTION("""COMPUTED_VALUE"""),"the island game winning numbers today")</f>
        <v>the island game winning numbers today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IFERROR(__xludf.DUMMYFUNCTION("""COMPUTED_VALUE"""),"chances winning numbers today")</f>
        <v>chances winning numbers today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IFERROR(__xludf.DUMMYFUNCTION("""COMPUTED_VALUE"""),"island luck results today")</f>
        <v>island luck results today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IFERROR(__xludf.DUMMYFUNCTION("""COMPUTED_VALUE"""),"chances games results today")</f>
        <v>chances games results today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IFERROR(__xludf.DUMMYFUNCTION("""COMPUTED_VALUE"""),"ultra games results today")</f>
        <v>ultra games results today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IFERROR(__xludf.DUMMYFUNCTION("""COMPUTED_VALUE"""),"paradise games results today")</f>
        <v>paradise games results today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IFERROR(__xludf.DUMMYFUNCTION("""COMPUTED_VALUE"""),"pggames results today")</f>
        <v>pggames results today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IFERROR(__xludf.DUMMYFUNCTION("""COMPUTED_VALUE"""),"asurewin results today")</f>
        <v>asurewin results today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IFERROR(__xludf.DUMMYFUNCTION("""COMPUTED_VALUE"""),"a sure win results today")</f>
        <v>a sure win results today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IFERROR(__xludf.DUMMYFUNCTION("""COMPUTED_VALUE"""),"everybody wins live results today")</f>
        <v>everybody wins live results today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IFERROR(__xludf.DUMMYFUNCTION("""COMPUTED_VALUE"""),"the island game results today")</f>
        <v>the island game results today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IFERROR(__xludf.DUMMYFUNCTION("""COMPUTED_VALUE"""),"chances results today")</f>
        <v>chances results today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IFERROR(__xludf.DUMMYFUNCTION("""COMPUTED_VALUE"""),"island luck lottery results")</f>
        <v>island luck lottery results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IFERROR(__xludf.DUMMYFUNCTION("""COMPUTED_VALUE"""),"chances games lottery results")</f>
        <v>chances games lottery results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IFERROR(__xludf.DUMMYFUNCTION("""COMPUTED_VALUE"""),"ultra games lottery results")</f>
        <v>ultra games lottery results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IFERROR(__xludf.DUMMYFUNCTION("""COMPUTED_VALUE"""),"paradise games lottery results")</f>
        <v>paradise games lottery results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IFERROR(__xludf.DUMMYFUNCTION("""COMPUTED_VALUE"""),"pggames lottery results")</f>
        <v>pggames lottery results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IFERROR(__xludf.DUMMYFUNCTION("""COMPUTED_VALUE"""),"asurewin lottery results")</f>
        <v>asurewin lottery results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IFERROR(__xludf.DUMMYFUNCTION("""COMPUTED_VALUE"""),"a sure win lottery results")</f>
        <v>a sure win lottery results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IFERROR(__xludf.DUMMYFUNCTION("""COMPUTED_VALUE"""),"everybody wins live lottery results")</f>
        <v>everybody wins live lottery results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IFERROR(__xludf.DUMMYFUNCTION("""COMPUTED_VALUE"""),"the island game lottery results")</f>
        <v>the island game lottery results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IFERROR(__xludf.DUMMYFUNCTION("""COMPUTED_VALUE"""),"chances lottery results")</f>
        <v>chances lottery results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IFERROR(__xludf.DUMMYFUNCTION("""COMPUTED_VALUE"""),"island luck lottery post")</f>
        <v>island luck lottery post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IFERROR(__xludf.DUMMYFUNCTION("""COMPUTED_VALUE"""),"chances games lottery post")</f>
        <v>chances games lottery post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IFERROR(__xludf.DUMMYFUNCTION("""COMPUTED_VALUE"""),"ultra games lottery post")</f>
        <v>ultra games lottery post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IFERROR(__xludf.DUMMYFUNCTION("""COMPUTED_VALUE"""),"paradise games lottery post")</f>
        <v>paradise games lottery post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IFERROR(__xludf.DUMMYFUNCTION("""COMPUTED_VALUE"""),"pggames lottery post")</f>
        <v>pggames lottery post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IFERROR(__xludf.DUMMYFUNCTION("""COMPUTED_VALUE"""),"asurewin lottery post")</f>
        <v>asurewin lottery post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IFERROR(__xludf.DUMMYFUNCTION("""COMPUTED_VALUE"""),"a sure win lottery post")</f>
        <v>a sure win lottery post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IFERROR(__xludf.DUMMYFUNCTION("""COMPUTED_VALUE"""),"everybody wins live lottery post")</f>
        <v>everybody wins live lottery post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IFERROR(__xludf.DUMMYFUNCTION("""COMPUTED_VALUE"""),"the island game lottery post")</f>
        <v>the island game lottery post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IFERROR(__xludf.DUMMYFUNCTION("""COMPUTED_VALUE"""),"chances lottery post")</f>
        <v>chances lottery post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IFERROR(__xludf.DUMMYFUNCTION("""COMPUTED_VALUE"""),"island luck number")</f>
        <v>island luck number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IFERROR(__xludf.DUMMYFUNCTION("""COMPUTED_VALUE"""),"chances games number")</f>
        <v>chances games number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IFERROR(__xludf.DUMMYFUNCTION("""COMPUTED_VALUE"""),"ultra games number")</f>
        <v>ultra games number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IFERROR(__xludf.DUMMYFUNCTION("""COMPUTED_VALUE"""),"paradise games number")</f>
        <v>paradise games number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IFERROR(__xludf.DUMMYFUNCTION("""COMPUTED_VALUE"""),"pggames number")</f>
        <v>pggames number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IFERROR(__xludf.DUMMYFUNCTION("""COMPUTED_VALUE"""),"asurewin number")</f>
        <v>asurewin number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IFERROR(__xludf.DUMMYFUNCTION("""COMPUTED_VALUE"""),"a sure win number")</f>
        <v>a sure win number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IFERROR(__xludf.DUMMYFUNCTION("""COMPUTED_VALUE"""),"everybody wins live number")</f>
        <v>everybody wins live number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IFERROR(__xludf.DUMMYFUNCTION("""COMPUTED_VALUE"""),"the island game number")</f>
        <v>the island game number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IFERROR(__xludf.DUMMYFUNCTION("""COMPUTED_VALUE"""),"chances number")</f>
        <v>chances number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IFERROR(__xludf.DUMMYFUNCTION("""COMPUTED_VALUE"""),"island luck numbers")</f>
        <v>island luck numbers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IFERROR(__xludf.DUMMYFUNCTION("""COMPUTED_VALUE"""),"chances games numbers")</f>
        <v>chances games numbers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IFERROR(__xludf.DUMMYFUNCTION("""COMPUTED_VALUE"""),"ultra games numbers")</f>
        <v>ultra games numbers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IFERROR(__xludf.DUMMYFUNCTION("""COMPUTED_VALUE"""),"paradise games numbers")</f>
        <v>paradise games numbers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IFERROR(__xludf.DUMMYFUNCTION("""COMPUTED_VALUE"""),"pggames numbers")</f>
        <v>pggames numbers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IFERROR(__xludf.DUMMYFUNCTION("""COMPUTED_VALUE"""),"asurewin numbers")</f>
        <v>asurewin numbers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IFERROR(__xludf.DUMMYFUNCTION("""COMPUTED_VALUE"""),"a sure win numbers")</f>
        <v>a sure win numbers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IFERROR(__xludf.DUMMYFUNCTION("""COMPUTED_VALUE"""),"everybody wins live numbers")</f>
        <v>everybody wins live numbers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IFERROR(__xludf.DUMMYFUNCTION("""COMPUTED_VALUE"""),"the island game numbers")</f>
        <v>the island game numbers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IFERROR(__xludf.DUMMYFUNCTION("""COMPUTED_VALUE"""),"chances numbers")</f>
        <v>chances numbers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IFERROR(__xludf.DUMMYFUNCTION("""COMPUTED_VALUE"""),"island luck demo")</f>
        <v>island luck demo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IFERROR(__xludf.DUMMYFUNCTION("""COMPUTED_VALUE"""),"chances games demo")</f>
        <v>chances games demo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IFERROR(__xludf.DUMMYFUNCTION("""COMPUTED_VALUE"""),"ultra games demo")</f>
        <v>ultra games demo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IFERROR(__xludf.DUMMYFUNCTION("""COMPUTED_VALUE"""),"paradise games demo")</f>
        <v>paradise games demo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IFERROR(__xludf.DUMMYFUNCTION("""COMPUTED_VALUE"""),"pggames demo")</f>
        <v>pggames demo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IFERROR(__xludf.DUMMYFUNCTION("""COMPUTED_VALUE"""),"asurewin demo")</f>
        <v>asurewin demo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IFERROR(__xludf.DUMMYFUNCTION("""COMPUTED_VALUE"""),"a sure win demo")</f>
        <v>a sure win demo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IFERROR(__xludf.DUMMYFUNCTION("""COMPUTED_VALUE"""),"everybody wins live demo")</f>
        <v>everybody wins live demo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IFERROR(__xludf.DUMMYFUNCTION("""COMPUTED_VALUE"""),"the island game demo")</f>
        <v>the island game demo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IFERROR(__xludf.DUMMYFUNCTION("""COMPUTED_VALUE"""),"chances demo")</f>
        <v>chances demo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IFERROR(__xludf.DUMMYFUNCTION("""COMPUTED_VALUE"""),"island luck games")</f>
        <v>island luck games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IFERROR(__xludf.DUMMYFUNCTION("""COMPUTED_VALUE"""),"chances games")</f>
        <v>chances games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IFERROR(__xludf.DUMMYFUNCTION("""COMPUTED_VALUE"""),"ultra games")</f>
        <v>ultra games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IFERROR(__xludf.DUMMYFUNCTION("""COMPUTED_VALUE"""),"paradise games")</f>
        <v>paradise games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IFERROR(__xludf.DUMMYFUNCTION("""COMPUTED_VALUE"""),"pggames games")</f>
        <v>pggames games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IFERROR(__xludf.DUMMYFUNCTION("""COMPUTED_VALUE"""),"asurewin games")</f>
        <v>asurewin games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IFERROR(__xludf.DUMMYFUNCTION("""COMPUTED_VALUE"""),"a sure win games")</f>
        <v>a sure win games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IFERROR(__xludf.DUMMYFUNCTION("""COMPUTED_VALUE"""),"everybody wins live games")</f>
        <v>everybody wins live games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IFERROR(__xludf.DUMMYFUNCTION("""COMPUTED_VALUE"""),"the island game")</f>
        <v>the island game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IFERROR(__xludf.DUMMYFUNCTION("""COMPUTED_VALUE"""),"chances games")</f>
        <v>chances games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IFERROR(__xludf.DUMMYFUNCTION("""COMPUTED_VALUE"""),"island luck casino games")</f>
        <v>island luck casino games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IFERROR(__xludf.DUMMYFUNCTION("""COMPUTED_VALUE"""),"chances games casino games")</f>
        <v>chances games casino games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IFERROR(__xludf.DUMMYFUNCTION("""COMPUTED_VALUE"""),"ultra games casino games")</f>
        <v>ultra games casino games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IFERROR(__xludf.DUMMYFUNCTION("""COMPUTED_VALUE"""),"paradise games casino games")</f>
        <v>paradise games casino games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IFERROR(__xludf.DUMMYFUNCTION("""COMPUTED_VALUE"""),"pggames casino games")</f>
        <v>pggames casino games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IFERROR(__xludf.DUMMYFUNCTION("""COMPUTED_VALUE"""),"asurewin casino games")</f>
        <v>asurewin casino games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IFERROR(__xludf.DUMMYFUNCTION("""COMPUTED_VALUE"""),"a sure win casino games")</f>
        <v>a sure win casino games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IFERROR(__xludf.DUMMYFUNCTION("""COMPUTED_VALUE"""),"everybody wins live casino games")</f>
        <v>everybody wins live casino games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IFERROR(__xludf.DUMMYFUNCTION("""COMPUTED_VALUE"""),"the island game casino games")</f>
        <v>the island game casino games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IFERROR(__xludf.DUMMYFUNCTION("""COMPUTED_VALUE"""),"chances casino games")</f>
        <v>chances casino games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IFERROR(__xludf.DUMMYFUNCTION("""COMPUTED_VALUE"""),"island luck online casino")</f>
        <v>island luck online casino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IFERROR(__xludf.DUMMYFUNCTION("""COMPUTED_VALUE"""),"chances games online casino")</f>
        <v>chances games online casino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IFERROR(__xludf.DUMMYFUNCTION("""COMPUTED_VALUE"""),"ultra games online casino")</f>
        <v>ultra games online casino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IFERROR(__xludf.DUMMYFUNCTION("""COMPUTED_VALUE"""),"paradise games online casino")</f>
        <v>paradise games online casino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IFERROR(__xludf.DUMMYFUNCTION("""COMPUTED_VALUE"""),"pggames online casino")</f>
        <v>pggames online casino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IFERROR(__xludf.DUMMYFUNCTION("""COMPUTED_VALUE"""),"asurewin online casino")</f>
        <v>asurewin online casino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IFERROR(__xludf.DUMMYFUNCTION("""COMPUTED_VALUE"""),"a sure win online casino")</f>
        <v>a sure win online casino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IFERROR(__xludf.DUMMYFUNCTION("""COMPUTED_VALUE"""),"everybody wins live online casino")</f>
        <v>everybody wins live online casino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IFERROR(__xludf.DUMMYFUNCTION("""COMPUTED_VALUE"""),"the island game online casino")</f>
        <v>the island game online casino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IFERROR(__xludf.DUMMYFUNCTION("""COMPUTED_VALUE"""),"chances online casino")</f>
        <v>chances online casino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IFERROR(__xludf.DUMMYFUNCTION("""COMPUTED_VALUE"""),"island luck sportsbook")</f>
        <v>island luck sportsbook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IFERROR(__xludf.DUMMYFUNCTION("""COMPUTED_VALUE"""),"chances games sportsbook")</f>
        <v>chances games sportsbook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IFERROR(__xludf.DUMMYFUNCTION("""COMPUTED_VALUE"""),"ultra games sportsbook")</f>
        <v>ultra games sportsbook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IFERROR(__xludf.DUMMYFUNCTION("""COMPUTED_VALUE"""),"paradise games sportsbook")</f>
        <v>paradise games sportsbook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IFERROR(__xludf.DUMMYFUNCTION("""COMPUTED_VALUE"""),"pggames sportsbook")</f>
        <v>pggames sportsbook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IFERROR(__xludf.DUMMYFUNCTION("""COMPUTED_VALUE"""),"asurewin sportsbook")</f>
        <v>asurewin sportsbook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IFERROR(__xludf.DUMMYFUNCTION("""COMPUTED_VALUE"""),"a sure win sportsbook")</f>
        <v>a sure win sportsbook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IFERROR(__xludf.DUMMYFUNCTION("""COMPUTED_VALUE"""),"everybody wins live sportsbook")</f>
        <v>everybody wins live sportsbook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IFERROR(__xludf.DUMMYFUNCTION("""COMPUTED_VALUE"""),"the island game sportsbook")</f>
        <v>the island game sportsbook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IFERROR(__xludf.DUMMYFUNCTION("""COMPUTED_VALUE"""),"chances sportsbook")</f>
        <v>chances sportsbook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IFERROR(__xludf.DUMMYFUNCTION("""COMPUTED_VALUE"""),"island luck sports betting")</f>
        <v>island luck sports betting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IFERROR(__xludf.DUMMYFUNCTION("""COMPUTED_VALUE"""),"chances games sports betting")</f>
        <v>chances games sports betting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IFERROR(__xludf.DUMMYFUNCTION("""COMPUTED_VALUE"""),"ultra games sports betting")</f>
        <v>ultra games sports betting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IFERROR(__xludf.DUMMYFUNCTION("""COMPUTED_VALUE"""),"paradise games sports betting")</f>
        <v>paradise games sports betting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IFERROR(__xludf.DUMMYFUNCTION("""COMPUTED_VALUE"""),"pggames sports betting")</f>
        <v>pggames sports betting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IFERROR(__xludf.DUMMYFUNCTION("""COMPUTED_VALUE"""),"asurewin sports betting")</f>
        <v>asurewin sports betting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IFERROR(__xludf.DUMMYFUNCTION("""COMPUTED_VALUE"""),"a sure win sports betting")</f>
        <v>a sure win sports betting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IFERROR(__xludf.DUMMYFUNCTION("""COMPUTED_VALUE"""),"everybody wins live sports betting")</f>
        <v>everybody wins live sports betting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IFERROR(__xludf.DUMMYFUNCTION("""COMPUTED_VALUE"""),"the island game sports betting")</f>
        <v>the island game sports betting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IFERROR(__xludf.DUMMYFUNCTION("""COMPUTED_VALUE"""),"chances sports betting")</f>
        <v>chances sports betting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IFERROR(__xludf.DUMMYFUNCTION("""COMPUTED_VALUE"""),"island luck odds")</f>
        <v>island luck odds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IFERROR(__xludf.DUMMYFUNCTION("""COMPUTED_VALUE"""),"chances games odds")</f>
        <v>chances games odds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IFERROR(__xludf.DUMMYFUNCTION("""COMPUTED_VALUE"""),"ultra games odds")</f>
        <v>ultra games odds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IFERROR(__xludf.DUMMYFUNCTION("""COMPUTED_VALUE"""),"paradise games odds")</f>
        <v>paradise games odds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IFERROR(__xludf.DUMMYFUNCTION("""COMPUTED_VALUE"""),"pggames odds")</f>
        <v>pggames odds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IFERROR(__xludf.DUMMYFUNCTION("""COMPUTED_VALUE"""),"asurewin odds")</f>
        <v>asurewin odds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IFERROR(__xludf.DUMMYFUNCTION("""COMPUTED_VALUE"""),"a sure win odds")</f>
        <v>a sure win odds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IFERROR(__xludf.DUMMYFUNCTION("""COMPUTED_VALUE"""),"everybody wins live odds")</f>
        <v>everybody wins live odds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IFERROR(__xludf.DUMMYFUNCTION("""COMPUTED_VALUE"""),"the island game odds")</f>
        <v>the island game odds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IFERROR(__xludf.DUMMYFUNCTION("""COMPUTED_VALUE"""),"chances odds")</f>
        <v>chances odds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IFERROR(__xludf.DUMMYFUNCTION("""COMPUTED_VALUE"""),"island luck locations")</f>
        <v>island luck locations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IFERROR(__xludf.DUMMYFUNCTION("""COMPUTED_VALUE"""),"chances games locations")</f>
        <v>chances games locations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IFERROR(__xludf.DUMMYFUNCTION("""COMPUTED_VALUE"""),"ultra games locations")</f>
        <v>ultra games locations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IFERROR(__xludf.DUMMYFUNCTION("""COMPUTED_VALUE"""),"paradise games locations")</f>
        <v>paradise games locations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IFERROR(__xludf.DUMMYFUNCTION("""COMPUTED_VALUE"""),"pggames locations")</f>
        <v>pggames locations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IFERROR(__xludf.DUMMYFUNCTION("""COMPUTED_VALUE"""),"asurewin locations")</f>
        <v>asurewin locations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IFERROR(__xludf.DUMMYFUNCTION("""COMPUTED_VALUE"""),"a sure win locations")</f>
        <v>a sure win locations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IFERROR(__xludf.DUMMYFUNCTION("""COMPUTED_VALUE"""),"everybody wins live locations")</f>
        <v>everybody wins live locations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IFERROR(__xludf.DUMMYFUNCTION("""COMPUTED_VALUE"""),"the island game locations")</f>
        <v>the island game locations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IFERROR(__xludf.DUMMYFUNCTION("""COMPUTED_VALUE"""),"chances locations")</f>
        <v>chances locations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IFERROR(__xludf.DUMMYFUNCTION("""COMPUTED_VALUE"""),"island luck stores")</f>
        <v>island luck stores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IFERROR(__xludf.DUMMYFUNCTION("""COMPUTED_VALUE"""),"chances games stores")</f>
        <v>chances games stores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IFERROR(__xludf.DUMMYFUNCTION("""COMPUTED_VALUE"""),"ultra games stores")</f>
        <v>ultra games stores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IFERROR(__xludf.DUMMYFUNCTION("""COMPUTED_VALUE"""),"paradise games stores")</f>
        <v>paradise games stores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IFERROR(__xludf.DUMMYFUNCTION("""COMPUTED_VALUE"""),"pggames stores")</f>
        <v>pggames stores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IFERROR(__xludf.DUMMYFUNCTION("""COMPUTED_VALUE"""),"asurewin stores")</f>
        <v>asurewin stores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IFERROR(__xludf.DUMMYFUNCTION("""COMPUTED_VALUE"""),"a sure win stores")</f>
        <v>a sure win stores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IFERROR(__xludf.DUMMYFUNCTION("""COMPUTED_VALUE"""),"everybody wins live stores")</f>
        <v>everybody wins live stores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IFERROR(__xludf.DUMMYFUNCTION("""COMPUTED_VALUE"""),"the island game stores")</f>
        <v>the island game stores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IFERROR(__xludf.DUMMYFUNCTION("""COMPUTED_VALUE"""),"chances stores")</f>
        <v>chances stores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IFERROR(__xludf.DUMMYFUNCTION("""COMPUTED_VALUE"""),"island luck near me")</f>
        <v>island luck near me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IFERROR(__xludf.DUMMYFUNCTION("""COMPUTED_VALUE"""),"chances games near me")</f>
        <v>chances games near me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IFERROR(__xludf.DUMMYFUNCTION("""COMPUTED_VALUE"""),"ultra games near me")</f>
        <v>ultra games near me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IFERROR(__xludf.DUMMYFUNCTION("""COMPUTED_VALUE"""),"paradise games near me")</f>
        <v>paradise games near me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IFERROR(__xludf.DUMMYFUNCTION("""COMPUTED_VALUE"""),"pggames near me")</f>
        <v>pggames near me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IFERROR(__xludf.DUMMYFUNCTION("""COMPUTED_VALUE"""),"asurewin near me")</f>
        <v>asurewin near me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IFERROR(__xludf.DUMMYFUNCTION("""COMPUTED_VALUE"""),"a sure win near me")</f>
        <v>a sure win near me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IFERROR(__xludf.DUMMYFUNCTION("""COMPUTED_VALUE"""),"everybody wins live near me")</f>
        <v>everybody wins live near me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IFERROR(__xludf.DUMMYFUNCTION("""COMPUTED_VALUE"""),"the island game near me")</f>
        <v>the island game near me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IFERROR(__xludf.DUMMYFUNCTION("""COMPUTED_VALUE"""),"chances near me")</f>
        <v>chances near me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IFERROR(__xludf.DUMMYFUNCTION("""COMPUTED_VALUE"""),"island luck nassau")</f>
        <v>island luck nassau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IFERROR(__xludf.DUMMYFUNCTION("""COMPUTED_VALUE"""),"chances games nassau")</f>
        <v>chances games nassau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IFERROR(__xludf.DUMMYFUNCTION("""COMPUTED_VALUE"""),"ultra games nassau")</f>
        <v>ultra games nassau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IFERROR(__xludf.DUMMYFUNCTION("""COMPUTED_VALUE"""),"paradise games nassau")</f>
        <v>paradise games nassau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IFERROR(__xludf.DUMMYFUNCTION("""COMPUTED_VALUE"""),"pggames nassau")</f>
        <v>pggames nassau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IFERROR(__xludf.DUMMYFUNCTION("""COMPUTED_VALUE"""),"asurewin nassau")</f>
        <v>asurewin nassau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IFERROR(__xludf.DUMMYFUNCTION("""COMPUTED_VALUE"""),"a sure win nassau")</f>
        <v>a sure win nassau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IFERROR(__xludf.DUMMYFUNCTION("""COMPUTED_VALUE"""),"everybody wins live nassau")</f>
        <v>everybody wins live nassau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IFERROR(__xludf.DUMMYFUNCTION("""COMPUTED_VALUE"""),"the island game nassau")</f>
        <v>the island game nassau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IFERROR(__xludf.DUMMYFUNCTION("""COMPUTED_VALUE"""),"chances nassau")</f>
        <v>chances nassau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IFERROR(__xludf.DUMMYFUNCTION("""COMPUTED_VALUE"""),"island luck freeport")</f>
        <v>island luck freeport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IFERROR(__xludf.DUMMYFUNCTION("""COMPUTED_VALUE"""),"chances games freeport")</f>
        <v>chances games freeport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IFERROR(__xludf.DUMMYFUNCTION("""COMPUTED_VALUE"""),"ultra games freeport")</f>
        <v>ultra games freeport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IFERROR(__xludf.DUMMYFUNCTION("""COMPUTED_VALUE"""),"paradise games freeport")</f>
        <v>paradise games freeport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IFERROR(__xludf.DUMMYFUNCTION("""COMPUTED_VALUE"""),"pggames freeport")</f>
        <v>pggames freeport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IFERROR(__xludf.DUMMYFUNCTION("""COMPUTED_VALUE"""),"asurewin freeport")</f>
        <v>asurewin freeport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IFERROR(__xludf.DUMMYFUNCTION("""COMPUTED_VALUE"""),"a sure win freeport")</f>
        <v>a sure win freeport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IFERROR(__xludf.DUMMYFUNCTION("""COMPUTED_VALUE"""),"everybody wins live freeport")</f>
        <v>everybody wins live freeport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IFERROR(__xludf.DUMMYFUNCTION("""COMPUTED_VALUE"""),"the island game freeport")</f>
        <v>the island game freeport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IFERROR(__xludf.DUMMYFUNCTION("""COMPUTED_VALUE"""),"chances freeport")</f>
        <v>chances freeport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IFERROR(__xludf.DUMMYFUNCTION("""COMPUTED_VALUE"""),"island luck web cafe")</f>
        <v>island luck web cafe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IFERROR(__xludf.DUMMYFUNCTION("""COMPUTED_VALUE"""),"chances games web cafe")</f>
        <v>chances games web cafe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IFERROR(__xludf.DUMMYFUNCTION("""COMPUTED_VALUE"""),"ultra games web cafe")</f>
        <v>ultra games web cafe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IFERROR(__xludf.DUMMYFUNCTION("""COMPUTED_VALUE"""),"paradise games web cafe")</f>
        <v>paradise games web cafe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IFERROR(__xludf.DUMMYFUNCTION("""COMPUTED_VALUE"""),"pggames web cafe")</f>
        <v>pggames web cafe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IFERROR(__xludf.DUMMYFUNCTION("""COMPUTED_VALUE"""),"asurewin web cafe")</f>
        <v>asurewin web cafe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IFERROR(__xludf.DUMMYFUNCTION("""COMPUTED_VALUE"""),"a sure win web cafe")</f>
        <v>a sure win web cafe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IFERROR(__xludf.DUMMYFUNCTION("""COMPUTED_VALUE"""),"everybody wins live web cafe")</f>
        <v>everybody wins live web cafe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IFERROR(__xludf.DUMMYFUNCTION("""COMPUTED_VALUE"""),"the island game web cafe")</f>
        <v>the island game web cafe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IFERROR(__xludf.DUMMYFUNCTION("""COMPUTED_VALUE"""),"chances web cafe")</f>
        <v>chances web cafe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IFERROR(__xludf.DUMMYFUNCTION("""COMPUTED_VALUE"""),"island luck deposit")</f>
        <v>island luck deposit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IFERROR(__xludf.DUMMYFUNCTION("""COMPUTED_VALUE"""),"chances games deposit")</f>
        <v>chances games deposit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IFERROR(__xludf.DUMMYFUNCTION("""COMPUTED_VALUE"""),"ultra games deposit")</f>
        <v>ultra games deposit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IFERROR(__xludf.DUMMYFUNCTION("""COMPUTED_VALUE"""),"paradise games deposit")</f>
        <v>paradise games deposit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IFERROR(__xludf.DUMMYFUNCTION("""COMPUTED_VALUE"""),"pggames deposit")</f>
        <v>pggames deposit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IFERROR(__xludf.DUMMYFUNCTION("""COMPUTED_VALUE"""),"asurewin deposit")</f>
        <v>asurewin deposit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IFERROR(__xludf.DUMMYFUNCTION("""COMPUTED_VALUE"""),"a sure win deposit")</f>
        <v>a sure win deposit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IFERROR(__xludf.DUMMYFUNCTION("""COMPUTED_VALUE"""),"everybody wins live deposit")</f>
        <v>everybody wins live deposit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IFERROR(__xludf.DUMMYFUNCTION("""COMPUTED_VALUE"""),"the island game deposit")</f>
        <v>the island game deposit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IFERROR(__xludf.DUMMYFUNCTION("""COMPUTED_VALUE"""),"chances deposit")</f>
        <v>chances deposit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IFERROR(__xludf.DUMMYFUNCTION("""COMPUTED_VALUE"""),"island luck withdrawal")</f>
        <v>island luck withdrawal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IFERROR(__xludf.DUMMYFUNCTION("""COMPUTED_VALUE"""),"chances games withdrawal")</f>
        <v>chances games withdrawal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IFERROR(__xludf.DUMMYFUNCTION("""COMPUTED_VALUE"""),"ultra games withdrawal")</f>
        <v>ultra games withdrawal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IFERROR(__xludf.DUMMYFUNCTION("""COMPUTED_VALUE"""),"paradise games withdrawal")</f>
        <v>paradise games withdrawal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IFERROR(__xludf.DUMMYFUNCTION("""COMPUTED_VALUE"""),"pggames withdrawal")</f>
        <v>pggames withdrawal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IFERROR(__xludf.DUMMYFUNCTION("""COMPUTED_VALUE"""),"asurewin withdrawal")</f>
        <v>asurewin withdrawal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IFERROR(__xludf.DUMMYFUNCTION("""COMPUTED_VALUE"""),"a sure win withdrawal")</f>
        <v>a sure win withdrawal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IFERROR(__xludf.DUMMYFUNCTION("""COMPUTED_VALUE"""),"everybody wins live withdrawal")</f>
        <v>everybody wins live withdrawal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IFERROR(__xludf.DUMMYFUNCTION("""COMPUTED_VALUE"""),"the island game withdrawal")</f>
        <v>the island game withdrawal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IFERROR(__xludf.DUMMYFUNCTION("""COMPUTED_VALUE"""),"chances withdrawal")</f>
        <v>chances withdrawal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IFERROR(__xludf.DUMMYFUNCTION("""COMPUTED_VALUE"""),"island luck cash out")</f>
        <v>island luck cash out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IFERROR(__xludf.DUMMYFUNCTION("""COMPUTED_VALUE"""),"chances games cash out")</f>
        <v>chances games cash out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IFERROR(__xludf.DUMMYFUNCTION("""COMPUTED_VALUE"""),"ultra games cash out")</f>
        <v>ultra games cash out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IFERROR(__xludf.DUMMYFUNCTION("""COMPUTED_VALUE"""),"paradise games cash out")</f>
        <v>paradise games cash out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IFERROR(__xludf.DUMMYFUNCTION("""COMPUTED_VALUE"""),"pggames cash out")</f>
        <v>pggames cash out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IFERROR(__xludf.DUMMYFUNCTION("""COMPUTED_VALUE"""),"asurewin cash out")</f>
        <v>asurewin cash out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IFERROR(__xludf.DUMMYFUNCTION("""COMPUTED_VALUE"""),"a sure win cash out")</f>
        <v>a sure win cash out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IFERROR(__xludf.DUMMYFUNCTION("""COMPUTED_VALUE"""),"everybody wins live cash out")</f>
        <v>everybody wins live cash out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IFERROR(__xludf.DUMMYFUNCTION("""COMPUTED_VALUE"""),"the island game cash out")</f>
        <v>the island game cash out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IFERROR(__xludf.DUMMYFUNCTION("""COMPUTED_VALUE"""),"chances cash out")</f>
        <v>chances cash out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IFERROR(__xludf.DUMMYFUNCTION("""COMPUTED_VALUE"""),"island luck customer service")</f>
        <v>island luck customer service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IFERROR(__xludf.DUMMYFUNCTION("""COMPUTED_VALUE"""),"chances games customer service")</f>
        <v>chances games customer service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IFERROR(__xludf.DUMMYFUNCTION("""COMPUTED_VALUE"""),"ultra games customer service")</f>
        <v>ultra games customer service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IFERROR(__xludf.DUMMYFUNCTION("""COMPUTED_VALUE"""),"paradise games customer service")</f>
        <v>paradise games customer service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IFERROR(__xludf.DUMMYFUNCTION("""COMPUTED_VALUE"""),"pggames customer service")</f>
        <v>pggames customer service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IFERROR(__xludf.DUMMYFUNCTION("""COMPUTED_VALUE"""),"asurewin customer service")</f>
        <v>asurewin customer service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IFERROR(__xludf.DUMMYFUNCTION("""COMPUTED_VALUE"""),"a sure win customer service")</f>
        <v>a sure win customer service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IFERROR(__xludf.DUMMYFUNCTION("""COMPUTED_VALUE"""),"everybody wins live customer service")</f>
        <v>everybody wins live customer service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IFERROR(__xludf.DUMMYFUNCTION("""COMPUTED_VALUE"""),"the island game customer service")</f>
        <v>the island game customer service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IFERROR(__xludf.DUMMYFUNCTION("""COMPUTED_VALUE"""),"chances customer service")</f>
        <v>chances customer service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IFERROR(__xludf.DUMMYFUNCTION("""COMPUTED_VALUE"""),"island luck contact")</f>
        <v>island luck contact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IFERROR(__xludf.DUMMYFUNCTION("""COMPUTED_VALUE"""),"chances games contact")</f>
        <v>chances games contact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IFERROR(__xludf.DUMMYFUNCTION("""COMPUTED_VALUE"""),"ultra games contact")</f>
        <v>ultra games contact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IFERROR(__xludf.DUMMYFUNCTION("""COMPUTED_VALUE"""),"paradise games contact")</f>
        <v>paradise games contact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IFERROR(__xludf.DUMMYFUNCTION("""COMPUTED_VALUE"""),"pggames contact")</f>
        <v>pggames contact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IFERROR(__xludf.DUMMYFUNCTION("""COMPUTED_VALUE"""),"asurewin contact")</f>
        <v>asurewin contact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IFERROR(__xludf.DUMMYFUNCTION("""COMPUTED_VALUE"""),"a sure win contact")</f>
        <v>a sure win contact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IFERROR(__xludf.DUMMYFUNCTION("""COMPUTED_VALUE"""),"everybody wins live contact")</f>
        <v>everybody wins live contact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IFERROR(__xludf.DUMMYFUNCTION("""COMPUTED_VALUE"""),"the island game contact")</f>
        <v>the island game contact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IFERROR(__xludf.DUMMYFUNCTION("""COMPUTED_VALUE"""),"chances contact")</f>
        <v>chances contact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IFERROR(__xludf.DUMMYFUNCTION("""COMPUTED_VALUE"""),"island luck phone number")</f>
        <v>island luck phone number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IFERROR(__xludf.DUMMYFUNCTION("""COMPUTED_VALUE"""),"chances games phone number")</f>
        <v>chances games phone number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IFERROR(__xludf.DUMMYFUNCTION("""COMPUTED_VALUE"""),"ultra games phone number")</f>
        <v>ultra games phone number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IFERROR(__xludf.DUMMYFUNCTION("""COMPUTED_VALUE"""),"paradise games phone number")</f>
        <v>paradise games phone number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IFERROR(__xludf.DUMMYFUNCTION("""COMPUTED_VALUE"""),"pggames phone number")</f>
        <v>pggames phone number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IFERROR(__xludf.DUMMYFUNCTION("""COMPUTED_VALUE"""),"asurewin phone number")</f>
        <v>asurewin phone number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IFERROR(__xludf.DUMMYFUNCTION("""COMPUTED_VALUE"""),"a sure win phone number")</f>
        <v>a sure win phone number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IFERROR(__xludf.DUMMYFUNCTION("""COMPUTED_VALUE"""),"everybody wins live phone number")</f>
        <v>everybody wins live phone number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IFERROR(__xludf.DUMMYFUNCTION("""COMPUTED_VALUE"""),"the island game phone number")</f>
        <v>the island game phone number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IFERROR(__xludf.DUMMYFUNCTION("""COMPUTED_VALUE"""),"chances phone number")</f>
        <v>chances phone number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IFERROR(__xludf.DUMMYFUNCTION("""COMPUTED_VALUE"""),"island luck promotions")</f>
        <v>island luck promotions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IFERROR(__xludf.DUMMYFUNCTION("""COMPUTED_VALUE"""),"chances games promotions")</f>
        <v>chances games promotions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IFERROR(__xludf.DUMMYFUNCTION("""COMPUTED_VALUE"""),"ultra games promotions")</f>
        <v>ultra games promotions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IFERROR(__xludf.DUMMYFUNCTION("""COMPUTED_VALUE"""),"paradise games promotions")</f>
        <v>paradise games promotions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IFERROR(__xludf.DUMMYFUNCTION("""COMPUTED_VALUE"""),"pggames promotions")</f>
        <v>pggames promotions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IFERROR(__xludf.DUMMYFUNCTION("""COMPUTED_VALUE"""),"asurewin promotions")</f>
        <v>asurewin promotions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IFERROR(__xludf.DUMMYFUNCTION("""COMPUTED_VALUE"""),"a sure win promotions")</f>
        <v>a sure win promotions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IFERROR(__xludf.DUMMYFUNCTION("""COMPUTED_VALUE"""),"everybody wins live promotions")</f>
        <v>everybody wins live promotions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IFERROR(__xludf.DUMMYFUNCTION("""COMPUTED_VALUE"""),"the island game promotions")</f>
        <v>the island game promotions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IFERROR(__xludf.DUMMYFUNCTION("""COMPUTED_VALUE"""),"chances promotions")</f>
        <v>chances promotions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IFERROR(__xludf.DUMMYFUNCTION("""COMPUTED_VALUE"""),"island luck bonus")</f>
        <v>island luck bonus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IFERROR(__xludf.DUMMYFUNCTION("""COMPUTED_VALUE"""),"chances games bonus")</f>
        <v>chances games bonus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IFERROR(__xludf.DUMMYFUNCTION("""COMPUTED_VALUE"""),"ultra games bonus")</f>
        <v>ultra games bonus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IFERROR(__xludf.DUMMYFUNCTION("""COMPUTED_VALUE"""),"paradise games bonus")</f>
        <v>paradise games bonus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IFERROR(__xludf.DUMMYFUNCTION("""COMPUTED_VALUE"""),"pggames bonus")</f>
        <v>pggames bonus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IFERROR(__xludf.DUMMYFUNCTION("""COMPUTED_VALUE"""),"asurewin bonus")</f>
        <v>asurewin bonus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IFERROR(__xludf.DUMMYFUNCTION("""COMPUTED_VALUE"""),"a sure win bonus")</f>
        <v>a sure win bonus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IFERROR(__xludf.DUMMYFUNCTION("""COMPUTED_VALUE"""),"everybody wins live bonus")</f>
        <v>everybody wins live bonus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IFERROR(__xludf.DUMMYFUNCTION("""COMPUTED_VALUE"""),"the island game bonus")</f>
        <v>the island game bonus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IFERROR(__xludf.DUMMYFUNCTION("""COMPUTED_VALUE"""),"chances bonus")</f>
        <v>chances bonus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IFERROR(__xludf.DUMMYFUNCTION("""COMPUTED_VALUE"""),"island luck review")</f>
        <v>island luck review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IFERROR(__xludf.DUMMYFUNCTION("""COMPUTED_VALUE"""),"chances games review")</f>
        <v>chances games review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IFERROR(__xludf.DUMMYFUNCTION("""COMPUTED_VALUE"""),"ultra games review")</f>
        <v>ultra games review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IFERROR(__xludf.DUMMYFUNCTION("""COMPUTED_VALUE"""),"paradise games review")</f>
        <v>paradise games review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IFERROR(__xludf.DUMMYFUNCTION("""COMPUTED_VALUE"""),"pggames review")</f>
        <v>pggames review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IFERROR(__xludf.DUMMYFUNCTION("""COMPUTED_VALUE"""),"asurewin review")</f>
        <v>asurewin review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IFERROR(__xludf.DUMMYFUNCTION("""COMPUTED_VALUE"""),"a sure win review")</f>
        <v>a sure win review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IFERROR(__xludf.DUMMYFUNCTION("""COMPUTED_VALUE"""),"everybody wins live review")</f>
        <v>everybody wins live review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IFERROR(__xludf.DUMMYFUNCTION("""COMPUTED_VALUE"""),"the island game review")</f>
        <v>the island game review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IFERROR(__xludf.DUMMYFUNCTION("""COMPUTED_VALUE"""),"chances review")</f>
        <v>chances review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IFERROR(__xludf.DUMMYFUNCTION("""COMPUTED_VALUE"""),"island luck reviews")</f>
        <v>island luck reviews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IFERROR(__xludf.DUMMYFUNCTION("""COMPUTED_VALUE"""),"chances games reviews")</f>
        <v>chances games reviews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IFERROR(__xludf.DUMMYFUNCTION("""COMPUTED_VALUE"""),"ultra games reviews")</f>
        <v>ultra games reviews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IFERROR(__xludf.DUMMYFUNCTION("""COMPUTED_VALUE"""),"paradise games reviews")</f>
        <v>paradise games reviews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IFERROR(__xludf.DUMMYFUNCTION("""COMPUTED_VALUE"""),"pggames reviews")</f>
        <v>pggames reviews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IFERROR(__xludf.DUMMYFUNCTION("""COMPUTED_VALUE"""),"asurewin reviews")</f>
        <v>asurewin reviews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IFERROR(__xludf.DUMMYFUNCTION("""COMPUTED_VALUE"""),"a sure win reviews")</f>
        <v>a sure win reviews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IFERROR(__xludf.DUMMYFUNCTION("""COMPUTED_VALUE"""),"everybody wins live reviews")</f>
        <v>everybody wins live reviews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IFERROR(__xludf.DUMMYFUNCTION("""COMPUTED_VALUE"""),"the island game reviews")</f>
        <v>the island game reviews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IFERROR(__xludf.DUMMYFUNCTION("""COMPUTED_VALUE"""),"chances reviews")</f>
        <v>chances reviews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IFERROR(__xludf.DUMMYFUNCTION("""COMPUTED_VALUE"""),"island luck alternative")</f>
        <v>island luck alternative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IFERROR(__xludf.DUMMYFUNCTION("""COMPUTED_VALUE"""),"chances games alternative")</f>
        <v>chances games alternative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IFERROR(__xludf.DUMMYFUNCTION("""COMPUTED_VALUE"""),"ultra games alternative")</f>
        <v>ultra games alternative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IFERROR(__xludf.DUMMYFUNCTION("""COMPUTED_VALUE"""),"paradise games alternative")</f>
        <v>paradise games alternative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IFERROR(__xludf.DUMMYFUNCTION("""COMPUTED_VALUE"""),"pggames alternative")</f>
        <v>pggames alternative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IFERROR(__xludf.DUMMYFUNCTION("""COMPUTED_VALUE"""),"asurewin alternative")</f>
        <v>asurewin alternative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IFERROR(__xludf.DUMMYFUNCTION("""COMPUTED_VALUE"""),"a sure win alternative")</f>
        <v>a sure win alternative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IFERROR(__xludf.DUMMYFUNCTION("""COMPUTED_VALUE"""),"everybody wins live alternative")</f>
        <v>everybody wins live alternative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IFERROR(__xludf.DUMMYFUNCTION("""COMPUTED_VALUE"""),"the island game alternative")</f>
        <v>the island game alternative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IFERROR(__xludf.DUMMYFUNCTION("""COMPUTED_VALUE"""),"chances alternative")</f>
        <v>chances alternative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IFERROR(__xludf.DUMMYFUNCTION("""COMPUTED_VALUE"""),"island luck alternatives")</f>
        <v>island luck alternatives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IFERROR(__xludf.DUMMYFUNCTION("""COMPUTED_VALUE"""),"chances games alternatives")</f>
        <v>chances games alternatives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IFERROR(__xludf.DUMMYFUNCTION("""COMPUTED_VALUE"""),"ultra games alternatives")</f>
        <v>ultra games alternatives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IFERROR(__xludf.DUMMYFUNCTION("""COMPUTED_VALUE"""),"paradise games alternatives")</f>
        <v>paradise games alternatives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IFERROR(__xludf.DUMMYFUNCTION("""COMPUTED_VALUE"""),"pggames alternatives")</f>
        <v>pggames alternatives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IFERROR(__xludf.DUMMYFUNCTION("""COMPUTED_VALUE"""),"asurewin alternatives")</f>
        <v>asurewin alternatives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IFERROR(__xludf.DUMMYFUNCTION("""COMPUTED_VALUE"""),"a sure win alternatives")</f>
        <v>a sure win alternatives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IFERROR(__xludf.DUMMYFUNCTION("""COMPUTED_VALUE"""),"everybody wins live alternatives")</f>
        <v>everybody wins live alternatives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IFERROR(__xludf.DUMMYFUNCTION("""COMPUTED_VALUE"""),"the island game alternatives")</f>
        <v>the island game alternatives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IFERROR(__xludf.DUMMYFUNCTION("""COMPUTED_VALUE"""),"chances alternatives")</f>
        <v>chances alternatives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 t="str">
        <f>IFERROR(__xludf.DUMMYFUNCTION("""COMPUTED_VALUE"""),"island luck vs paradise games")</f>
        <v>island luck vs paradise games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 t="str">
        <f>IFERROR(__xludf.DUMMYFUNCTION("""COMPUTED_VALUE"""),"chances games vs paradise games")</f>
        <v>chances games vs paradise games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 t="str">
        <f>IFERROR(__xludf.DUMMYFUNCTION("""COMPUTED_VALUE"""),"ultra games vs paradise games")</f>
        <v>ultra games vs paradise games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 t="str">
        <f>IFERROR(__xludf.DUMMYFUNCTION("""COMPUTED_VALUE"""),"paradise games vs paradise games")</f>
        <v>paradise games vs paradise games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 t="str">
        <f>IFERROR(__xludf.DUMMYFUNCTION("""COMPUTED_VALUE"""),"pggames vs paradise games")</f>
        <v>pggames vs paradise games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 t="str">
        <f>IFERROR(__xludf.DUMMYFUNCTION("""COMPUTED_VALUE"""),"asurewin vs paradise games")</f>
        <v>asurewin vs paradise games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 t="str">
        <f>IFERROR(__xludf.DUMMYFUNCTION("""COMPUTED_VALUE"""),"a sure win vs paradise games")</f>
        <v>a sure win vs paradise games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 t="str">
        <f>IFERROR(__xludf.DUMMYFUNCTION("""COMPUTED_VALUE"""),"everybody wins live vs paradise games")</f>
        <v>everybody wins live vs paradise games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 t="str">
        <f>IFERROR(__xludf.DUMMYFUNCTION("""COMPUTED_VALUE"""),"the island game vs paradise games")</f>
        <v>the island game vs paradise games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 t="str">
        <f>IFERROR(__xludf.DUMMYFUNCTION("""COMPUTED_VALUE"""),"chances vs paradise games")</f>
        <v>chances vs paradise games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 t="str">
        <f>IFERROR(__xludf.DUMMYFUNCTION("""COMPUTED_VALUE"""),"island luck pggames com")</f>
        <v>island luck pggames com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 t="str">
        <f>IFERROR(__xludf.DUMMYFUNCTION("""COMPUTED_VALUE"""),"chances games pggames com")</f>
        <v>chances games pggames com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 t="str">
        <f>IFERROR(__xludf.DUMMYFUNCTION("""COMPUTED_VALUE"""),"ultra games pggames com")</f>
        <v>ultra games pggames com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 t="str">
        <f>IFERROR(__xludf.DUMMYFUNCTION("""COMPUTED_VALUE"""),"paradise games pggames com")</f>
        <v>paradise games pggames com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 t="str">
        <f>IFERROR(__xludf.DUMMYFUNCTION("""COMPUTED_VALUE"""),"pggames pggames com")</f>
        <v>pggames pggames com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 t="str">
        <f>IFERROR(__xludf.DUMMYFUNCTION("""COMPUTED_VALUE"""),"asurewin pggames com")</f>
        <v>asurewin pggames com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 t="str">
        <f>IFERROR(__xludf.DUMMYFUNCTION("""COMPUTED_VALUE"""),"a sure win pggames com")</f>
        <v>a sure win pggames com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 t="str">
        <f>IFERROR(__xludf.DUMMYFUNCTION("""COMPUTED_VALUE"""),"everybody wins live pggames com")</f>
        <v>everybody wins live pggames com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 t="str">
        <f>IFERROR(__xludf.DUMMYFUNCTION("""COMPUTED_VALUE"""),"the island game pggames com")</f>
        <v>the island game pggames com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 t="str">
        <f>IFERROR(__xludf.DUMMYFUNCTION("""COMPUTED_VALUE"""),"chances pggames com")</f>
        <v>chances pggames com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 t="str">
        <f>IFERROR(__xludf.DUMMYFUNCTION("""COMPUTED_VALUE"""),"island luck caribbean")</f>
        <v>island luck caribbean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 t="str">
        <f>IFERROR(__xludf.DUMMYFUNCTION("""COMPUTED_VALUE"""),"chances games caribbean")</f>
        <v>chances games caribbean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 t="str">
        <f>IFERROR(__xludf.DUMMYFUNCTION("""COMPUTED_VALUE"""),"ultra games caribbean")</f>
        <v>ultra games caribbean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 t="str">
        <f>IFERROR(__xludf.DUMMYFUNCTION("""COMPUTED_VALUE"""),"paradise games caribbean")</f>
        <v>paradise games caribbean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 t="str">
        <f>IFERROR(__xludf.DUMMYFUNCTION("""COMPUTED_VALUE"""),"pggames caribbean")</f>
        <v>pggames caribbean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 t="str">
        <f>IFERROR(__xludf.DUMMYFUNCTION("""COMPUTED_VALUE"""),"asurewin caribbean")</f>
        <v>asurewin caribbean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 t="str">
        <f>IFERROR(__xludf.DUMMYFUNCTION("""COMPUTED_VALUE"""),"a sure win caribbean")</f>
        <v>a sure win caribbean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 t="str">
        <f>IFERROR(__xludf.DUMMYFUNCTION("""COMPUTED_VALUE"""),"everybody wins live caribbean")</f>
        <v>everybody wins live caribbean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 t="str">
        <f>IFERROR(__xludf.DUMMYFUNCTION("""COMPUTED_VALUE"""),"the island game caribbean")</f>
        <v>the island game caribbean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 t="str">
        <f>IFERROR(__xludf.DUMMYFUNCTION("""COMPUTED_VALUE"""),"chances caribbean")</f>
        <v>chances caribbean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 t="str">
        <f>IFERROR(__xludf.DUMMYFUNCTION("""COMPUTED_VALUE"""),"island luck")</f>
        <v>island luck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 t="str">
        <f>IFERROR(__xludf.DUMMYFUNCTION("""COMPUTED_VALUE"""),"chances games")</f>
        <v>chances games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 t="str">
        <f>IFERROR(__xludf.DUMMYFUNCTION("""COMPUTED_VALUE"""),"ultra games")</f>
        <v>ultra games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 t="str">
        <f>IFERROR(__xludf.DUMMYFUNCTION("""COMPUTED_VALUE"""),"paradise games")</f>
        <v>paradise games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 t="str">
        <f>IFERROR(__xludf.DUMMYFUNCTION("""COMPUTED_VALUE"""),"pggames")</f>
        <v>pggames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 t="str">
        <f>IFERROR(__xludf.DUMMYFUNCTION("""COMPUTED_VALUE"""),"asurewin")</f>
        <v>asurewin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 t="str">
        <f>IFERROR(__xludf.DUMMYFUNCTION("""COMPUTED_VALUE"""),"a sure win")</f>
        <v>a sure win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 t="str">
        <f>IFERROR(__xludf.DUMMYFUNCTION("""COMPUTED_VALUE"""),"everybody wins live")</f>
        <v>everybody wins live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 t="str">
        <f>IFERROR(__xludf.DUMMYFUNCTION("""COMPUTED_VALUE"""),"the island game")</f>
        <v>the island game</v>
      </c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 t="str">
        <f>IFERROR(__xludf.DUMMYFUNCTION("""COMPUTED_VALUE"""),"chances")</f>
        <v>chances</v>
      </c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