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cket 1 - Locations" sheetId="1" r:id="rId5"/>
    <sheet state="visible" name="Bracket 2 - Buyer Services" sheetId="2" r:id="rId6"/>
    <sheet state="visible" name="Bracket 3 - As Is Repairs" sheetId="3" r:id="rId7"/>
    <sheet state="visible" name="Bracket 4 - Fast Cash Offers" sheetId="4" r:id="rId8"/>
    <sheet state="visible" name="Bracket 5 - Property Types" sheetId="5" r:id="rId9"/>
    <sheet state="visible" name="scrapped - Bracket homeowners" sheetId="6" r:id="rId10"/>
    <sheet state="visible" name="Bracket 6 - Process Actions" sheetId="7" r:id="rId11"/>
    <sheet state="visible" name="Bracket 7 - Trust Comparisons" sheetId="8" r:id="rId12"/>
    <sheet state="visible" name="scrapped - Bracket 7 - Distress" sheetId="9" r:id="rId13"/>
    <sheet state="visible" name="Bracket 8 - Cost Fees Net Proce" sheetId="10" r:id="rId14"/>
  </sheets>
  <definedNames/>
  <calcPr/>
</workbook>
</file>

<file path=xl/sharedStrings.xml><?xml version="1.0" encoding="utf-8"?>
<sst xmlns="http://schemas.openxmlformats.org/spreadsheetml/2006/main" count="441" uniqueCount="391">
  <si>
    <t>best</t>
  </si>
  <si>
    <t>sell my house</t>
  </si>
  <si>
    <t>sell my house today</t>
  </si>
  <si>
    <t>sell house as is</t>
  </si>
  <si>
    <t>reputable</t>
  </si>
  <si>
    <t>sell my house fast</t>
  </si>
  <si>
    <t>sell home as is</t>
  </si>
  <si>
    <t>trusted</t>
  </si>
  <si>
    <t>looking to sell my house</t>
  </si>
  <si>
    <t>sell my house for cash</t>
  </si>
  <si>
    <t>we buy houses as is</t>
  </si>
  <si>
    <t>cash offer for my house</t>
  </si>
  <si>
    <t>sell my home for cash</t>
  </si>
  <si>
    <t>legit</t>
  </si>
  <si>
    <t>sell house no repairs</t>
  </si>
  <si>
    <t>get cash offer for house</t>
  </si>
  <si>
    <t>local</t>
  </si>
  <si>
    <t>sell my property for cash</t>
  </si>
  <si>
    <t>free cash offer for house</t>
  </si>
  <si>
    <t>sell house no cleanup</t>
  </si>
  <si>
    <t>we buy houses</t>
  </si>
  <si>
    <t>no obligation cash offer</t>
  </si>
  <si>
    <t>direct</t>
  </si>
  <si>
    <t>sell damaged house</t>
  </si>
  <si>
    <t>we buy homes</t>
  </si>
  <si>
    <t>sell house in 7 days</t>
  </si>
  <si>
    <t>professional</t>
  </si>
  <si>
    <t>sell fire damaged house</t>
  </si>
  <si>
    <t>cash home buyers</t>
  </si>
  <si>
    <t>close house sale fast</t>
  </si>
  <si>
    <t>family owned</t>
  </si>
  <si>
    <t>sell water damaged house</t>
  </si>
  <si>
    <t>cash for houses</t>
  </si>
  <si>
    <t>we buy your house for cash</t>
  </si>
  <si>
    <t>no fee</t>
  </si>
  <si>
    <t>companies that buy houses</t>
  </si>
  <si>
    <t>quick home sale</t>
  </si>
  <si>
    <t>no commission</t>
  </si>
  <si>
    <t>Combined - base phrase + modifier</t>
  </si>
  <si>
    <t>sell fixer upper</t>
  </si>
  <si>
    <t>sell house in any condition</t>
  </si>
  <si>
    <t>base phrase + modifier</t>
  </si>
  <si>
    <t>Philadelphia PA</t>
  </si>
  <si>
    <t>today</t>
  </si>
  <si>
    <t>fast</t>
  </si>
  <si>
    <t>Philly</t>
  </si>
  <si>
    <t>now</t>
  </si>
  <si>
    <t>home buying companies</t>
  </si>
  <si>
    <t>quickly</t>
  </si>
  <si>
    <t>Center City Philadelphia</t>
  </si>
  <si>
    <t>this week</t>
  </si>
  <si>
    <t>Northeast Philadelphia</t>
  </si>
  <si>
    <t>within 24 hours</t>
  </si>
  <si>
    <t>for cash</t>
  </si>
  <si>
    <t>South Philadelphia</t>
  </si>
  <si>
    <t>companies that will buy your house</t>
  </si>
  <si>
    <t>cash buyer</t>
  </si>
  <si>
    <t>in 7 days</t>
  </si>
  <si>
    <t>house buying company</t>
  </si>
  <si>
    <t>without repairs</t>
  </si>
  <si>
    <t>West Philadelphia</t>
  </si>
  <si>
    <t>same week</t>
  </si>
  <si>
    <t>home buyers</t>
  </si>
  <si>
    <t>without cleaning</t>
  </si>
  <si>
    <t>house buyers</t>
  </si>
  <si>
    <t>Wilmington DE</t>
  </si>
  <si>
    <t>without cleanup</t>
  </si>
  <si>
    <t>urgent</t>
  </si>
  <si>
    <t>real estate investors that buy houses</t>
  </si>
  <si>
    <t>no inspection</t>
  </si>
  <si>
    <t>New Castle County DE</t>
  </si>
  <si>
    <t>immediate offer</t>
  </si>
  <si>
    <t>property buyers</t>
  </si>
  <si>
    <t>no appraisal</t>
  </si>
  <si>
    <t>cash house buyers</t>
  </si>
  <si>
    <t>fast closing</t>
  </si>
  <si>
    <t>no contractor</t>
  </si>
  <si>
    <t>Upper Darby PA</t>
  </si>
  <si>
    <t>we buy houses company</t>
  </si>
  <si>
    <t>before repairs</t>
  </si>
  <si>
    <t>quick closing</t>
  </si>
  <si>
    <t>Delaware County PA</t>
  </si>
  <si>
    <t>cash buyer company</t>
  </si>
  <si>
    <t>needs repairs</t>
  </si>
  <si>
    <t>choose closing date</t>
  </si>
  <si>
    <t>Lancaster PA</t>
  </si>
  <si>
    <t>major repairs</t>
  </si>
  <si>
    <t>home buyers near me</t>
  </si>
  <si>
    <t>no obligation</t>
  </si>
  <si>
    <t>Lancaster County PA</t>
  </si>
  <si>
    <t>house buyers near me</t>
  </si>
  <si>
    <t>fair offer</t>
  </si>
  <si>
    <t>rundown</t>
  </si>
  <si>
    <t>Reading PA</t>
  </si>
  <si>
    <t>cash property buyers</t>
  </si>
  <si>
    <t>highest offer</t>
  </si>
  <si>
    <t>old house</t>
  </si>
  <si>
    <t>Berks County PA</t>
  </si>
  <si>
    <t>home buying service</t>
  </si>
  <si>
    <t>all cash</t>
  </si>
  <si>
    <t>outdated</t>
  </si>
  <si>
    <t>York PA</t>
  </si>
  <si>
    <t>code violations</t>
  </si>
  <si>
    <t>sell house company</t>
  </si>
  <si>
    <t>York County PA</t>
  </si>
  <si>
    <t>guaranteed closing</t>
  </si>
  <si>
    <t>condemned</t>
  </si>
  <si>
    <t>house buying service</t>
  </si>
  <si>
    <t>Phoenixville PA</t>
  </si>
  <si>
    <t>no financing contingency</t>
  </si>
  <si>
    <t>uninhabitable</t>
  </si>
  <si>
    <t>cash offer company</t>
  </si>
  <si>
    <t>Coatesville PA</t>
  </si>
  <si>
    <t>simple process</t>
  </si>
  <si>
    <t>unfinished construction</t>
  </si>
  <si>
    <t>off market home buyer</t>
  </si>
  <si>
    <t>hassle free</t>
  </si>
  <si>
    <t>Pottstown PA</t>
  </si>
  <si>
    <t>hoarder house</t>
  </si>
  <si>
    <t>private home buyer</t>
  </si>
  <si>
    <t>stress free</t>
  </si>
  <si>
    <t>cluttered</t>
  </si>
  <si>
    <t>Chester County PA</t>
  </si>
  <si>
    <t>as is home buyer</t>
  </si>
  <si>
    <t>online form</t>
  </si>
  <si>
    <t>mold</t>
  </si>
  <si>
    <t>Montgomery County PA</t>
  </si>
  <si>
    <t>any condition home buyer</t>
  </si>
  <si>
    <t>phone call</t>
  </si>
  <si>
    <t>foundation issues</t>
  </si>
  <si>
    <t>closing costs home buyer</t>
  </si>
  <si>
    <t>Pennsylvania</t>
  </si>
  <si>
    <t>appointment</t>
  </si>
  <si>
    <t>bad roof</t>
  </si>
  <si>
    <t>PA</t>
  </si>
  <si>
    <t>fair offer home buyer</t>
  </si>
  <si>
    <t>closing costs paid</t>
  </si>
  <si>
    <t>fast closing home buyer</t>
  </si>
  <si>
    <t>Delaware</t>
  </si>
  <si>
    <t>structural damage</t>
  </si>
  <si>
    <t>no waiting</t>
  </si>
  <si>
    <t>home buyer reviews</t>
  </si>
  <si>
    <t>avoid showings</t>
  </si>
  <si>
    <t>DE</t>
  </si>
  <si>
    <t>tenant damage</t>
  </si>
  <si>
    <t>cash buyer reviews</t>
  </si>
  <si>
    <t>avoid inspections</t>
  </si>
  <si>
    <t>vacant</t>
  </si>
  <si>
    <t>Greater Philadelphia</t>
  </si>
  <si>
    <t>cash buyer alternatives</t>
  </si>
  <si>
    <t>move quickly</t>
  </si>
  <si>
    <t>abandoned</t>
  </si>
  <si>
    <t>home buyer alternatives</t>
  </si>
  <si>
    <t>flexible closing</t>
  </si>
  <si>
    <t>Delaware Valley</t>
  </si>
  <si>
    <t>problem property</t>
  </si>
  <si>
    <t>home buyer for motivated sellers</t>
  </si>
  <si>
    <t>deadline</t>
  </si>
  <si>
    <t>distressed</t>
  </si>
  <si>
    <t>Bucks County PA</t>
  </si>
  <si>
    <t>home buyer for homeowners</t>
  </si>
  <si>
    <t>emergency sale</t>
  </si>
  <si>
    <t>any condition</t>
  </si>
  <si>
    <t>West Chester PA</t>
  </si>
  <si>
    <t>as is</t>
  </si>
  <si>
    <t>King of Prussia PA</t>
  </si>
  <si>
    <t>Norristown PA</t>
  </si>
  <si>
    <t>Pittsburgh PA</t>
  </si>
  <si>
    <t>sell</t>
  </si>
  <si>
    <t>sell my</t>
  </si>
  <si>
    <t>sell your</t>
  </si>
  <si>
    <t>we buy</t>
  </si>
  <si>
    <t>cash buyer for</t>
  </si>
  <si>
    <t>home buyer for</t>
  </si>
  <si>
    <t>fast sale for</t>
  </si>
  <si>
    <t>cash sale for</t>
  </si>
  <si>
    <t>cash offer for</t>
  </si>
  <si>
    <t>as is buyer for</t>
  </si>
  <si>
    <t>vacant house</t>
  </si>
  <si>
    <t>abandoned house</t>
  </si>
  <si>
    <t>damaged house</t>
  </si>
  <si>
    <t>inherited house</t>
  </si>
  <si>
    <t>rental property</t>
  </si>
  <si>
    <t>multifamily property</t>
  </si>
  <si>
    <t>multi family house</t>
  </si>
  <si>
    <t>duplex</t>
  </si>
  <si>
    <t>rowhome</t>
  </si>
  <si>
    <t>townhouse</t>
  </si>
  <si>
    <t>manufactured home</t>
  </si>
  <si>
    <t>fixer upper</t>
  </si>
  <si>
    <t>ugly house</t>
  </si>
  <si>
    <t>fire damaged house</t>
  </si>
  <si>
    <t>water damaged house</t>
  </si>
  <si>
    <t>condemned house</t>
  </si>
  <si>
    <t>sell house for</t>
  </si>
  <si>
    <t>cash home buyer for</t>
  </si>
  <si>
    <t>home buying help for</t>
  </si>
  <si>
    <t>sell property for</t>
  </si>
  <si>
    <t>sell home fast for</t>
  </si>
  <si>
    <t>sell house as is for</t>
  </si>
  <si>
    <t>help selling house for</t>
  </si>
  <si>
    <t>we buy houses from</t>
  </si>
  <si>
    <t>house with tenants</t>
  </si>
  <si>
    <t>homeowners</t>
  </si>
  <si>
    <t>single family home</t>
  </si>
  <si>
    <t>motivated sellers</t>
  </si>
  <si>
    <t>estate property</t>
  </si>
  <si>
    <t>distressed homeowners</t>
  </si>
  <si>
    <t>probate property</t>
  </si>
  <si>
    <t>request cash offer for house</t>
  </si>
  <si>
    <t>get fair offer for house</t>
  </si>
  <si>
    <t>free offer for house</t>
  </si>
  <si>
    <t>no obligation offer house</t>
  </si>
  <si>
    <t>choose closing date house sale</t>
  </si>
  <si>
    <t>sell house without showings</t>
  </si>
  <si>
    <t>sell house closing costs paid</t>
  </si>
  <si>
    <t>tired landlords</t>
  </si>
  <si>
    <t>rental property owners</t>
  </si>
  <si>
    <t>online</t>
  </si>
  <si>
    <t>distressed property</t>
  </si>
  <si>
    <t>inherited property owners</t>
  </si>
  <si>
    <t>probate sellers</t>
  </si>
  <si>
    <t>off market property</t>
  </si>
  <si>
    <t>estate property sellers</t>
  </si>
  <si>
    <t>house with code violations</t>
  </si>
  <si>
    <t>absentee owners</t>
  </si>
  <si>
    <t>house with liens</t>
  </si>
  <si>
    <t>out of state owners</t>
  </si>
  <si>
    <t>property owners</t>
  </si>
  <si>
    <t>rental portfolio</t>
  </si>
  <si>
    <t>homeowners with tenants</t>
  </si>
  <si>
    <t>free</t>
  </si>
  <si>
    <t>vacant property</t>
  </si>
  <si>
    <t>landlords with bad tenants</t>
  </si>
  <si>
    <t>unwanted property</t>
  </si>
  <si>
    <t>simple</t>
  </si>
  <si>
    <t>families with inherited property</t>
  </si>
  <si>
    <t>divorced homeowners</t>
  </si>
  <si>
    <t>easy</t>
  </si>
  <si>
    <t>homeowners relocating</t>
  </si>
  <si>
    <t>three step process</t>
  </si>
  <si>
    <t>downsizing homeowners</t>
  </si>
  <si>
    <t>homeowners behind on payments</t>
  </si>
  <si>
    <t>property walkthrough</t>
  </si>
  <si>
    <t>homeowners in foreclosure</t>
  </si>
  <si>
    <t>homeowners with liens</t>
  </si>
  <si>
    <t>phone consultation</t>
  </si>
  <si>
    <t>owners of vacant homes</t>
  </si>
  <si>
    <t>owners of damaged homes</t>
  </si>
  <si>
    <t>senior homeowners</t>
  </si>
  <si>
    <t>military relocation</t>
  </si>
  <si>
    <t>executors</t>
  </si>
  <si>
    <t>heirs</t>
  </si>
  <si>
    <t>seller timeline</t>
  </si>
  <si>
    <t>trustees</t>
  </si>
  <si>
    <t>landlords</t>
  </si>
  <si>
    <t>house sellers</t>
  </si>
  <si>
    <t>no inspections</t>
  </si>
  <si>
    <t>property sellers</t>
  </si>
  <si>
    <t>homeowners who need to move</t>
  </si>
  <si>
    <t>no appraisals</t>
  </si>
  <si>
    <t>owners with unwanted property</t>
  </si>
  <si>
    <t>no repairs required</t>
  </si>
  <si>
    <t>no open houses</t>
  </si>
  <si>
    <t>no realtor commissions</t>
  </si>
  <si>
    <t>no hidden fees</t>
  </si>
  <si>
    <t>cash offer</t>
  </si>
  <si>
    <t>written offer</t>
  </si>
  <si>
    <t>accept offer</t>
  </si>
  <si>
    <t>close in 7 days</t>
  </si>
  <si>
    <t>moving assistance</t>
  </si>
  <si>
    <t>relocation assistance</t>
  </si>
  <si>
    <t>paperwork</t>
  </si>
  <si>
    <t>title company</t>
  </si>
  <si>
    <t>direct sale</t>
  </si>
  <si>
    <t>private sale</t>
  </si>
  <si>
    <t>cash buyer vs realtor</t>
  </si>
  <si>
    <t>sell to investor vs realtor</t>
  </si>
  <si>
    <t>sell house fsbo vs cash buyer</t>
  </si>
  <si>
    <t>we buy houses reviews</t>
  </si>
  <si>
    <t>legit cash home buyer</t>
  </si>
  <si>
    <t>reputable cash home buyer</t>
  </si>
  <si>
    <t>trusted home buyer</t>
  </si>
  <si>
    <t>best cash home buyer</t>
  </si>
  <si>
    <t>local cash home buyer</t>
  </si>
  <si>
    <t>is we buy houses legit</t>
  </si>
  <si>
    <t>reviews</t>
  </si>
  <si>
    <t>review</t>
  </si>
  <si>
    <t>testimonials</t>
  </si>
  <si>
    <t>complaints</t>
  </si>
  <si>
    <t>BBB</t>
  </si>
  <si>
    <t>scam</t>
  </si>
  <si>
    <t>legitimate</t>
  </si>
  <si>
    <t>top rated</t>
  </si>
  <si>
    <t>pros and cons</t>
  </si>
  <si>
    <t>comparison</t>
  </si>
  <si>
    <t>vs realtor</t>
  </si>
  <si>
    <t>vs agent</t>
  </si>
  <si>
    <t>vs FSBO</t>
  </si>
  <si>
    <t>vs listing</t>
  </si>
  <si>
    <t>alternative</t>
  </si>
  <si>
    <t>alternatives</t>
  </si>
  <si>
    <t>no pressure</t>
  </si>
  <si>
    <t>transparent</t>
  </si>
  <si>
    <t>honest</t>
  </si>
  <si>
    <t>local company</t>
  </si>
  <si>
    <t>experienced</t>
  </si>
  <si>
    <t>is it safe</t>
  </si>
  <si>
    <t>how it works</t>
  </si>
  <si>
    <t>fees</t>
  </si>
  <si>
    <t>commission</t>
  </si>
  <si>
    <t>contract</t>
  </si>
  <si>
    <t>seller reviews</t>
  </si>
  <si>
    <t>dream catcher</t>
  </si>
  <si>
    <t>sell house in foreclosure</t>
  </si>
  <si>
    <t>avoid foreclosure by selling house</t>
  </si>
  <si>
    <t>sell house during divorce</t>
  </si>
  <si>
    <t>sell inherited house</t>
  </si>
  <si>
    <t>sell probate house</t>
  </si>
  <si>
    <t>sell house with liens</t>
  </si>
  <si>
    <t>sell house behind on payments</t>
  </si>
  <si>
    <t>sell house with tenants</t>
  </si>
  <si>
    <t>sell unwanted house</t>
  </si>
  <si>
    <t>sell house before relocation</t>
  </si>
  <si>
    <t>without realtor</t>
  </si>
  <si>
    <t>no repairs</t>
  </si>
  <si>
    <t>no cleanup</t>
  </si>
  <si>
    <t>direct buyer</t>
  </si>
  <si>
    <t>urgent sale</t>
  </si>
  <si>
    <t>before auction</t>
  </si>
  <si>
    <t>before sheriff sale</t>
  </si>
  <si>
    <t>before foreclosure auction</t>
  </si>
  <si>
    <t>avoid foreclosure</t>
  </si>
  <si>
    <t>stop foreclosure</t>
  </si>
  <si>
    <t>behind on mortgage</t>
  </si>
  <si>
    <t>missed payments</t>
  </si>
  <si>
    <t>tax liens</t>
  </si>
  <si>
    <t>bad tenants</t>
  </si>
  <si>
    <t>eviction</t>
  </si>
  <si>
    <t>probate court</t>
  </si>
  <si>
    <t>estate sale</t>
  </si>
  <si>
    <t>divorce settlement</t>
  </si>
  <si>
    <t>relocation deadline</t>
  </si>
  <si>
    <t>job loss</t>
  </si>
  <si>
    <t>downsizing</t>
  </si>
  <si>
    <t>bankruptcy</t>
  </si>
  <si>
    <t>abandoned property</t>
  </si>
  <si>
    <t>burdensome property</t>
  </si>
  <si>
    <t>upside down mortgage</t>
  </si>
  <si>
    <t>cost of</t>
  </si>
  <si>
    <t>fees for</t>
  </si>
  <si>
    <t>closing costs for</t>
  </si>
  <si>
    <t>realtor fees for</t>
  </si>
  <si>
    <t>agent commission for</t>
  </si>
  <si>
    <t>net proceeds from</t>
  </si>
  <si>
    <t>seller costs for</t>
  </si>
  <si>
    <t>transfer taxes for</t>
  </si>
  <si>
    <t>title fees for</t>
  </si>
  <si>
    <t>escrow fees for</t>
  </si>
  <si>
    <t>selling a house</t>
  </si>
  <si>
    <t>selling my house</t>
  </si>
  <si>
    <t>selling your house</t>
  </si>
  <si>
    <t>selling a home</t>
  </si>
  <si>
    <t>selling property</t>
  </si>
  <si>
    <t>selling house for cash</t>
  </si>
  <si>
    <t>selling home for cash</t>
  </si>
  <si>
    <t>selling house as is</t>
  </si>
  <si>
    <t>selling house without realtor</t>
  </si>
  <si>
    <t>selling house by owner</t>
  </si>
  <si>
    <t>selling house to cash buyer</t>
  </si>
  <si>
    <t>selling house to investor</t>
  </si>
  <si>
    <t>selling inherited house</t>
  </si>
  <si>
    <t>selling probate house</t>
  </si>
  <si>
    <t>selling rental property</t>
  </si>
  <si>
    <t>selling vacant house</t>
  </si>
  <si>
    <t>selling damaged house</t>
  </si>
  <si>
    <t>selling fixer upper</t>
  </si>
  <si>
    <t>selling house in foreclosure</t>
  </si>
  <si>
    <t>selling house with liens</t>
  </si>
  <si>
    <t>selling house with tenants</t>
  </si>
  <si>
    <t>selling unwanted house</t>
  </si>
  <si>
    <t>selling house fast</t>
  </si>
  <si>
    <t>selling house in Pennsylvania</t>
  </si>
  <si>
    <t>selling house in Philadelphia</t>
  </si>
  <si>
    <t>selling house in Wilmington DE</t>
  </si>
  <si>
    <t>selling house after repairs</t>
  </si>
  <si>
    <t>selling house before repairs</t>
  </si>
  <si>
    <t>selling house with mortgage</t>
  </si>
  <si>
    <t>selling house with title issues</t>
  </si>
  <si>
    <t>selling house through realtor</t>
  </si>
  <si>
    <t>selling house FSBO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</si>
</sst>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b/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0">
    <border/>
    <border>
      <left style="thin">
        <color rgb="FFEFEFEF"/>
      </left>
    </border>
    <border>
      <left style="thin">
        <color rgb="FF000000"/>
      </left>
    </border>
    <border>
      <top style="thin">
        <color rgb="FF000000"/>
      </top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EFEFEF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0" fillId="2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5" width="18.0"/>
    <col customWidth="1" min="12" max="12" width="28.38"/>
  </cols>
  <sheetData>
    <row r="1">
      <c r="A1" s="1"/>
      <c r="B1" s="2" t="s">
        <v>1</v>
      </c>
      <c r="C1" s="2" t="s">
        <v>5</v>
      </c>
      <c r="D1" s="2" t="s">
        <v>9</v>
      </c>
      <c r="E1" s="2" t="s">
        <v>12</v>
      </c>
      <c r="F1" s="2" t="s">
        <v>17</v>
      </c>
      <c r="G1" s="2" t="s">
        <v>20</v>
      </c>
      <c r="H1" s="2" t="s">
        <v>24</v>
      </c>
      <c r="I1" s="2" t="s">
        <v>28</v>
      </c>
      <c r="J1" s="2" t="s">
        <v>32</v>
      </c>
      <c r="K1" s="2" t="s">
        <v>35</v>
      </c>
      <c r="L1" s="2" t="s">
        <v>38</v>
      </c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41</v>
      </c>
      <c r="B2" s="7"/>
      <c r="C2" s="7"/>
      <c r="D2" s="7"/>
      <c r="E2" s="7"/>
      <c r="F2" s="7"/>
      <c r="G2" s="7"/>
      <c r="H2" s="7"/>
      <c r="I2" s="7"/>
      <c r="J2" s="7"/>
      <c r="K2" s="7"/>
      <c r="L2" s="9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1" t="s">
        <v>42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""&amp;$A3))"),"sell my house Philadelphia PA")</f>
        <v>sell my house Philadelphia PA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""&amp;$A3))"),"sell my house fast Philadelphia PA")</f>
        <v>sell my house fast Philadelphia PA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""&amp;$A3))"),"sell my house for cash Philadelphia PA")</f>
        <v>sell my house for cash Philadelphia PA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""&amp;$A3))"),"sell my home for cash Philadelphia PA")</f>
        <v>sell my home for cash Philadelphia PA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""&amp;$A3))"),"sell my property for cash Philadelphia PA")</f>
        <v>sell my property for cash Philadelphia PA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""&amp;$A3))"),"we buy houses Philadelphia PA")</f>
        <v>we buy houses Philadelphia PA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""&amp;$A3))"),"we buy homes Philadelphia PA")</f>
        <v>we buy homes Philadelphia PA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""&amp;$A3))"),"cash home buyers Philadelphia PA")</f>
        <v>cash home buyers Philadelphia PA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""&amp;$A3))"),"cash for houses Philadelphia PA")</f>
        <v>cash for houses Philadelphia PA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""&amp;$A3))"),"companies that buy houses Philadelphia PA")</f>
        <v>companies that buy houses Philadelphia PA</v>
      </c>
      <c r="L3" s="14" t="str">
        <f>IFERROR(__xludf.DUMMYFUNCTION("FLATTEN(B3:K34,B1:K1)"),"sell my house Philadelphia PA")</f>
        <v>sell my house Philadelphia PA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1" t="s">
        <v>45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""&amp;$A4))"),"sell my house Philly")</f>
        <v>sell my house Philly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""&amp;$A4))"),"sell my house fast Philly")</f>
        <v>sell my house fast Philly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""&amp;$A4))"),"sell my house for cash Philly")</f>
        <v>sell my house for cash Philly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""&amp;$A4))"),"sell my home for cash Philly")</f>
        <v>sell my home for cash Philly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""&amp;$A4))"),"sell my property for cash Philly")</f>
        <v>sell my property for cash Philly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""&amp;$A4))"),"we buy houses Philly")</f>
        <v>we buy houses Philly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""&amp;$A4))"),"we buy homes Philly")</f>
        <v>we buy homes Philly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""&amp;$A4))"),"cash home buyers Philly")</f>
        <v>cash home buyers Philly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""&amp;$A4))"),"cash for houses Philly")</f>
        <v>cash for houses Philly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""&amp;$A4))"),"companies that buy houses Philly")</f>
        <v>companies that buy houses Philly</v>
      </c>
      <c r="L4" s="9" t="str">
        <f>IFERROR(__xludf.DUMMYFUNCTION("""COMPUTED_VALUE"""),"sell my house fast Philadelphia PA")</f>
        <v>sell my house fast Philadelphia PA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1" t="s">
        <v>49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""&amp;$A5))"),"sell my house Center City Philadelphia")</f>
        <v>sell my house Center City Philadelphia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""&amp;$A5))"),"sell my house fast Center City Philadelphia")</f>
        <v>sell my house fast Center City Philadelphia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""&amp;$A5))"),"sell my house for cash Center City Philadelphia")</f>
        <v>sell my house for cash Center City Philadelphia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""&amp;$A5))"),"sell my home for cash Center City Philadelphia")</f>
        <v>sell my home for cash Center City Philadelphia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""&amp;$A5))"),"sell my property for cash Center City Philadelphia")</f>
        <v>sell my property for cash Center City Philadelphia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""&amp;$A5))"),"we buy houses Center City Philadelphia")</f>
        <v>we buy houses Center City Philadelphia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""&amp;$A5))"),"we buy homes Center City Philadelphia")</f>
        <v>we buy homes Center City Philadelphia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""&amp;$A5))"),"cash home buyers Center City Philadelphia")</f>
        <v>cash home buyers Center City Philadelphia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""&amp;$A5))"),"cash for houses Center City Philadelphia")</f>
        <v>cash for houses Center City Philadelphia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""&amp;$A5))"),"companies that buy houses Center City Philadelphia")</f>
        <v>companies that buy houses Center City Philadelphia</v>
      </c>
      <c r="L5" s="9" t="str">
        <f>IFERROR(__xludf.DUMMYFUNCTION("""COMPUTED_VALUE"""),"sell my house for cash Philadelphia PA")</f>
        <v>sell my house for cash Philadelphia PA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1" t="s">
        <v>51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""&amp;$A6))"),"sell my house Northeast Philadelphia")</f>
        <v>sell my house Northeast Philadelphia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""&amp;$A6))"),"sell my house fast Northeast Philadelphia")</f>
        <v>sell my house fast Northeast Philadelphia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""&amp;$A6))"),"sell my house for cash Northeast Philadelphia")</f>
        <v>sell my house for cash Northeast Philadelphia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""&amp;$A6))"),"sell my home for cash Northeast Philadelphia")</f>
        <v>sell my home for cash Northeast Philadelphia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""&amp;$A6))"),"sell my property for cash Northeast Philadelphia")</f>
        <v>sell my property for cash Northeast Philadelphia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""&amp;$A6))"),"we buy houses Northeast Philadelphia")</f>
        <v>we buy houses Northeast Philadelphia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""&amp;$A6))"),"we buy homes Northeast Philadelphia")</f>
        <v>we buy homes Northeast Philadelphia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""&amp;$A6))"),"cash home buyers Northeast Philadelphia")</f>
        <v>cash home buyers Northeast Philadelphia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""&amp;$A6))"),"cash for houses Northeast Philadelphia")</f>
        <v>cash for houses Northeast Philadelphia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""&amp;$A6))"),"companies that buy houses Northeast Philadelphia")</f>
        <v>companies that buy houses Northeast Philadelphia</v>
      </c>
      <c r="L6" s="9" t="str">
        <f>IFERROR(__xludf.DUMMYFUNCTION("""COMPUTED_VALUE"""),"sell my home for cash Philadelphia PA")</f>
        <v>sell my home for cash Philadelphia PA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1" t="s">
        <v>54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""&amp;$A7))"),"sell my house South Philadelphia")</f>
        <v>sell my house South Philadelphia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""&amp;$A7))"),"sell my house fast South Philadelphia")</f>
        <v>sell my house fast South Philadelphia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""&amp;$A7))"),"sell my house for cash South Philadelphia")</f>
        <v>sell my house for cash South Philadelphia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""&amp;$A7))"),"sell my home for cash South Philadelphia")</f>
        <v>sell my home for cash South Philadelphia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""&amp;$A7))"),"sell my property for cash South Philadelphia")</f>
        <v>sell my property for cash South Philadelphia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""&amp;$A7))"),"we buy houses South Philadelphia")</f>
        <v>we buy houses South Philadelphia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""&amp;$A7))"),"we buy homes South Philadelphia")</f>
        <v>we buy homes South Philadelphia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""&amp;$A7))"),"cash home buyers South Philadelphia")</f>
        <v>cash home buyers South Philadelphia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""&amp;$A7))"),"cash for houses South Philadelphia")</f>
        <v>cash for houses South Philadelphia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""&amp;$A7))"),"companies that buy houses South Philadelphia")</f>
        <v>companies that buy houses South Philadelphia</v>
      </c>
      <c r="L7" s="9" t="str">
        <f>IFERROR(__xludf.DUMMYFUNCTION("""COMPUTED_VALUE"""),"sell my property for cash Philadelphia PA")</f>
        <v>sell my property for cash Philadelphia PA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1" t="s">
        <v>60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""&amp;$A8))"),"sell my house West Philadelphia")</f>
        <v>sell my house West Philadelphia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""&amp;$A8))"),"sell my house fast West Philadelphia")</f>
        <v>sell my house fast West Philadelphia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""&amp;$A8))"),"sell my house for cash West Philadelphia")</f>
        <v>sell my house for cash West Philadelphia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""&amp;$A8))"),"sell my home for cash West Philadelphia")</f>
        <v>sell my home for cash West Philadelphia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""&amp;$A8))"),"sell my property for cash West Philadelphia")</f>
        <v>sell my property for cash West Philadelphia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""&amp;$A8))"),"we buy houses West Philadelphia")</f>
        <v>we buy houses West Philadelphia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""&amp;$A8))"),"we buy homes West Philadelphia")</f>
        <v>we buy homes West Philadelphia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""&amp;$A8))"),"cash home buyers West Philadelphia")</f>
        <v>cash home buyers West Philadelphia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""&amp;$A8))"),"cash for houses West Philadelphia")</f>
        <v>cash for houses West Philadelphia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""&amp;$A8))"),"companies that buy houses West Philadelphia")</f>
        <v>companies that buy houses West Philadelphia</v>
      </c>
      <c r="L8" s="9" t="str">
        <f>IFERROR(__xludf.DUMMYFUNCTION("""COMPUTED_VALUE"""),"we buy houses Philadelphia PA")</f>
        <v>we buy houses Philadelphia PA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1" t="s">
        <v>65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""&amp;$A9))"),"sell my house Wilmington DE")</f>
        <v>sell my house Wilmington DE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""&amp;$A9))"),"sell my house fast Wilmington DE")</f>
        <v>sell my house fast Wilmington DE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""&amp;$A9))"),"sell my house for cash Wilmington DE")</f>
        <v>sell my house for cash Wilmington DE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""&amp;$A9))"),"sell my home for cash Wilmington DE")</f>
        <v>sell my home for cash Wilmington DE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""&amp;$A9))"),"sell my property for cash Wilmington DE")</f>
        <v>sell my property for cash Wilmington DE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""&amp;$A9))"),"we buy houses Wilmington DE")</f>
        <v>we buy houses Wilmington DE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""&amp;$A9))"),"we buy homes Wilmington DE")</f>
        <v>we buy homes Wilmington DE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""&amp;$A9))"),"cash home buyers Wilmington DE")</f>
        <v>cash home buyers Wilmington DE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""&amp;$A9))"),"cash for houses Wilmington DE")</f>
        <v>cash for houses Wilmington DE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""&amp;$A9))"),"companies that buy houses Wilmington DE")</f>
        <v>companies that buy houses Wilmington DE</v>
      </c>
      <c r="L9" s="9" t="str">
        <f>IFERROR(__xludf.DUMMYFUNCTION("""COMPUTED_VALUE"""),"we buy homes Philadelphia PA")</f>
        <v>we buy homes Philadelphia PA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1" t="s">
        <v>70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""&amp;$A10))"),"sell my house New Castle County DE")</f>
        <v>sell my house New Castle County DE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""&amp;$A10))"),"sell my house fast New Castle County DE")</f>
        <v>sell my house fast New Castle County DE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""&amp;$A10))"),"sell my house for cash New Castle County DE")</f>
        <v>sell my house for cash New Castle County DE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""&amp;$A10))"),"sell my home for cash New Castle County DE")</f>
        <v>sell my home for cash New Castle County DE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""&amp;$A10))"),"sell my property for cash New Castle County DE")</f>
        <v>sell my property for cash New Castle County DE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""&amp;$A10))"),"we buy houses New Castle County DE")</f>
        <v>we buy houses New Castle County DE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""&amp;$A10))"),"we buy homes New Castle County DE")</f>
        <v>we buy homes New Castle County DE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""&amp;$A10))"),"cash home buyers New Castle County DE")</f>
        <v>cash home buyers New Castle County DE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""&amp;$A10))"),"cash for houses New Castle County DE")</f>
        <v>cash for houses New Castle County DE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""&amp;$A10))"),"companies that buy houses New Castle County DE")</f>
        <v>companies that buy houses New Castle County DE</v>
      </c>
      <c r="L10" s="9" t="str">
        <f>IFERROR(__xludf.DUMMYFUNCTION("""COMPUTED_VALUE"""),"cash home buyers Philadelphia PA")</f>
        <v>cash home buyers Philadelphia PA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1" t="s">
        <v>77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""&amp;$A11))"),"sell my house Upper Darby PA")</f>
        <v>sell my house Upper Darby PA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""&amp;$A11))"),"sell my house fast Upper Darby PA")</f>
        <v>sell my house fast Upper Darby PA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""&amp;$A11))"),"sell my house for cash Upper Darby PA")</f>
        <v>sell my house for cash Upper Darby PA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""&amp;$A11))"),"sell my home for cash Upper Darby PA")</f>
        <v>sell my home for cash Upper Darby PA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""&amp;$A11))"),"sell my property for cash Upper Darby PA")</f>
        <v>sell my property for cash Upper Darby PA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""&amp;$A11))"),"we buy houses Upper Darby PA")</f>
        <v>we buy houses Upper Darby PA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""&amp;$A11))"),"we buy homes Upper Darby PA")</f>
        <v>we buy homes Upper Darby PA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""&amp;$A11))"),"cash home buyers Upper Darby PA")</f>
        <v>cash home buyers Upper Darby PA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""&amp;$A11))"),"cash for houses Upper Darby PA")</f>
        <v>cash for houses Upper Darby PA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""&amp;$A11))"),"companies that buy houses Upper Darby PA")</f>
        <v>companies that buy houses Upper Darby PA</v>
      </c>
      <c r="L11" s="9" t="str">
        <f>IFERROR(__xludf.DUMMYFUNCTION("""COMPUTED_VALUE"""),"cash for houses Philadelphia PA")</f>
        <v>cash for houses Philadelphia PA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1" t="s">
        <v>81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""&amp;$A12))"),"sell my house Delaware County PA")</f>
        <v>sell my house Delaware County PA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""&amp;$A12))"),"sell my house fast Delaware County PA")</f>
        <v>sell my house fast Delaware County PA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""&amp;$A12))"),"sell my house for cash Delaware County PA")</f>
        <v>sell my house for cash Delaware County PA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""&amp;$A12))"),"sell my home for cash Delaware County PA")</f>
        <v>sell my home for cash Delaware County PA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""&amp;$A12))"),"sell my property for cash Delaware County PA")</f>
        <v>sell my property for cash Delaware County PA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""&amp;$A12))"),"we buy houses Delaware County PA")</f>
        <v>we buy houses Delaware County PA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""&amp;$A12))"),"we buy homes Delaware County PA")</f>
        <v>we buy homes Delaware County PA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""&amp;$A12))"),"cash home buyers Delaware County PA")</f>
        <v>cash home buyers Delaware County PA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""&amp;$A12))"),"cash for houses Delaware County PA")</f>
        <v>cash for houses Delaware County PA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""&amp;$A12))"),"companies that buy houses Delaware County PA")</f>
        <v>companies that buy houses Delaware County PA</v>
      </c>
      <c r="L12" s="9" t="str">
        <f>IFERROR(__xludf.DUMMYFUNCTION("""COMPUTED_VALUE"""),"companies that buy houses Philadelphia PA")</f>
        <v>companies that buy houses Philadelphia PA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1" t="s">
        <v>85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""&amp;$A13))"),"sell my house Lancaster PA")</f>
        <v>sell my house Lancaster PA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""&amp;$A13))"),"sell my house fast Lancaster PA")</f>
        <v>sell my house fast Lancaster PA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""&amp;$A13))"),"sell my house for cash Lancaster PA")</f>
        <v>sell my house for cash Lancaster PA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""&amp;$A13))"),"sell my home for cash Lancaster PA")</f>
        <v>sell my home for cash Lancaster PA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""&amp;$A13))"),"sell my property for cash Lancaster PA")</f>
        <v>sell my property for cash Lancaster PA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""&amp;$A13))"),"we buy houses Lancaster PA")</f>
        <v>we buy houses Lancaster PA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""&amp;$A13))"),"we buy homes Lancaster PA")</f>
        <v>we buy homes Lancaster PA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""&amp;$A13))"),"cash home buyers Lancaster PA")</f>
        <v>cash home buyers Lancaster PA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""&amp;$A13))"),"cash for houses Lancaster PA")</f>
        <v>cash for houses Lancaster PA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""&amp;$A13))"),"companies that buy houses Lancaster PA")</f>
        <v>companies that buy houses Lancaster PA</v>
      </c>
      <c r="L13" s="9" t="str">
        <f>IFERROR(__xludf.DUMMYFUNCTION("""COMPUTED_VALUE"""),"sell my house Philly")</f>
        <v>sell my house Philly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89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""&amp;$A14))"),"sell my house Lancaster County PA")</f>
        <v>sell my house Lancaster County PA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""&amp;$A14))"),"sell my house fast Lancaster County PA")</f>
        <v>sell my house fast Lancaster County PA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""&amp;$A14))"),"sell my house for cash Lancaster County PA")</f>
        <v>sell my house for cash Lancaster County PA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""&amp;$A14))"),"sell my home for cash Lancaster County PA")</f>
        <v>sell my home for cash Lancaster County PA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""&amp;$A14))"),"sell my property for cash Lancaster County PA")</f>
        <v>sell my property for cash Lancaster County PA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""&amp;$A14))"),"we buy houses Lancaster County PA")</f>
        <v>we buy houses Lancaster County PA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""&amp;$A14))"),"we buy homes Lancaster County PA")</f>
        <v>we buy homes Lancaster County PA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""&amp;$A14))"),"cash home buyers Lancaster County PA")</f>
        <v>cash home buyers Lancaster County PA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""&amp;$A14))"),"cash for houses Lancaster County PA")</f>
        <v>cash for houses Lancaster County PA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""&amp;$A14))"),"companies that buy houses Lancaster County PA")</f>
        <v>companies that buy houses Lancaster County PA</v>
      </c>
      <c r="L14" s="9" t="str">
        <f>IFERROR(__xludf.DUMMYFUNCTION("""COMPUTED_VALUE"""),"sell my house fast Philly")</f>
        <v>sell my house fast Philly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93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""&amp;$A15))"),"sell my house Reading PA")</f>
        <v>sell my house Reading PA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""&amp;$A15))"),"sell my house fast Reading PA")</f>
        <v>sell my house fast Reading PA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""&amp;$A15))"),"sell my house for cash Reading PA")</f>
        <v>sell my house for cash Reading PA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""&amp;$A15))"),"sell my home for cash Reading PA")</f>
        <v>sell my home for cash Reading PA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""&amp;$A15))"),"sell my property for cash Reading PA")</f>
        <v>sell my property for cash Reading PA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""&amp;$A15))"),"we buy houses Reading PA")</f>
        <v>we buy houses Reading PA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""&amp;$A15))"),"we buy homes Reading PA")</f>
        <v>we buy homes Reading PA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""&amp;$A15))"),"cash home buyers Reading PA")</f>
        <v>cash home buyers Reading PA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""&amp;$A15))"),"cash for houses Reading PA")</f>
        <v>cash for houses Reading PA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""&amp;$A15))"),"companies that buy houses Reading PA")</f>
        <v>companies that buy houses Reading PA</v>
      </c>
      <c r="L15" s="9" t="str">
        <f>IFERROR(__xludf.DUMMYFUNCTION("""COMPUTED_VALUE"""),"sell my house for cash Philly")</f>
        <v>sell my house for cash Philly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97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""&amp;$A16))"),"sell my house Berks County PA")</f>
        <v>sell my house Berks County PA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""&amp;$A16))"),"sell my house fast Berks County PA")</f>
        <v>sell my house fast Berks County PA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""&amp;$A16))"),"sell my house for cash Berks County PA")</f>
        <v>sell my house for cash Berks County PA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""&amp;$A16))"),"sell my home for cash Berks County PA")</f>
        <v>sell my home for cash Berks County PA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""&amp;$A16))"),"sell my property for cash Berks County PA")</f>
        <v>sell my property for cash Berks County PA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""&amp;$A16))"),"we buy houses Berks County PA")</f>
        <v>we buy houses Berks County PA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""&amp;$A16))"),"we buy homes Berks County PA")</f>
        <v>we buy homes Berks County PA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""&amp;$A16))"),"cash home buyers Berks County PA")</f>
        <v>cash home buyers Berks County PA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""&amp;$A16))"),"cash for houses Berks County PA")</f>
        <v>cash for houses Berks County PA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""&amp;$A16))"),"companies that buy houses Berks County PA")</f>
        <v>companies that buy houses Berks County PA</v>
      </c>
      <c r="L16" s="9" t="str">
        <f>IFERROR(__xludf.DUMMYFUNCTION("""COMPUTED_VALUE"""),"sell my home for cash Philly")</f>
        <v>sell my home for cash Philly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101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""&amp;$A17))"),"sell my house York PA")</f>
        <v>sell my house York PA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""&amp;$A17))"),"sell my house fast York PA")</f>
        <v>sell my house fast York PA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""&amp;$A17))"),"sell my house for cash York PA")</f>
        <v>sell my house for cash York PA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""&amp;$A17))"),"sell my home for cash York PA")</f>
        <v>sell my home for cash York PA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""&amp;$A17))"),"sell my property for cash York PA")</f>
        <v>sell my property for cash York PA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""&amp;$A17))"),"we buy houses York PA")</f>
        <v>we buy houses York PA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""&amp;$A17))"),"we buy homes York PA")</f>
        <v>we buy homes York PA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""&amp;$A17))"),"cash home buyers York PA")</f>
        <v>cash home buyers York PA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""&amp;$A17))"),"cash for houses York PA")</f>
        <v>cash for houses York PA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""&amp;$A17))"),"companies that buy houses York PA")</f>
        <v>companies that buy houses York PA</v>
      </c>
      <c r="L17" s="9" t="str">
        <f>IFERROR(__xludf.DUMMYFUNCTION("""COMPUTED_VALUE"""),"sell my property for cash Philly")</f>
        <v>sell my property for cash Philly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104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""&amp;$A18))"),"sell my house York County PA")</f>
        <v>sell my house York County PA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""&amp;$A18))"),"sell my house fast York County PA")</f>
        <v>sell my house fast York County PA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""&amp;$A18))"),"sell my house for cash York County PA")</f>
        <v>sell my house for cash York County PA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""&amp;$A18))"),"sell my home for cash York County PA")</f>
        <v>sell my home for cash York County PA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""&amp;$A18))"),"sell my property for cash York County PA")</f>
        <v>sell my property for cash York County PA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""&amp;$A18))"),"we buy houses York County PA")</f>
        <v>we buy houses York County PA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""&amp;$A18))"),"we buy homes York County PA")</f>
        <v>we buy homes York County PA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""&amp;$A18))"),"cash home buyers York County PA")</f>
        <v>cash home buyers York County PA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""&amp;$A18))"),"cash for houses York County PA")</f>
        <v>cash for houses York County PA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""&amp;$A18))"),"companies that buy houses York County PA")</f>
        <v>companies that buy houses York County PA</v>
      </c>
      <c r="L18" s="9" t="str">
        <f>IFERROR(__xludf.DUMMYFUNCTION("""COMPUTED_VALUE"""),"we buy houses Philly")</f>
        <v>we buy houses Philly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108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""&amp;$A19))"),"sell my house Phoenixville PA")</f>
        <v>sell my house Phoenixville PA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""&amp;$A19))"),"sell my house fast Phoenixville PA")</f>
        <v>sell my house fast Phoenixville PA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""&amp;$A19))"),"sell my house for cash Phoenixville PA")</f>
        <v>sell my house for cash Phoenixville PA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""&amp;$A19))"),"sell my home for cash Phoenixville PA")</f>
        <v>sell my home for cash Phoenixville PA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""&amp;$A19))"),"sell my property for cash Phoenixville PA")</f>
        <v>sell my property for cash Phoenixville PA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""&amp;$A19))"),"we buy houses Phoenixville PA")</f>
        <v>we buy houses Phoenixville PA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""&amp;$A19))"),"we buy homes Phoenixville PA")</f>
        <v>we buy homes Phoenixville PA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""&amp;$A19))"),"cash home buyers Phoenixville PA")</f>
        <v>cash home buyers Phoenixville PA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""&amp;$A19))"),"cash for houses Phoenixville PA")</f>
        <v>cash for houses Phoenixville PA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""&amp;$A19))"),"companies that buy houses Phoenixville PA")</f>
        <v>companies that buy houses Phoenixville PA</v>
      </c>
      <c r="L19" s="9" t="str">
        <f>IFERROR(__xludf.DUMMYFUNCTION("""COMPUTED_VALUE"""),"we buy homes Philly")</f>
        <v>we buy homes Philly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112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""&amp;$A20))"),"sell my house Coatesville PA")</f>
        <v>sell my house Coatesville PA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""&amp;$A20))"),"sell my house fast Coatesville PA")</f>
        <v>sell my house fast Coatesville PA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""&amp;$A20))"),"sell my house for cash Coatesville PA")</f>
        <v>sell my house for cash Coatesville PA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""&amp;$A20))"),"sell my home for cash Coatesville PA")</f>
        <v>sell my home for cash Coatesville PA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""&amp;$A20))"),"sell my property for cash Coatesville PA")</f>
        <v>sell my property for cash Coatesville PA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""&amp;$A20))"),"we buy houses Coatesville PA")</f>
        <v>we buy houses Coatesville PA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""&amp;$A20))"),"we buy homes Coatesville PA")</f>
        <v>we buy homes Coatesville PA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""&amp;$A20))"),"cash home buyers Coatesville PA")</f>
        <v>cash home buyers Coatesville PA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""&amp;$A20))"),"cash for houses Coatesville PA")</f>
        <v>cash for houses Coatesville PA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""&amp;$A20))"),"companies that buy houses Coatesville PA")</f>
        <v>companies that buy houses Coatesville PA</v>
      </c>
      <c r="L20" s="9" t="str">
        <f>IFERROR(__xludf.DUMMYFUNCTION("""COMPUTED_VALUE"""),"cash home buyers Philly")</f>
        <v>cash home buyers Philly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117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""&amp;$A21))"),"sell my house Pottstown PA")</f>
        <v>sell my house Pottstown PA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""&amp;$A21))"),"sell my house fast Pottstown PA")</f>
        <v>sell my house fast Pottstown PA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""&amp;$A21))"),"sell my house for cash Pottstown PA")</f>
        <v>sell my house for cash Pottstown PA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""&amp;$A21))"),"sell my home for cash Pottstown PA")</f>
        <v>sell my home for cash Pottstown PA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""&amp;$A21))"),"sell my property for cash Pottstown PA")</f>
        <v>sell my property for cash Pottstown PA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""&amp;$A21))"),"we buy houses Pottstown PA")</f>
        <v>we buy houses Pottstown PA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""&amp;$A21))"),"we buy homes Pottstown PA")</f>
        <v>we buy homes Pottstown PA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""&amp;$A21))"),"cash home buyers Pottstown PA")</f>
        <v>cash home buyers Pottstown PA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""&amp;$A21))"),"cash for houses Pottstown PA")</f>
        <v>cash for houses Pottstown PA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""&amp;$A21))"),"companies that buy houses Pottstown PA")</f>
        <v>companies that buy houses Pottstown PA</v>
      </c>
      <c r="L21" s="9" t="str">
        <f>IFERROR(__xludf.DUMMYFUNCTION("""COMPUTED_VALUE"""),"cash for houses Philly")</f>
        <v>cash for houses Philly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122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""&amp;$A22))"),"sell my house Chester County PA")</f>
        <v>sell my house Chester County PA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""&amp;$A22))"),"sell my house fast Chester County PA")</f>
        <v>sell my house fast Chester County PA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""&amp;$A22))"),"sell my house for cash Chester County PA")</f>
        <v>sell my house for cash Chester County PA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""&amp;$A22))"),"sell my home for cash Chester County PA")</f>
        <v>sell my home for cash Chester County PA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""&amp;$A22))"),"sell my property for cash Chester County PA")</f>
        <v>sell my property for cash Chester County PA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""&amp;$A22))"),"we buy houses Chester County PA")</f>
        <v>we buy houses Chester County PA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""&amp;$A22))"),"we buy homes Chester County PA")</f>
        <v>we buy homes Chester County PA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""&amp;$A22))"),"cash home buyers Chester County PA")</f>
        <v>cash home buyers Chester County PA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""&amp;$A22))"),"cash for houses Chester County PA")</f>
        <v>cash for houses Chester County PA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""&amp;$A22))"),"companies that buy houses Chester County PA")</f>
        <v>companies that buy houses Chester County PA</v>
      </c>
      <c r="L22" s="9" t="str">
        <f>IFERROR(__xludf.DUMMYFUNCTION("""COMPUTED_VALUE"""),"companies that buy houses Philly")</f>
        <v>companies that buy houses Philly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126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""&amp;$A23))"),"sell my house Montgomery County PA")</f>
        <v>sell my house Montgomery County PA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""&amp;$A23))"),"sell my house fast Montgomery County PA")</f>
        <v>sell my house fast Montgomery County PA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""&amp;$A23))"),"sell my house for cash Montgomery County PA")</f>
        <v>sell my house for cash Montgomery County PA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""&amp;$A23))"),"sell my home for cash Montgomery County PA")</f>
        <v>sell my home for cash Montgomery County PA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""&amp;$A23))"),"sell my property for cash Montgomery County PA")</f>
        <v>sell my property for cash Montgomery County PA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""&amp;$A23))"),"we buy houses Montgomery County PA")</f>
        <v>we buy houses Montgomery County PA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""&amp;$A23))"),"we buy homes Montgomery County PA")</f>
        <v>we buy homes Montgomery County PA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""&amp;$A23))"),"cash home buyers Montgomery County PA")</f>
        <v>cash home buyers Montgomery County PA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""&amp;$A23))"),"cash for houses Montgomery County PA")</f>
        <v>cash for houses Montgomery County PA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""&amp;$A23))"),"companies that buy houses Montgomery County PA")</f>
        <v>companies that buy houses Montgomery County PA</v>
      </c>
      <c r="L23" s="9" t="str">
        <f>IFERROR(__xludf.DUMMYFUNCTION("""COMPUTED_VALUE"""),"sell my house Center City Philadelphia")</f>
        <v>sell my house Center City Philadelphia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131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""&amp;$A24))"),"sell my house Pennsylvania")</f>
        <v>sell my house Pennsylvania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""&amp;$A24))"),"sell my house fast Pennsylvania")</f>
        <v>sell my house fast Pennsylvania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""&amp;$A24))"),"sell my house for cash Pennsylvania")</f>
        <v>sell my house for cash Pennsylvania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""&amp;$A24))"),"sell my home for cash Pennsylvania")</f>
        <v>sell my home for cash Pennsylvania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""&amp;$A24))"),"sell my property for cash Pennsylvania")</f>
        <v>sell my property for cash Pennsylvania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""&amp;$A24))"),"we buy houses Pennsylvania")</f>
        <v>we buy houses Pennsylvania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""&amp;$A24))"),"we buy homes Pennsylvania")</f>
        <v>we buy homes Pennsylvania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""&amp;$A24))"),"cash home buyers Pennsylvania")</f>
        <v>cash home buyers Pennsylvania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""&amp;$A24))"),"cash for houses Pennsylvania")</f>
        <v>cash for houses Pennsylvania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""&amp;$A24))"),"companies that buy houses Pennsylvania")</f>
        <v>companies that buy houses Pennsylvania</v>
      </c>
      <c r="L24" s="9" t="str">
        <f>IFERROR(__xludf.DUMMYFUNCTION("""COMPUTED_VALUE"""),"sell my house fast Center City Philadelphia")</f>
        <v>sell my house fast Center City Philadelphia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134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""&amp;$A25))"),"sell my house PA")</f>
        <v>sell my house PA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""&amp;$A25))"),"sell my house fast PA")</f>
        <v>sell my house fast PA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""&amp;$A25))"),"sell my house for cash PA")</f>
        <v>sell my house for cash PA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""&amp;$A25))"),"sell my home for cash PA")</f>
        <v>sell my home for cash PA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""&amp;$A25))"),"sell my property for cash PA")</f>
        <v>sell my property for cash PA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""&amp;$A25))"),"we buy houses PA")</f>
        <v>we buy houses PA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""&amp;$A25))"),"we buy homes PA")</f>
        <v>we buy homes PA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""&amp;$A25))"),"cash home buyers PA")</f>
        <v>cash home buyers PA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""&amp;$A25))"),"cash for houses PA")</f>
        <v>cash for houses PA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""&amp;$A25))"),"companies that buy houses PA")</f>
        <v>companies that buy houses PA</v>
      </c>
      <c r="L25" s="9" t="str">
        <f>IFERROR(__xludf.DUMMYFUNCTION("""COMPUTED_VALUE"""),"sell my house for cash Center City Philadelphia")</f>
        <v>sell my house for cash Center City Philadelphia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138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""&amp;$A26))"),"sell my house Delaware")</f>
        <v>sell my house Delaware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""&amp;$A26))"),"sell my house fast Delaware")</f>
        <v>sell my house fast Delaware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""&amp;$A26))"),"sell my house for cash Delaware")</f>
        <v>sell my house for cash Delaware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""&amp;$A26))"),"sell my home for cash Delaware")</f>
        <v>sell my home for cash Delaware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""&amp;$A26))"),"sell my property for cash Delaware")</f>
        <v>sell my property for cash Delaware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""&amp;$A26))"),"we buy houses Delaware")</f>
        <v>we buy houses Delaware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""&amp;$A26))"),"we buy homes Delaware")</f>
        <v>we buy homes Delaware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""&amp;$A26))"),"cash home buyers Delaware")</f>
        <v>cash home buyers Delaware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""&amp;$A26))"),"cash for houses Delaware")</f>
        <v>cash for houses Delaware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""&amp;$A26))"),"companies that buy houses Delaware")</f>
        <v>companies that buy houses Delaware</v>
      </c>
      <c r="L26" s="9" t="str">
        <f>IFERROR(__xludf.DUMMYFUNCTION("""COMPUTED_VALUE"""),"sell my home for cash Center City Philadelphia")</f>
        <v>sell my home for cash Center City Philadelphia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143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""&amp;$A27))"),"sell my house DE")</f>
        <v>sell my house DE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""&amp;$A27))"),"sell my house fast DE")</f>
        <v>sell my house fast DE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""&amp;$A27))"),"sell my house for cash DE")</f>
        <v>sell my house for cash DE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""&amp;$A27))"),"sell my home for cash DE")</f>
        <v>sell my home for cash DE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""&amp;$A27))"),"sell my property for cash DE")</f>
        <v>sell my property for cash DE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""&amp;$A27))"),"we buy houses DE")</f>
        <v>we buy houses DE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""&amp;$A27))"),"we buy homes DE")</f>
        <v>we buy homes DE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""&amp;$A27))"),"cash home buyers DE")</f>
        <v>cash home buyers DE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""&amp;$A27))"),"cash for houses DE")</f>
        <v>cash for houses DE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""&amp;$A27))"),"companies that buy houses DE")</f>
        <v>companies that buy houses DE</v>
      </c>
      <c r="L27" s="9" t="str">
        <f>IFERROR(__xludf.DUMMYFUNCTION("""COMPUTED_VALUE"""),"sell my property for cash Center City Philadelphia")</f>
        <v>sell my property for cash Center City Philadelphia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148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""&amp;$A28))"),"sell my house Greater Philadelphia")</f>
        <v>sell my house Greater Philadelphia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""&amp;$A28))"),"sell my house fast Greater Philadelphia")</f>
        <v>sell my house fast Greater Philadelphia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""&amp;$A28))"),"sell my house for cash Greater Philadelphia")</f>
        <v>sell my house for cash Greater Philadelphia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""&amp;$A28))"),"sell my home for cash Greater Philadelphia")</f>
        <v>sell my home for cash Greater Philadelphia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""&amp;$A28))"),"sell my property for cash Greater Philadelphia")</f>
        <v>sell my property for cash Greater Philadelphia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""&amp;$A28))"),"we buy houses Greater Philadelphia")</f>
        <v>we buy houses Greater Philadelphia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""&amp;$A28))"),"we buy homes Greater Philadelphia")</f>
        <v>we buy homes Greater Philadelphia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""&amp;$A28))"),"cash home buyers Greater Philadelphia")</f>
        <v>cash home buyers Greater Philadelphia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""&amp;$A28))"),"cash for houses Greater Philadelphia")</f>
        <v>cash for houses Greater Philadelphia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""&amp;$A28))"),"companies that buy houses Greater Philadelphia")</f>
        <v>companies that buy houses Greater Philadelphia</v>
      </c>
      <c r="L28" s="9" t="str">
        <f>IFERROR(__xludf.DUMMYFUNCTION("""COMPUTED_VALUE"""),"we buy houses Center City Philadelphia")</f>
        <v>we buy houses Center City Philadelphia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154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""&amp;$A29))"),"sell my house Delaware Valley")</f>
        <v>sell my house Delaware Valley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""&amp;$A29))"),"sell my house fast Delaware Valley")</f>
        <v>sell my house fast Delaware Valley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""&amp;$A29))"),"sell my house for cash Delaware Valley")</f>
        <v>sell my house for cash Delaware Valley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""&amp;$A29))"),"sell my home for cash Delaware Valley")</f>
        <v>sell my home for cash Delaware Valley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""&amp;$A29))"),"sell my property for cash Delaware Valley")</f>
        <v>sell my property for cash Delaware Valley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""&amp;$A29))"),"we buy houses Delaware Valley")</f>
        <v>we buy houses Delaware Valley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""&amp;$A29))"),"we buy homes Delaware Valley")</f>
        <v>we buy homes Delaware Valley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""&amp;$A29))"),"cash home buyers Delaware Valley")</f>
        <v>cash home buyers Delaware Valley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""&amp;$A29))"),"cash for houses Delaware Valley")</f>
        <v>cash for houses Delaware Valley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""&amp;$A29))"),"companies that buy houses Delaware Valley")</f>
        <v>companies that buy houses Delaware Valley</v>
      </c>
      <c r="L29" s="9" t="str">
        <f>IFERROR(__xludf.DUMMYFUNCTION("""COMPUTED_VALUE"""),"we buy homes Center City Philadelphia")</f>
        <v>we buy homes Center City Philadelphia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1" t="s">
        <v>159</v>
      </c>
      <c r="B30" s="13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""&amp;$A30))"),"sell my house Bucks County PA")</f>
        <v>sell my house Bucks County PA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""&amp;$A30))"),"sell my house fast Bucks County PA")</f>
        <v>sell my house fast Bucks County PA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""&amp;$A30))"),"sell my house for cash Bucks County PA")</f>
        <v>sell my house for cash Bucks County PA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""&amp;$A30))"),"sell my home for cash Bucks County PA")</f>
        <v>sell my home for cash Bucks County PA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""&amp;$A30))"),"sell my property for cash Bucks County PA")</f>
        <v>sell my property for cash Bucks County PA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""&amp;$A30))"),"we buy houses Bucks County PA")</f>
        <v>we buy houses Bucks County PA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""&amp;$A30))"),"we buy homes Bucks County PA")</f>
        <v>we buy homes Bucks County PA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""&amp;$A30))"),"cash home buyers Bucks County PA")</f>
        <v>cash home buyers Bucks County PA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""&amp;$A30))"),"cash for houses Bucks County PA")</f>
        <v>cash for houses Bucks County PA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""&amp;$A30))"),"companies that buy houses Bucks County PA")</f>
        <v>companies that buy houses Bucks County PA</v>
      </c>
      <c r="L30" s="9" t="str">
        <f>IFERROR(__xludf.DUMMYFUNCTION("""COMPUTED_VALUE"""),"cash home buyers Center City Philadelphia")</f>
        <v>cash home buyers Center City Philadelphia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1" t="s">
        <v>163</v>
      </c>
      <c r="B31" s="13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""&amp;$A31))"),"sell my house West Chester PA")</f>
        <v>sell my house West Chester PA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""&amp;$A31))"),"sell my house fast West Chester PA")</f>
        <v>sell my house fast West Chester PA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""&amp;$A31))"),"sell my house for cash West Chester PA")</f>
        <v>sell my house for cash West Chester PA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""&amp;$A31))"),"sell my home for cash West Chester PA")</f>
        <v>sell my home for cash West Chester PA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""&amp;$A31))"),"sell my property for cash West Chester PA")</f>
        <v>sell my property for cash West Chester PA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""&amp;$A31))"),"we buy houses West Chester PA")</f>
        <v>we buy houses West Chester PA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""&amp;$A31))"),"we buy homes West Chester PA")</f>
        <v>we buy homes West Chester PA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""&amp;$A31))"),"cash home buyers West Chester PA")</f>
        <v>cash home buyers West Chester PA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""&amp;$A31))"),"cash for houses West Chester PA")</f>
        <v>cash for houses West Chester PA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""&amp;$A31))"),"companies that buy houses West Chester PA")</f>
        <v>companies that buy houses West Chester PA</v>
      </c>
      <c r="L31" s="9" t="str">
        <f>IFERROR(__xludf.DUMMYFUNCTION("""COMPUTED_VALUE"""),"cash for houses Center City Philadelphia")</f>
        <v>cash for houses Center City Philadelphia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165</v>
      </c>
      <c r="B32" s="13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""&amp;$A32))"),"sell my house King of Prussia PA")</f>
        <v>sell my house King of Prussia PA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""&amp;$A32))"),"sell my house fast King of Prussia PA")</f>
        <v>sell my house fast King of Prussia PA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""&amp;$A32))"),"sell my house for cash King of Prussia PA")</f>
        <v>sell my house for cash King of Prussia PA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""&amp;$A32))"),"sell my home for cash King of Prussia PA")</f>
        <v>sell my home for cash King of Prussia PA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""&amp;$A32))"),"sell my property for cash King of Prussia PA")</f>
        <v>sell my property for cash King of Prussia PA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""&amp;$A32))"),"we buy houses King of Prussia PA")</f>
        <v>we buy houses King of Prussia PA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""&amp;$A32))"),"we buy homes King of Prussia PA")</f>
        <v>we buy homes King of Prussia PA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""&amp;$A32))"),"cash home buyers King of Prussia PA")</f>
        <v>cash home buyers King of Prussia PA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""&amp;$A32))"),"cash for houses King of Prussia PA")</f>
        <v>cash for houses King of Prussia PA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""&amp;$A32))"),"companies that buy houses King of Prussia PA")</f>
        <v>companies that buy houses King of Prussia PA</v>
      </c>
      <c r="L32" s="9" t="str">
        <f>IFERROR(__xludf.DUMMYFUNCTION("""COMPUTED_VALUE"""),"companies that buy houses Center City Philadelphia")</f>
        <v>companies that buy houses Center City Philadelphia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166</v>
      </c>
      <c r="B33" s="13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""&amp;$A33))"),"sell my house Norristown PA")</f>
        <v>sell my house Norristown PA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""&amp;$A33))"),"sell my house fast Norristown PA")</f>
        <v>sell my house fast Norristown PA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""&amp;$A33))"),"sell my house for cash Norristown PA")</f>
        <v>sell my house for cash Norristown PA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""&amp;$A33))"),"sell my home for cash Norristown PA")</f>
        <v>sell my home for cash Norristown PA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""&amp;$A33))"),"sell my property for cash Norristown PA")</f>
        <v>sell my property for cash Norristown PA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""&amp;$A33))"),"we buy houses Norristown PA")</f>
        <v>we buy houses Norristown PA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""&amp;$A33))"),"we buy homes Norristown PA")</f>
        <v>we buy homes Norristown PA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""&amp;$A33))"),"cash home buyers Norristown PA")</f>
        <v>cash home buyers Norristown PA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""&amp;$A33))"),"cash for houses Norristown PA")</f>
        <v>cash for houses Norristown PA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""&amp;$A33))"),"companies that buy houses Norristown PA")</f>
        <v>companies that buy houses Norristown PA</v>
      </c>
      <c r="L33" s="9" t="str">
        <f>IFERROR(__xludf.DUMMYFUNCTION("""COMPUTED_VALUE"""),"sell my house Northeast Philadelphia")</f>
        <v>sell my house Northeast Philadelphia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167</v>
      </c>
      <c r="B34" s="13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""&amp;$A34))"),"sell my house Pittsburgh PA")</f>
        <v>sell my house Pittsburgh PA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""&amp;$A34))"),"sell my house fast Pittsburgh PA")</f>
        <v>sell my house fast Pittsburgh PA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""&amp;$A34))"),"sell my house for cash Pittsburgh PA")</f>
        <v>sell my house for cash Pittsburgh PA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""&amp;$A34))"),"sell my home for cash Pittsburgh PA")</f>
        <v>sell my home for cash Pittsburgh PA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""&amp;$A34))"),"sell my property for cash Pittsburgh PA")</f>
        <v>sell my property for cash Pittsburgh PA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""&amp;$A34))"),"we buy houses Pittsburgh PA")</f>
        <v>we buy houses Pittsburgh PA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""&amp;$A34))"),"we buy homes Pittsburgh PA")</f>
        <v>we buy homes Pittsburgh PA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""&amp;$A34))"),"cash home buyers Pittsburgh PA")</f>
        <v>cash home buyers Pittsburgh PA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""&amp;$A34))"),"cash for houses Pittsburgh PA")</f>
        <v>cash for houses Pittsburgh PA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""&amp;$A34))"),"companies that buy houses Pittsburgh PA")</f>
        <v>companies that buy houses Pittsburgh PA</v>
      </c>
      <c r="L34" s="9" t="str">
        <f>IFERROR(__xludf.DUMMYFUNCTION("""COMPUTED_VALUE"""),"sell my house fast Northeast Philadelphia")</f>
        <v>sell my house fast Northeast Philadelphia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9" t="str">
        <f>IFERROR(__xludf.DUMMYFUNCTION("""COMPUTED_VALUE"""),"sell my house for cash Northeast Philadelphia")</f>
        <v>sell my house for cash Northeast Philadelphia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9" t="str">
        <f>IFERROR(__xludf.DUMMYFUNCTION("""COMPUTED_VALUE"""),"sell my home for cash Northeast Philadelphia")</f>
        <v>sell my home for cash Northeast Philadelphia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9" t="str">
        <f>IFERROR(__xludf.DUMMYFUNCTION("""COMPUTED_VALUE"""),"sell my property for cash Northeast Philadelphia")</f>
        <v>sell my property for cash Northeast Philadelphia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9" t="str">
        <f>IFERROR(__xludf.DUMMYFUNCTION("""COMPUTED_VALUE"""),"we buy houses Northeast Philadelphia")</f>
        <v>we buy houses Northeast Philadelphia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9" t="str">
        <f>IFERROR(__xludf.DUMMYFUNCTION("""COMPUTED_VALUE"""),"we buy homes Northeast Philadelphia")</f>
        <v>we buy homes Northeast Philadelphia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9" t="str">
        <f>IFERROR(__xludf.DUMMYFUNCTION("""COMPUTED_VALUE"""),"cash home buyers Northeast Philadelphia")</f>
        <v>cash home buyers Northeast Philadelphia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9" t="str">
        <f>IFERROR(__xludf.DUMMYFUNCTION("""COMPUTED_VALUE"""),"cash for houses Northeast Philadelphia")</f>
        <v>cash for houses Northeast Philadelphia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9" t="str">
        <f>IFERROR(__xludf.DUMMYFUNCTION("""COMPUTED_VALUE"""),"companies that buy houses Northeast Philadelphia")</f>
        <v>companies that buy houses Northeast Philadelphia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9" t="str">
        <f>IFERROR(__xludf.DUMMYFUNCTION("""COMPUTED_VALUE"""),"sell my house South Philadelphia")</f>
        <v>sell my house South Philadelphia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9" t="str">
        <f>IFERROR(__xludf.DUMMYFUNCTION("""COMPUTED_VALUE"""),"sell my house fast South Philadelphia")</f>
        <v>sell my house fast South Philadelphia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9" t="str">
        <f>IFERROR(__xludf.DUMMYFUNCTION("""COMPUTED_VALUE"""),"sell my house for cash South Philadelphia")</f>
        <v>sell my house for cash South Philadelphia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9" t="str">
        <f>IFERROR(__xludf.DUMMYFUNCTION("""COMPUTED_VALUE"""),"sell my home for cash South Philadelphia")</f>
        <v>sell my home for cash South Philadelphia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9" t="str">
        <f>IFERROR(__xludf.DUMMYFUNCTION("""COMPUTED_VALUE"""),"sell my property for cash South Philadelphia")</f>
        <v>sell my property for cash South Philadelphia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9" t="str">
        <f>IFERROR(__xludf.DUMMYFUNCTION("""COMPUTED_VALUE"""),"we buy houses South Philadelphia")</f>
        <v>we buy houses South Philadelphia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9" t="str">
        <f>IFERROR(__xludf.DUMMYFUNCTION("""COMPUTED_VALUE"""),"we buy homes South Philadelphia")</f>
        <v>we buy homes South Philadelphia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9" t="str">
        <f>IFERROR(__xludf.DUMMYFUNCTION("""COMPUTED_VALUE"""),"cash home buyers South Philadelphia")</f>
        <v>cash home buyers South Philadelphia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9" t="str">
        <f>IFERROR(__xludf.DUMMYFUNCTION("""COMPUTED_VALUE"""),"cash for houses South Philadelphia")</f>
        <v>cash for houses South Philadelphia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9" t="str">
        <f>IFERROR(__xludf.DUMMYFUNCTION("""COMPUTED_VALUE"""),"companies that buy houses South Philadelphia")</f>
        <v>companies that buy houses South Philadelphia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9" t="str">
        <f>IFERROR(__xludf.DUMMYFUNCTION("""COMPUTED_VALUE"""),"sell my house West Philadelphia")</f>
        <v>sell my house West Philadelphia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9" t="str">
        <f>IFERROR(__xludf.DUMMYFUNCTION("""COMPUTED_VALUE"""),"sell my house fast West Philadelphia")</f>
        <v>sell my house fast West Philadelphia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9" t="str">
        <f>IFERROR(__xludf.DUMMYFUNCTION("""COMPUTED_VALUE"""),"sell my house for cash West Philadelphia")</f>
        <v>sell my house for cash West Philadelphia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9" t="str">
        <f>IFERROR(__xludf.DUMMYFUNCTION("""COMPUTED_VALUE"""),"sell my home for cash West Philadelphia")</f>
        <v>sell my home for cash West Philadelphia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9" t="str">
        <f>IFERROR(__xludf.DUMMYFUNCTION("""COMPUTED_VALUE"""),"sell my property for cash West Philadelphia")</f>
        <v>sell my property for cash West Philadelphia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9" t="str">
        <f>IFERROR(__xludf.DUMMYFUNCTION("""COMPUTED_VALUE"""),"we buy houses West Philadelphia")</f>
        <v>we buy houses West Philadelphia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9" t="str">
        <f>IFERROR(__xludf.DUMMYFUNCTION("""COMPUTED_VALUE"""),"we buy homes West Philadelphia")</f>
        <v>we buy homes West Philadelphia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9" t="str">
        <f>IFERROR(__xludf.DUMMYFUNCTION("""COMPUTED_VALUE"""),"cash home buyers West Philadelphia")</f>
        <v>cash home buyers West Philadelphia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9" t="str">
        <f>IFERROR(__xludf.DUMMYFUNCTION("""COMPUTED_VALUE"""),"cash for houses West Philadelphia")</f>
        <v>cash for houses West Philadelphia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9" t="str">
        <f>IFERROR(__xludf.DUMMYFUNCTION("""COMPUTED_VALUE"""),"companies that buy houses West Philadelphia")</f>
        <v>companies that buy houses West Philadelphia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9" t="str">
        <f>IFERROR(__xludf.DUMMYFUNCTION("""COMPUTED_VALUE"""),"sell my house Wilmington DE")</f>
        <v>sell my house Wilmington DE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9" t="str">
        <f>IFERROR(__xludf.DUMMYFUNCTION("""COMPUTED_VALUE"""),"sell my house fast Wilmington DE")</f>
        <v>sell my house fast Wilmington DE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9" t="str">
        <f>IFERROR(__xludf.DUMMYFUNCTION("""COMPUTED_VALUE"""),"sell my house for cash Wilmington DE")</f>
        <v>sell my house for cash Wilmington DE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9" t="str">
        <f>IFERROR(__xludf.DUMMYFUNCTION("""COMPUTED_VALUE"""),"sell my home for cash Wilmington DE")</f>
        <v>sell my home for cash Wilmington DE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9" t="str">
        <f>IFERROR(__xludf.DUMMYFUNCTION("""COMPUTED_VALUE"""),"sell my property for cash Wilmington DE")</f>
        <v>sell my property for cash Wilmington DE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9" t="str">
        <f>IFERROR(__xludf.DUMMYFUNCTION("""COMPUTED_VALUE"""),"we buy houses Wilmington DE")</f>
        <v>we buy houses Wilmington DE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9" t="str">
        <f>IFERROR(__xludf.DUMMYFUNCTION("""COMPUTED_VALUE"""),"we buy homes Wilmington DE")</f>
        <v>we buy homes Wilmington DE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9" t="str">
        <f>IFERROR(__xludf.DUMMYFUNCTION("""COMPUTED_VALUE"""),"cash home buyers Wilmington DE")</f>
        <v>cash home buyers Wilmington DE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9" t="str">
        <f>IFERROR(__xludf.DUMMYFUNCTION("""COMPUTED_VALUE"""),"cash for houses Wilmington DE")</f>
        <v>cash for houses Wilmington DE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9" t="str">
        <f>IFERROR(__xludf.DUMMYFUNCTION("""COMPUTED_VALUE"""),"companies that buy houses Wilmington DE")</f>
        <v>companies that buy houses Wilmington DE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9" t="str">
        <f>IFERROR(__xludf.DUMMYFUNCTION("""COMPUTED_VALUE"""),"sell my house New Castle County DE")</f>
        <v>sell my house New Castle County DE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9" t="str">
        <f>IFERROR(__xludf.DUMMYFUNCTION("""COMPUTED_VALUE"""),"sell my house fast New Castle County DE")</f>
        <v>sell my house fast New Castle County DE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9" t="str">
        <f>IFERROR(__xludf.DUMMYFUNCTION("""COMPUTED_VALUE"""),"sell my house for cash New Castle County DE")</f>
        <v>sell my house for cash New Castle County DE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9" t="str">
        <f>IFERROR(__xludf.DUMMYFUNCTION("""COMPUTED_VALUE"""),"sell my home for cash New Castle County DE")</f>
        <v>sell my home for cash New Castle County DE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20" t="str">
        <f>IFERROR(__xludf.DUMMYFUNCTION("""COMPUTED_VALUE"""),"sell my property for cash New Castle County DE")</f>
        <v>sell my property for cash New Castle County DE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9" t="str">
        <f>IFERROR(__xludf.DUMMYFUNCTION("""COMPUTED_VALUE"""),"we buy houses New Castle County DE")</f>
        <v>we buy houses New Castle County DE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9" t="str">
        <f>IFERROR(__xludf.DUMMYFUNCTION("""COMPUTED_VALUE"""),"we buy homes New Castle County DE")</f>
        <v>we buy homes New Castle County DE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9" t="str">
        <f>IFERROR(__xludf.DUMMYFUNCTION("""COMPUTED_VALUE"""),"cash home buyers New Castle County DE")</f>
        <v>cash home buyers New Castle County DE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9" t="str">
        <f>IFERROR(__xludf.DUMMYFUNCTION("""COMPUTED_VALUE"""),"cash for houses New Castle County DE")</f>
        <v>cash for houses New Castle County DE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9" t="str">
        <f>IFERROR(__xludf.DUMMYFUNCTION("""COMPUTED_VALUE"""),"companies that buy houses New Castle County DE")</f>
        <v>companies that buy houses New Castle County DE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9" t="str">
        <f>IFERROR(__xludf.DUMMYFUNCTION("""COMPUTED_VALUE"""),"sell my house Upper Darby PA")</f>
        <v>sell my house Upper Darby PA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9" t="str">
        <f>IFERROR(__xludf.DUMMYFUNCTION("""COMPUTED_VALUE"""),"sell my house fast Upper Darby PA")</f>
        <v>sell my house fast Upper Darby PA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9" t="str">
        <f>IFERROR(__xludf.DUMMYFUNCTION("""COMPUTED_VALUE"""),"sell my house for cash Upper Darby PA")</f>
        <v>sell my house for cash Upper Darby PA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9" t="str">
        <f>IFERROR(__xludf.DUMMYFUNCTION("""COMPUTED_VALUE"""),"sell my home for cash Upper Darby PA")</f>
        <v>sell my home for cash Upper Darby PA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9" t="str">
        <f>IFERROR(__xludf.DUMMYFUNCTION("""COMPUTED_VALUE"""),"sell my property for cash Upper Darby PA")</f>
        <v>sell my property for cash Upper Darby PA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9" t="str">
        <f>IFERROR(__xludf.DUMMYFUNCTION("""COMPUTED_VALUE"""),"we buy houses Upper Darby PA")</f>
        <v>we buy houses Upper Darby PA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9" t="str">
        <f>IFERROR(__xludf.DUMMYFUNCTION("""COMPUTED_VALUE"""),"we buy homes Upper Darby PA")</f>
        <v>we buy homes Upper Darby PA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9" t="str">
        <f>IFERROR(__xludf.DUMMYFUNCTION("""COMPUTED_VALUE"""),"cash home buyers Upper Darby PA")</f>
        <v>cash home buyers Upper Darby PA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9" t="str">
        <f>IFERROR(__xludf.DUMMYFUNCTION("""COMPUTED_VALUE"""),"cash for houses Upper Darby PA")</f>
        <v>cash for houses Upper Darby PA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9" t="str">
        <f>IFERROR(__xludf.DUMMYFUNCTION("""COMPUTED_VALUE"""),"companies that buy houses Upper Darby PA")</f>
        <v>companies that buy houses Upper Darby PA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9" t="str">
        <f>IFERROR(__xludf.DUMMYFUNCTION("""COMPUTED_VALUE"""),"sell my house Delaware County PA")</f>
        <v>sell my house Delaware County PA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9" t="str">
        <f>IFERROR(__xludf.DUMMYFUNCTION("""COMPUTED_VALUE"""),"sell my house fast Delaware County PA")</f>
        <v>sell my house fast Delaware County PA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9" t="str">
        <f>IFERROR(__xludf.DUMMYFUNCTION("""COMPUTED_VALUE"""),"sell my house for cash Delaware County PA")</f>
        <v>sell my house for cash Delaware County PA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9" t="str">
        <f>IFERROR(__xludf.DUMMYFUNCTION("""COMPUTED_VALUE"""),"sell my home for cash Delaware County PA")</f>
        <v>sell my home for cash Delaware County PA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9" t="str">
        <f>IFERROR(__xludf.DUMMYFUNCTION("""COMPUTED_VALUE"""),"sell my property for cash Delaware County PA")</f>
        <v>sell my property for cash Delaware County PA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9" t="str">
        <f>IFERROR(__xludf.DUMMYFUNCTION("""COMPUTED_VALUE"""),"we buy houses Delaware County PA")</f>
        <v>we buy houses Delaware County PA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9" t="str">
        <f>IFERROR(__xludf.DUMMYFUNCTION("""COMPUTED_VALUE"""),"we buy homes Delaware County PA")</f>
        <v>we buy homes Delaware County PA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9" t="str">
        <f>IFERROR(__xludf.DUMMYFUNCTION("""COMPUTED_VALUE"""),"cash home buyers Delaware County PA")</f>
        <v>cash home buyers Delaware County PA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9" t="str">
        <f>IFERROR(__xludf.DUMMYFUNCTION("""COMPUTED_VALUE"""),"cash for houses Delaware County PA")</f>
        <v>cash for houses Delaware County PA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9" t="str">
        <f>IFERROR(__xludf.DUMMYFUNCTION("""COMPUTED_VALUE"""),"companies that buy houses Delaware County PA")</f>
        <v>companies that buy houses Delaware County PA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9" t="str">
        <f>IFERROR(__xludf.DUMMYFUNCTION("""COMPUTED_VALUE"""),"sell my house Lancaster PA")</f>
        <v>sell my house Lancaster PA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9" t="str">
        <f>IFERROR(__xludf.DUMMYFUNCTION("""COMPUTED_VALUE"""),"sell my house fast Lancaster PA")</f>
        <v>sell my house fast Lancaster PA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9" t="str">
        <f>IFERROR(__xludf.DUMMYFUNCTION("""COMPUTED_VALUE"""),"sell my house for cash Lancaster PA")</f>
        <v>sell my house for cash Lancaster PA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9" t="str">
        <f>IFERROR(__xludf.DUMMYFUNCTION("""COMPUTED_VALUE"""),"sell my home for cash Lancaster PA")</f>
        <v>sell my home for cash Lancaster PA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9" t="str">
        <f>IFERROR(__xludf.DUMMYFUNCTION("""COMPUTED_VALUE"""),"sell my property for cash Lancaster PA")</f>
        <v>sell my property for cash Lancaster PA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9" t="str">
        <f>IFERROR(__xludf.DUMMYFUNCTION("""COMPUTED_VALUE"""),"we buy houses Lancaster PA")</f>
        <v>we buy houses Lancaster PA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9" t="str">
        <f>IFERROR(__xludf.DUMMYFUNCTION("""COMPUTED_VALUE"""),"we buy homes Lancaster PA")</f>
        <v>we buy homes Lancaster PA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9" t="str">
        <f>IFERROR(__xludf.DUMMYFUNCTION("""COMPUTED_VALUE"""),"cash home buyers Lancaster PA")</f>
        <v>cash home buyers Lancaster PA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9" t="str">
        <f>IFERROR(__xludf.DUMMYFUNCTION("""COMPUTED_VALUE"""),"cash for houses Lancaster PA")</f>
        <v>cash for houses Lancaster PA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9" t="str">
        <f>IFERROR(__xludf.DUMMYFUNCTION("""COMPUTED_VALUE"""),"companies that buy houses Lancaster PA")</f>
        <v>companies that buy houses Lancaster PA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9" t="str">
        <f>IFERROR(__xludf.DUMMYFUNCTION("""COMPUTED_VALUE"""),"sell my house Lancaster County PA")</f>
        <v>sell my house Lancaster County PA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9" t="str">
        <f>IFERROR(__xludf.DUMMYFUNCTION("""COMPUTED_VALUE"""),"sell my house fast Lancaster County PA")</f>
        <v>sell my house fast Lancaster County PA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9" t="str">
        <f>IFERROR(__xludf.DUMMYFUNCTION("""COMPUTED_VALUE"""),"sell my house for cash Lancaster County PA")</f>
        <v>sell my house for cash Lancaster County PA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9" t="str">
        <f>IFERROR(__xludf.DUMMYFUNCTION("""COMPUTED_VALUE"""),"sell my home for cash Lancaster County PA")</f>
        <v>sell my home for cash Lancaster County PA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9" t="str">
        <f>IFERROR(__xludf.DUMMYFUNCTION("""COMPUTED_VALUE"""),"sell my property for cash Lancaster County PA")</f>
        <v>sell my property for cash Lancaster County PA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9" t="str">
        <f>IFERROR(__xludf.DUMMYFUNCTION("""COMPUTED_VALUE"""),"we buy houses Lancaster County PA")</f>
        <v>we buy houses Lancaster County PA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9" t="str">
        <f>IFERROR(__xludf.DUMMYFUNCTION("""COMPUTED_VALUE"""),"we buy homes Lancaster County PA")</f>
        <v>we buy homes Lancaster County PA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9" t="str">
        <f>IFERROR(__xludf.DUMMYFUNCTION("""COMPUTED_VALUE"""),"cash home buyers Lancaster County PA")</f>
        <v>cash home buyers Lancaster County PA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9" t="str">
        <f>IFERROR(__xludf.DUMMYFUNCTION("""COMPUTED_VALUE"""),"cash for houses Lancaster County PA")</f>
        <v>cash for houses Lancaster County PA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9" t="str">
        <f>IFERROR(__xludf.DUMMYFUNCTION("""COMPUTED_VALUE"""),"companies that buy houses Lancaster County PA")</f>
        <v>companies that buy houses Lancaster County PA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9" t="str">
        <f>IFERROR(__xludf.DUMMYFUNCTION("""COMPUTED_VALUE"""),"sell my house Reading PA")</f>
        <v>sell my house Reading PA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9" t="str">
        <f>IFERROR(__xludf.DUMMYFUNCTION("""COMPUTED_VALUE"""),"sell my house fast Reading PA")</f>
        <v>sell my house fast Reading PA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9" t="str">
        <f>IFERROR(__xludf.DUMMYFUNCTION("""COMPUTED_VALUE"""),"sell my house for cash Reading PA")</f>
        <v>sell my house for cash Reading PA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9" t="str">
        <f>IFERROR(__xludf.DUMMYFUNCTION("""COMPUTED_VALUE"""),"sell my home for cash Reading PA")</f>
        <v>sell my home for cash Reading PA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9" t="str">
        <f>IFERROR(__xludf.DUMMYFUNCTION("""COMPUTED_VALUE"""),"sell my property for cash Reading PA")</f>
        <v>sell my property for cash Reading PA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9" t="str">
        <f>IFERROR(__xludf.DUMMYFUNCTION("""COMPUTED_VALUE"""),"we buy houses Reading PA")</f>
        <v>we buy houses Reading PA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9" t="str">
        <f>IFERROR(__xludf.DUMMYFUNCTION("""COMPUTED_VALUE"""),"we buy homes Reading PA")</f>
        <v>we buy homes Reading PA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9" t="str">
        <f>IFERROR(__xludf.DUMMYFUNCTION("""COMPUTED_VALUE"""),"cash home buyers Reading PA")</f>
        <v>cash home buyers Reading PA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9" t="str">
        <f>IFERROR(__xludf.DUMMYFUNCTION("""COMPUTED_VALUE"""),"cash for houses Reading PA")</f>
        <v>cash for houses Reading PA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9" t="str">
        <f>IFERROR(__xludf.DUMMYFUNCTION("""COMPUTED_VALUE"""),"companies that buy houses Reading PA")</f>
        <v>companies that buy houses Reading PA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9" t="str">
        <f>IFERROR(__xludf.DUMMYFUNCTION("""COMPUTED_VALUE"""),"sell my house Berks County PA")</f>
        <v>sell my house Berks County PA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9" t="str">
        <f>IFERROR(__xludf.DUMMYFUNCTION("""COMPUTED_VALUE"""),"sell my house fast Berks County PA")</f>
        <v>sell my house fast Berks County PA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9" t="str">
        <f>IFERROR(__xludf.DUMMYFUNCTION("""COMPUTED_VALUE"""),"sell my house for cash Berks County PA")</f>
        <v>sell my house for cash Berks County PA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9" t="str">
        <f>IFERROR(__xludf.DUMMYFUNCTION("""COMPUTED_VALUE"""),"sell my home for cash Berks County PA")</f>
        <v>sell my home for cash Berks County PA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9" t="str">
        <f>IFERROR(__xludf.DUMMYFUNCTION("""COMPUTED_VALUE"""),"sell my property for cash Berks County PA")</f>
        <v>sell my property for cash Berks County PA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9" t="str">
        <f>IFERROR(__xludf.DUMMYFUNCTION("""COMPUTED_VALUE"""),"we buy houses Berks County PA")</f>
        <v>we buy houses Berks County PA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9" t="str">
        <f>IFERROR(__xludf.DUMMYFUNCTION("""COMPUTED_VALUE"""),"we buy homes Berks County PA")</f>
        <v>we buy homes Berks County PA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9" t="str">
        <f>IFERROR(__xludf.DUMMYFUNCTION("""COMPUTED_VALUE"""),"cash home buyers Berks County PA")</f>
        <v>cash home buyers Berks County PA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9" t="str">
        <f>IFERROR(__xludf.DUMMYFUNCTION("""COMPUTED_VALUE"""),"cash for houses Berks County PA")</f>
        <v>cash for houses Berks County PA</v>
      </c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9" t="str">
        <f>IFERROR(__xludf.DUMMYFUNCTION("""COMPUTED_VALUE"""),"companies that buy houses Berks County PA")</f>
        <v>companies that buy houses Berks County PA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9" t="str">
        <f>IFERROR(__xludf.DUMMYFUNCTION("""COMPUTED_VALUE"""),"sell my house York PA")</f>
        <v>sell my house York PA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9" t="str">
        <f>IFERROR(__xludf.DUMMYFUNCTION("""COMPUTED_VALUE"""),"sell my house fast York PA")</f>
        <v>sell my house fast York PA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9" t="str">
        <f>IFERROR(__xludf.DUMMYFUNCTION("""COMPUTED_VALUE"""),"sell my house for cash York PA")</f>
        <v>sell my house for cash York PA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9" t="str">
        <f>IFERROR(__xludf.DUMMYFUNCTION("""COMPUTED_VALUE"""),"sell my home for cash York PA")</f>
        <v>sell my home for cash York PA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9" t="str">
        <f>IFERROR(__xludf.DUMMYFUNCTION("""COMPUTED_VALUE"""),"sell my property for cash York PA")</f>
        <v>sell my property for cash York PA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9" t="str">
        <f>IFERROR(__xludf.DUMMYFUNCTION("""COMPUTED_VALUE"""),"we buy houses York PA")</f>
        <v>we buy houses York PA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9" t="str">
        <f>IFERROR(__xludf.DUMMYFUNCTION("""COMPUTED_VALUE"""),"we buy homes York PA")</f>
        <v>we buy homes York PA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9" t="str">
        <f>IFERROR(__xludf.DUMMYFUNCTION("""COMPUTED_VALUE"""),"cash home buyers York PA")</f>
        <v>cash home buyers York PA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9" t="str">
        <f>IFERROR(__xludf.DUMMYFUNCTION("""COMPUTED_VALUE"""),"cash for houses York PA")</f>
        <v>cash for houses York PA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9" t="str">
        <f>IFERROR(__xludf.DUMMYFUNCTION("""COMPUTED_VALUE"""),"companies that buy houses York PA")</f>
        <v>companies that buy houses York PA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9" t="str">
        <f>IFERROR(__xludf.DUMMYFUNCTION("""COMPUTED_VALUE"""),"sell my house York County PA")</f>
        <v>sell my house York County PA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9" t="str">
        <f>IFERROR(__xludf.DUMMYFUNCTION("""COMPUTED_VALUE"""),"sell my house fast York County PA")</f>
        <v>sell my house fast York County PA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9" t="str">
        <f>IFERROR(__xludf.DUMMYFUNCTION("""COMPUTED_VALUE"""),"sell my house for cash York County PA")</f>
        <v>sell my house for cash York County PA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9" t="str">
        <f>IFERROR(__xludf.DUMMYFUNCTION("""COMPUTED_VALUE"""),"sell my home for cash York County PA")</f>
        <v>sell my home for cash York County PA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9" t="str">
        <f>IFERROR(__xludf.DUMMYFUNCTION("""COMPUTED_VALUE"""),"sell my property for cash York County PA")</f>
        <v>sell my property for cash York County PA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9" t="str">
        <f>IFERROR(__xludf.DUMMYFUNCTION("""COMPUTED_VALUE"""),"we buy houses York County PA")</f>
        <v>we buy houses York County PA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9" t="str">
        <f>IFERROR(__xludf.DUMMYFUNCTION("""COMPUTED_VALUE"""),"we buy homes York County PA")</f>
        <v>we buy homes York County PA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9" t="str">
        <f>IFERROR(__xludf.DUMMYFUNCTION("""COMPUTED_VALUE"""),"cash home buyers York County PA")</f>
        <v>cash home buyers York County PA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9" t="str">
        <f>IFERROR(__xludf.DUMMYFUNCTION("""COMPUTED_VALUE"""),"cash for houses York County PA")</f>
        <v>cash for houses York County PA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9" t="str">
        <f>IFERROR(__xludf.DUMMYFUNCTION("""COMPUTED_VALUE"""),"companies that buy houses York County PA")</f>
        <v>companies that buy houses York County PA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9" t="str">
        <f>IFERROR(__xludf.DUMMYFUNCTION("""COMPUTED_VALUE"""),"sell my house Phoenixville PA")</f>
        <v>sell my house Phoenixville PA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9" t="str">
        <f>IFERROR(__xludf.DUMMYFUNCTION("""COMPUTED_VALUE"""),"sell my house fast Phoenixville PA")</f>
        <v>sell my house fast Phoenixville PA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9" t="str">
        <f>IFERROR(__xludf.DUMMYFUNCTION("""COMPUTED_VALUE"""),"sell my house for cash Phoenixville PA")</f>
        <v>sell my house for cash Phoenixville PA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9" t="str">
        <f>IFERROR(__xludf.DUMMYFUNCTION("""COMPUTED_VALUE"""),"sell my home for cash Phoenixville PA")</f>
        <v>sell my home for cash Phoenixville PA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9" t="str">
        <f>IFERROR(__xludf.DUMMYFUNCTION("""COMPUTED_VALUE"""),"sell my property for cash Phoenixville PA")</f>
        <v>sell my property for cash Phoenixville PA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9" t="str">
        <f>IFERROR(__xludf.DUMMYFUNCTION("""COMPUTED_VALUE"""),"we buy houses Phoenixville PA")</f>
        <v>we buy houses Phoenixville PA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9" t="str">
        <f>IFERROR(__xludf.DUMMYFUNCTION("""COMPUTED_VALUE"""),"we buy homes Phoenixville PA")</f>
        <v>we buy homes Phoenixville PA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9" t="str">
        <f>IFERROR(__xludf.DUMMYFUNCTION("""COMPUTED_VALUE"""),"cash home buyers Phoenixville PA")</f>
        <v>cash home buyers Phoenixville PA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9" t="str">
        <f>IFERROR(__xludf.DUMMYFUNCTION("""COMPUTED_VALUE"""),"cash for houses Phoenixville PA")</f>
        <v>cash for houses Phoenixville PA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9" t="str">
        <f>IFERROR(__xludf.DUMMYFUNCTION("""COMPUTED_VALUE"""),"companies that buy houses Phoenixville PA")</f>
        <v>companies that buy houses Phoenixville PA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9" t="str">
        <f>IFERROR(__xludf.DUMMYFUNCTION("""COMPUTED_VALUE"""),"sell my house Coatesville PA")</f>
        <v>sell my house Coatesville PA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9" t="str">
        <f>IFERROR(__xludf.DUMMYFUNCTION("""COMPUTED_VALUE"""),"sell my house fast Coatesville PA")</f>
        <v>sell my house fast Coatesville PA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9" t="str">
        <f>IFERROR(__xludf.DUMMYFUNCTION("""COMPUTED_VALUE"""),"sell my house for cash Coatesville PA")</f>
        <v>sell my house for cash Coatesville PA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9" t="str">
        <f>IFERROR(__xludf.DUMMYFUNCTION("""COMPUTED_VALUE"""),"sell my home for cash Coatesville PA")</f>
        <v>sell my home for cash Coatesville PA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9" t="str">
        <f>IFERROR(__xludf.DUMMYFUNCTION("""COMPUTED_VALUE"""),"sell my property for cash Coatesville PA")</f>
        <v>sell my property for cash Coatesville PA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9" t="str">
        <f>IFERROR(__xludf.DUMMYFUNCTION("""COMPUTED_VALUE"""),"we buy houses Coatesville PA")</f>
        <v>we buy houses Coatesville PA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9" t="str">
        <f>IFERROR(__xludf.DUMMYFUNCTION("""COMPUTED_VALUE"""),"we buy homes Coatesville PA")</f>
        <v>we buy homes Coatesville PA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9" t="str">
        <f>IFERROR(__xludf.DUMMYFUNCTION("""COMPUTED_VALUE"""),"cash home buyers Coatesville PA")</f>
        <v>cash home buyers Coatesville PA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9" t="str">
        <f>IFERROR(__xludf.DUMMYFUNCTION("""COMPUTED_VALUE"""),"cash for houses Coatesville PA")</f>
        <v>cash for houses Coatesville PA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9" t="str">
        <f>IFERROR(__xludf.DUMMYFUNCTION("""COMPUTED_VALUE"""),"companies that buy houses Coatesville PA")</f>
        <v>companies that buy houses Coatesville PA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9" t="str">
        <f>IFERROR(__xludf.DUMMYFUNCTION("""COMPUTED_VALUE"""),"sell my house Pottstown PA")</f>
        <v>sell my house Pottstown PA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9" t="str">
        <f>IFERROR(__xludf.DUMMYFUNCTION("""COMPUTED_VALUE"""),"sell my house fast Pottstown PA")</f>
        <v>sell my house fast Pottstown PA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9" t="str">
        <f>IFERROR(__xludf.DUMMYFUNCTION("""COMPUTED_VALUE"""),"sell my house for cash Pottstown PA")</f>
        <v>sell my house for cash Pottstown PA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9" t="str">
        <f>IFERROR(__xludf.DUMMYFUNCTION("""COMPUTED_VALUE"""),"sell my home for cash Pottstown PA")</f>
        <v>sell my home for cash Pottstown PA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9" t="str">
        <f>IFERROR(__xludf.DUMMYFUNCTION("""COMPUTED_VALUE"""),"sell my property for cash Pottstown PA")</f>
        <v>sell my property for cash Pottstown PA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9" t="str">
        <f>IFERROR(__xludf.DUMMYFUNCTION("""COMPUTED_VALUE"""),"we buy houses Pottstown PA")</f>
        <v>we buy houses Pottstown PA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9" t="str">
        <f>IFERROR(__xludf.DUMMYFUNCTION("""COMPUTED_VALUE"""),"we buy homes Pottstown PA")</f>
        <v>we buy homes Pottstown PA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9" t="str">
        <f>IFERROR(__xludf.DUMMYFUNCTION("""COMPUTED_VALUE"""),"cash home buyers Pottstown PA")</f>
        <v>cash home buyers Pottstown PA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9" t="str">
        <f>IFERROR(__xludf.DUMMYFUNCTION("""COMPUTED_VALUE"""),"cash for houses Pottstown PA")</f>
        <v>cash for houses Pottstown PA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9" t="str">
        <f>IFERROR(__xludf.DUMMYFUNCTION("""COMPUTED_VALUE"""),"companies that buy houses Pottstown PA")</f>
        <v>companies that buy houses Pottstown PA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9" t="str">
        <f>IFERROR(__xludf.DUMMYFUNCTION("""COMPUTED_VALUE"""),"sell my house Chester County PA")</f>
        <v>sell my house Chester County PA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9" t="str">
        <f>IFERROR(__xludf.DUMMYFUNCTION("""COMPUTED_VALUE"""),"sell my house fast Chester County PA")</f>
        <v>sell my house fast Chester County PA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9" t="str">
        <f>IFERROR(__xludf.DUMMYFUNCTION("""COMPUTED_VALUE"""),"sell my house for cash Chester County PA")</f>
        <v>sell my house for cash Chester County PA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9" t="str">
        <f>IFERROR(__xludf.DUMMYFUNCTION("""COMPUTED_VALUE"""),"sell my home for cash Chester County PA")</f>
        <v>sell my home for cash Chester County PA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9" t="str">
        <f>IFERROR(__xludf.DUMMYFUNCTION("""COMPUTED_VALUE"""),"sell my property for cash Chester County PA")</f>
        <v>sell my property for cash Chester County PA</v>
      </c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9" t="str">
        <f>IFERROR(__xludf.DUMMYFUNCTION("""COMPUTED_VALUE"""),"we buy houses Chester County PA")</f>
        <v>we buy houses Chester County PA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9" t="str">
        <f>IFERROR(__xludf.DUMMYFUNCTION("""COMPUTED_VALUE"""),"we buy homes Chester County PA")</f>
        <v>we buy homes Chester County PA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9" t="str">
        <f>IFERROR(__xludf.DUMMYFUNCTION("""COMPUTED_VALUE"""),"cash home buyers Chester County PA")</f>
        <v>cash home buyers Chester County PA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9" t="str">
        <f>IFERROR(__xludf.DUMMYFUNCTION("""COMPUTED_VALUE"""),"cash for houses Chester County PA")</f>
        <v>cash for houses Chester County PA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9" t="str">
        <f>IFERROR(__xludf.DUMMYFUNCTION("""COMPUTED_VALUE"""),"companies that buy houses Chester County PA")</f>
        <v>companies that buy houses Chester County PA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9" t="str">
        <f>IFERROR(__xludf.DUMMYFUNCTION("""COMPUTED_VALUE"""),"sell my house Montgomery County PA")</f>
        <v>sell my house Montgomery County PA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9" t="str">
        <f>IFERROR(__xludf.DUMMYFUNCTION("""COMPUTED_VALUE"""),"sell my house fast Montgomery County PA")</f>
        <v>sell my house fast Montgomery County PA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9" t="str">
        <f>IFERROR(__xludf.DUMMYFUNCTION("""COMPUTED_VALUE"""),"sell my house for cash Montgomery County PA")</f>
        <v>sell my house for cash Montgomery County PA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9" t="str">
        <f>IFERROR(__xludf.DUMMYFUNCTION("""COMPUTED_VALUE"""),"sell my home for cash Montgomery County PA")</f>
        <v>sell my home for cash Montgomery County PA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9" t="str">
        <f>IFERROR(__xludf.DUMMYFUNCTION("""COMPUTED_VALUE"""),"sell my property for cash Montgomery County PA")</f>
        <v>sell my property for cash Montgomery County PA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9" t="str">
        <f>IFERROR(__xludf.DUMMYFUNCTION("""COMPUTED_VALUE"""),"we buy houses Montgomery County PA")</f>
        <v>we buy houses Montgomery County PA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9" t="str">
        <f>IFERROR(__xludf.DUMMYFUNCTION("""COMPUTED_VALUE"""),"we buy homes Montgomery County PA")</f>
        <v>we buy homes Montgomery County PA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9" t="str">
        <f>IFERROR(__xludf.DUMMYFUNCTION("""COMPUTED_VALUE"""),"cash home buyers Montgomery County PA")</f>
        <v>cash home buyers Montgomery County PA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9" t="str">
        <f>IFERROR(__xludf.DUMMYFUNCTION("""COMPUTED_VALUE"""),"cash for houses Montgomery County PA")</f>
        <v>cash for houses Montgomery County PA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9" t="str">
        <f>IFERROR(__xludf.DUMMYFUNCTION("""COMPUTED_VALUE"""),"companies that buy houses Montgomery County PA")</f>
        <v>companies that buy houses Montgomery County PA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9" t="str">
        <f>IFERROR(__xludf.DUMMYFUNCTION("""COMPUTED_VALUE"""),"sell my house Pennsylvania")</f>
        <v>sell my house Pennsylvania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9" t="str">
        <f>IFERROR(__xludf.DUMMYFUNCTION("""COMPUTED_VALUE"""),"sell my house fast Pennsylvania")</f>
        <v>sell my house fast Pennsylvania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9" t="str">
        <f>IFERROR(__xludf.DUMMYFUNCTION("""COMPUTED_VALUE"""),"sell my house for cash Pennsylvania")</f>
        <v>sell my house for cash Pennsylvania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9" t="str">
        <f>IFERROR(__xludf.DUMMYFUNCTION("""COMPUTED_VALUE"""),"sell my home for cash Pennsylvania")</f>
        <v>sell my home for cash Pennsylvania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9" t="str">
        <f>IFERROR(__xludf.DUMMYFUNCTION("""COMPUTED_VALUE"""),"sell my property for cash Pennsylvania")</f>
        <v>sell my property for cash Pennsylvania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9" t="str">
        <f>IFERROR(__xludf.DUMMYFUNCTION("""COMPUTED_VALUE"""),"we buy houses Pennsylvania")</f>
        <v>we buy houses Pennsylvania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9" t="str">
        <f>IFERROR(__xludf.DUMMYFUNCTION("""COMPUTED_VALUE"""),"we buy homes Pennsylvania")</f>
        <v>we buy homes Pennsylvania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9" t="str">
        <f>IFERROR(__xludf.DUMMYFUNCTION("""COMPUTED_VALUE"""),"cash home buyers Pennsylvania")</f>
        <v>cash home buyers Pennsylvania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9" t="str">
        <f>IFERROR(__xludf.DUMMYFUNCTION("""COMPUTED_VALUE"""),"cash for houses Pennsylvania")</f>
        <v>cash for houses Pennsylvania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9" t="str">
        <f>IFERROR(__xludf.DUMMYFUNCTION("""COMPUTED_VALUE"""),"companies that buy houses Pennsylvania")</f>
        <v>companies that buy houses Pennsylvania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9" t="str">
        <f>IFERROR(__xludf.DUMMYFUNCTION("""COMPUTED_VALUE"""),"sell my house PA")</f>
        <v>sell my house PA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9" t="str">
        <f>IFERROR(__xludf.DUMMYFUNCTION("""COMPUTED_VALUE"""),"sell my house fast PA")</f>
        <v>sell my house fast PA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9" t="str">
        <f>IFERROR(__xludf.DUMMYFUNCTION("""COMPUTED_VALUE"""),"sell my house for cash PA")</f>
        <v>sell my house for cash PA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9" t="str">
        <f>IFERROR(__xludf.DUMMYFUNCTION("""COMPUTED_VALUE"""),"sell my home for cash PA")</f>
        <v>sell my home for cash PA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9" t="str">
        <f>IFERROR(__xludf.DUMMYFUNCTION("""COMPUTED_VALUE"""),"sell my property for cash PA")</f>
        <v>sell my property for cash PA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9" t="str">
        <f>IFERROR(__xludf.DUMMYFUNCTION("""COMPUTED_VALUE"""),"we buy houses PA")</f>
        <v>we buy houses PA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9" t="str">
        <f>IFERROR(__xludf.DUMMYFUNCTION("""COMPUTED_VALUE"""),"we buy homes PA")</f>
        <v>we buy homes PA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9" t="str">
        <f>IFERROR(__xludf.DUMMYFUNCTION("""COMPUTED_VALUE"""),"cash home buyers PA")</f>
        <v>cash home buyers PA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9" t="str">
        <f>IFERROR(__xludf.DUMMYFUNCTION("""COMPUTED_VALUE"""),"cash for houses PA")</f>
        <v>cash for houses PA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9" t="str">
        <f>IFERROR(__xludf.DUMMYFUNCTION("""COMPUTED_VALUE"""),"companies that buy houses PA")</f>
        <v>companies that buy houses PA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9" t="str">
        <f>IFERROR(__xludf.DUMMYFUNCTION("""COMPUTED_VALUE"""),"sell my house Delaware")</f>
        <v>sell my house Delaware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9" t="str">
        <f>IFERROR(__xludf.DUMMYFUNCTION("""COMPUTED_VALUE"""),"sell my house fast Delaware")</f>
        <v>sell my house fast Delaware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9" t="str">
        <f>IFERROR(__xludf.DUMMYFUNCTION("""COMPUTED_VALUE"""),"sell my house for cash Delaware")</f>
        <v>sell my house for cash Delaware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9" t="str">
        <f>IFERROR(__xludf.DUMMYFUNCTION("""COMPUTED_VALUE"""),"sell my home for cash Delaware")</f>
        <v>sell my home for cash Delaware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9" t="str">
        <f>IFERROR(__xludf.DUMMYFUNCTION("""COMPUTED_VALUE"""),"sell my property for cash Delaware")</f>
        <v>sell my property for cash Delaware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9" t="str">
        <f>IFERROR(__xludf.DUMMYFUNCTION("""COMPUTED_VALUE"""),"we buy houses Delaware")</f>
        <v>we buy houses Delaware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9" t="str">
        <f>IFERROR(__xludf.DUMMYFUNCTION("""COMPUTED_VALUE"""),"we buy homes Delaware")</f>
        <v>we buy homes Delaware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9" t="str">
        <f>IFERROR(__xludf.DUMMYFUNCTION("""COMPUTED_VALUE"""),"cash home buyers Delaware")</f>
        <v>cash home buyers Delaware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9" t="str">
        <f>IFERROR(__xludf.DUMMYFUNCTION("""COMPUTED_VALUE"""),"cash for houses Delaware")</f>
        <v>cash for houses Delaware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9" t="str">
        <f>IFERROR(__xludf.DUMMYFUNCTION("""COMPUTED_VALUE"""),"companies that buy houses Delaware")</f>
        <v>companies that buy houses Delaware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9" t="str">
        <f>IFERROR(__xludf.DUMMYFUNCTION("""COMPUTED_VALUE"""),"sell my house DE")</f>
        <v>sell my house DE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9" t="str">
        <f>IFERROR(__xludf.DUMMYFUNCTION("""COMPUTED_VALUE"""),"sell my house fast DE")</f>
        <v>sell my house fast DE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9" t="str">
        <f>IFERROR(__xludf.DUMMYFUNCTION("""COMPUTED_VALUE"""),"sell my house for cash DE")</f>
        <v>sell my house for cash DE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9" t="str">
        <f>IFERROR(__xludf.DUMMYFUNCTION("""COMPUTED_VALUE"""),"sell my home for cash DE")</f>
        <v>sell my home for cash DE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9" t="str">
        <f>IFERROR(__xludf.DUMMYFUNCTION("""COMPUTED_VALUE"""),"sell my property for cash DE")</f>
        <v>sell my property for cash DE</v>
      </c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9" t="str">
        <f>IFERROR(__xludf.DUMMYFUNCTION("""COMPUTED_VALUE"""),"we buy houses DE")</f>
        <v>we buy houses DE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9" t="str">
        <f>IFERROR(__xludf.DUMMYFUNCTION("""COMPUTED_VALUE"""),"we buy homes DE")</f>
        <v>we buy homes DE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9" t="str">
        <f>IFERROR(__xludf.DUMMYFUNCTION("""COMPUTED_VALUE"""),"cash home buyers DE")</f>
        <v>cash home buyers DE</v>
      </c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9" t="str">
        <f>IFERROR(__xludf.DUMMYFUNCTION("""COMPUTED_VALUE"""),"cash for houses DE")</f>
        <v>cash for houses DE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9" t="str">
        <f>IFERROR(__xludf.DUMMYFUNCTION("""COMPUTED_VALUE"""),"companies that buy houses DE")</f>
        <v>companies that buy houses DE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9" t="str">
        <f>IFERROR(__xludf.DUMMYFUNCTION("""COMPUTED_VALUE"""),"sell my house Greater Philadelphia")</f>
        <v>sell my house Greater Philadelphia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9" t="str">
        <f>IFERROR(__xludf.DUMMYFUNCTION("""COMPUTED_VALUE"""),"sell my house fast Greater Philadelphia")</f>
        <v>sell my house fast Greater Philadelphia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9" t="str">
        <f>IFERROR(__xludf.DUMMYFUNCTION("""COMPUTED_VALUE"""),"sell my house for cash Greater Philadelphia")</f>
        <v>sell my house for cash Greater Philadelphia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9" t="str">
        <f>IFERROR(__xludf.DUMMYFUNCTION("""COMPUTED_VALUE"""),"sell my home for cash Greater Philadelphia")</f>
        <v>sell my home for cash Greater Philadelphia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9" t="str">
        <f>IFERROR(__xludf.DUMMYFUNCTION("""COMPUTED_VALUE"""),"sell my property for cash Greater Philadelphia")</f>
        <v>sell my property for cash Greater Philadelphia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9" t="str">
        <f>IFERROR(__xludf.DUMMYFUNCTION("""COMPUTED_VALUE"""),"we buy houses Greater Philadelphia")</f>
        <v>we buy houses Greater Philadelphia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9" t="str">
        <f>IFERROR(__xludf.DUMMYFUNCTION("""COMPUTED_VALUE"""),"we buy homes Greater Philadelphia")</f>
        <v>we buy homes Greater Philadelphia</v>
      </c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9" t="str">
        <f>IFERROR(__xludf.DUMMYFUNCTION("""COMPUTED_VALUE"""),"cash home buyers Greater Philadelphia")</f>
        <v>cash home buyers Greater Philadelphia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9" t="str">
        <f>IFERROR(__xludf.DUMMYFUNCTION("""COMPUTED_VALUE"""),"cash for houses Greater Philadelphia")</f>
        <v>cash for houses Greater Philadelphia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9" t="str">
        <f>IFERROR(__xludf.DUMMYFUNCTION("""COMPUTED_VALUE"""),"companies that buy houses Greater Philadelphia")</f>
        <v>companies that buy houses Greater Philadelphia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9" t="str">
        <f>IFERROR(__xludf.DUMMYFUNCTION("""COMPUTED_VALUE"""),"sell my house Delaware Valley")</f>
        <v>sell my house Delaware Valley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9" t="str">
        <f>IFERROR(__xludf.DUMMYFUNCTION("""COMPUTED_VALUE"""),"sell my house fast Delaware Valley")</f>
        <v>sell my house fast Delaware Valley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9" t="str">
        <f>IFERROR(__xludf.DUMMYFUNCTION("""COMPUTED_VALUE"""),"sell my house for cash Delaware Valley")</f>
        <v>sell my house for cash Delaware Valley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9" t="str">
        <f>IFERROR(__xludf.DUMMYFUNCTION("""COMPUTED_VALUE"""),"sell my home for cash Delaware Valley")</f>
        <v>sell my home for cash Delaware Valley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9" t="str">
        <f>IFERROR(__xludf.DUMMYFUNCTION("""COMPUTED_VALUE"""),"sell my property for cash Delaware Valley")</f>
        <v>sell my property for cash Delaware Valley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9" t="str">
        <f>IFERROR(__xludf.DUMMYFUNCTION("""COMPUTED_VALUE"""),"we buy houses Delaware Valley")</f>
        <v>we buy houses Delaware Valley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9" t="str">
        <f>IFERROR(__xludf.DUMMYFUNCTION("""COMPUTED_VALUE"""),"we buy homes Delaware Valley")</f>
        <v>we buy homes Delaware Valley</v>
      </c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9" t="str">
        <f>IFERROR(__xludf.DUMMYFUNCTION("""COMPUTED_VALUE"""),"cash home buyers Delaware Valley")</f>
        <v>cash home buyers Delaware Valley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9" t="str">
        <f>IFERROR(__xludf.DUMMYFUNCTION("""COMPUTED_VALUE"""),"cash for houses Delaware Valley")</f>
        <v>cash for houses Delaware Valley</v>
      </c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9" t="str">
        <f>IFERROR(__xludf.DUMMYFUNCTION("""COMPUTED_VALUE"""),"companies that buy houses Delaware Valley")</f>
        <v>companies that buy houses Delaware Valley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9" t="str">
        <f>IFERROR(__xludf.DUMMYFUNCTION("""COMPUTED_VALUE"""),"sell my house Bucks County PA")</f>
        <v>sell my house Bucks County PA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9" t="str">
        <f>IFERROR(__xludf.DUMMYFUNCTION("""COMPUTED_VALUE"""),"sell my house fast Bucks County PA")</f>
        <v>sell my house fast Bucks County PA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9" t="str">
        <f>IFERROR(__xludf.DUMMYFUNCTION("""COMPUTED_VALUE"""),"sell my house for cash Bucks County PA")</f>
        <v>sell my house for cash Bucks County PA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9" t="str">
        <f>IFERROR(__xludf.DUMMYFUNCTION("""COMPUTED_VALUE"""),"sell my home for cash Bucks County PA")</f>
        <v>sell my home for cash Bucks County PA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9" t="str">
        <f>IFERROR(__xludf.DUMMYFUNCTION("""COMPUTED_VALUE"""),"sell my property for cash Bucks County PA")</f>
        <v>sell my property for cash Bucks County PA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9" t="str">
        <f>IFERROR(__xludf.DUMMYFUNCTION("""COMPUTED_VALUE"""),"we buy houses Bucks County PA")</f>
        <v>we buy houses Bucks County PA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9" t="str">
        <f>IFERROR(__xludf.DUMMYFUNCTION("""COMPUTED_VALUE"""),"we buy homes Bucks County PA")</f>
        <v>we buy homes Bucks County PA</v>
      </c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9" t="str">
        <f>IFERROR(__xludf.DUMMYFUNCTION("""COMPUTED_VALUE"""),"cash home buyers Bucks County PA")</f>
        <v>cash home buyers Bucks County PA</v>
      </c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9" t="str">
        <f>IFERROR(__xludf.DUMMYFUNCTION("""COMPUTED_VALUE"""),"cash for houses Bucks County PA")</f>
        <v>cash for houses Bucks County PA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9" t="str">
        <f>IFERROR(__xludf.DUMMYFUNCTION("""COMPUTED_VALUE"""),"companies that buy houses Bucks County PA")</f>
        <v>companies that buy houses Bucks County PA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9" t="str">
        <f>IFERROR(__xludf.DUMMYFUNCTION("""COMPUTED_VALUE"""),"sell my house West Chester PA")</f>
        <v>sell my house West Chester PA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9" t="str">
        <f>IFERROR(__xludf.DUMMYFUNCTION("""COMPUTED_VALUE"""),"sell my house fast West Chester PA")</f>
        <v>sell my house fast West Chester PA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9" t="str">
        <f>IFERROR(__xludf.DUMMYFUNCTION("""COMPUTED_VALUE"""),"sell my house for cash West Chester PA")</f>
        <v>sell my house for cash West Chester PA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9" t="str">
        <f>IFERROR(__xludf.DUMMYFUNCTION("""COMPUTED_VALUE"""),"sell my home for cash West Chester PA")</f>
        <v>sell my home for cash West Chester PA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9" t="str">
        <f>IFERROR(__xludf.DUMMYFUNCTION("""COMPUTED_VALUE"""),"sell my property for cash West Chester PA")</f>
        <v>sell my property for cash West Chester PA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9" t="str">
        <f>IFERROR(__xludf.DUMMYFUNCTION("""COMPUTED_VALUE"""),"we buy houses West Chester PA")</f>
        <v>we buy houses West Chester PA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9" t="str">
        <f>IFERROR(__xludf.DUMMYFUNCTION("""COMPUTED_VALUE"""),"we buy homes West Chester PA")</f>
        <v>we buy homes West Chester PA</v>
      </c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9" t="str">
        <f>IFERROR(__xludf.DUMMYFUNCTION("""COMPUTED_VALUE"""),"cash home buyers West Chester PA")</f>
        <v>cash home buyers West Chester PA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9" t="str">
        <f>IFERROR(__xludf.DUMMYFUNCTION("""COMPUTED_VALUE"""),"cash for houses West Chester PA")</f>
        <v>cash for houses West Chester PA</v>
      </c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9" t="str">
        <f>IFERROR(__xludf.DUMMYFUNCTION("""COMPUTED_VALUE"""),"companies that buy houses West Chester PA")</f>
        <v>companies that buy houses West Chester PA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9" t="str">
        <f>IFERROR(__xludf.DUMMYFUNCTION("""COMPUTED_VALUE"""),"sell my house King of Prussia PA")</f>
        <v>sell my house King of Prussia PA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9" t="str">
        <f>IFERROR(__xludf.DUMMYFUNCTION("""COMPUTED_VALUE"""),"sell my house fast King of Prussia PA")</f>
        <v>sell my house fast King of Prussia PA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9" t="str">
        <f>IFERROR(__xludf.DUMMYFUNCTION("""COMPUTED_VALUE"""),"sell my house for cash King of Prussia PA")</f>
        <v>sell my house for cash King of Prussia PA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9" t="str">
        <f>IFERROR(__xludf.DUMMYFUNCTION("""COMPUTED_VALUE"""),"sell my home for cash King of Prussia PA")</f>
        <v>sell my home for cash King of Prussia PA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9" t="str">
        <f>IFERROR(__xludf.DUMMYFUNCTION("""COMPUTED_VALUE"""),"sell my property for cash King of Prussia PA")</f>
        <v>sell my property for cash King of Prussia PA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9" t="str">
        <f>IFERROR(__xludf.DUMMYFUNCTION("""COMPUTED_VALUE"""),"we buy houses King of Prussia PA")</f>
        <v>we buy houses King of Prussia PA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9" t="str">
        <f>IFERROR(__xludf.DUMMYFUNCTION("""COMPUTED_VALUE"""),"we buy homes King of Prussia PA")</f>
        <v>we buy homes King of Prussia PA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9" t="str">
        <f>IFERROR(__xludf.DUMMYFUNCTION("""COMPUTED_VALUE"""),"cash home buyers King of Prussia PA")</f>
        <v>cash home buyers King of Prussia PA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9" t="str">
        <f>IFERROR(__xludf.DUMMYFUNCTION("""COMPUTED_VALUE"""),"cash for houses King of Prussia PA")</f>
        <v>cash for houses King of Prussia PA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9" t="str">
        <f>IFERROR(__xludf.DUMMYFUNCTION("""COMPUTED_VALUE"""),"companies that buy houses King of Prussia PA")</f>
        <v>companies that buy houses King of Prussia PA</v>
      </c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9" t="str">
        <f>IFERROR(__xludf.DUMMYFUNCTION("""COMPUTED_VALUE"""),"sell my house Norristown PA")</f>
        <v>sell my house Norristown PA</v>
      </c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9" t="str">
        <f>IFERROR(__xludf.DUMMYFUNCTION("""COMPUTED_VALUE"""),"sell my house fast Norristown PA")</f>
        <v>sell my house fast Norristown PA</v>
      </c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9" t="str">
        <f>IFERROR(__xludf.DUMMYFUNCTION("""COMPUTED_VALUE"""),"sell my house for cash Norristown PA")</f>
        <v>sell my house for cash Norristown PA</v>
      </c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9" t="str">
        <f>IFERROR(__xludf.DUMMYFUNCTION("""COMPUTED_VALUE"""),"sell my home for cash Norristown PA")</f>
        <v>sell my home for cash Norristown PA</v>
      </c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9" t="str">
        <f>IFERROR(__xludf.DUMMYFUNCTION("""COMPUTED_VALUE"""),"sell my property for cash Norristown PA")</f>
        <v>sell my property for cash Norristown PA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9" t="str">
        <f>IFERROR(__xludf.DUMMYFUNCTION("""COMPUTED_VALUE"""),"we buy houses Norristown PA")</f>
        <v>we buy houses Norristown PA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9" t="str">
        <f>IFERROR(__xludf.DUMMYFUNCTION("""COMPUTED_VALUE"""),"we buy homes Norristown PA")</f>
        <v>we buy homes Norristown PA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9" t="str">
        <f>IFERROR(__xludf.DUMMYFUNCTION("""COMPUTED_VALUE"""),"cash home buyers Norristown PA")</f>
        <v>cash home buyers Norristown PA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9" t="str">
        <f>IFERROR(__xludf.DUMMYFUNCTION("""COMPUTED_VALUE"""),"cash for houses Norristown PA")</f>
        <v>cash for houses Norristown PA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9" t="str">
        <f>IFERROR(__xludf.DUMMYFUNCTION("""COMPUTED_VALUE"""),"companies that buy houses Norristown PA")</f>
        <v>companies that buy houses Norristown PA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9" t="str">
        <f>IFERROR(__xludf.DUMMYFUNCTION("""COMPUTED_VALUE"""),"sell my house Pittsburgh PA")</f>
        <v>sell my house Pittsburgh PA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9" t="str">
        <f>IFERROR(__xludf.DUMMYFUNCTION("""COMPUTED_VALUE"""),"sell my house fast Pittsburgh PA")</f>
        <v>sell my house fast Pittsburgh PA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9" t="str">
        <f>IFERROR(__xludf.DUMMYFUNCTION("""COMPUTED_VALUE"""),"sell my house for cash Pittsburgh PA")</f>
        <v>sell my house for cash Pittsburgh PA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9" t="str">
        <f>IFERROR(__xludf.DUMMYFUNCTION("""COMPUTED_VALUE"""),"sell my home for cash Pittsburgh PA")</f>
        <v>sell my home for cash Pittsburgh PA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9" t="str">
        <f>IFERROR(__xludf.DUMMYFUNCTION("""COMPUTED_VALUE"""),"sell my property for cash Pittsburgh PA")</f>
        <v>sell my property for cash Pittsburgh PA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9" t="str">
        <f>IFERROR(__xludf.DUMMYFUNCTION("""COMPUTED_VALUE"""),"we buy houses Pittsburgh PA")</f>
        <v>we buy houses Pittsburgh PA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9" t="str">
        <f>IFERROR(__xludf.DUMMYFUNCTION("""COMPUTED_VALUE"""),"we buy homes Pittsburgh PA")</f>
        <v>we buy homes Pittsburgh PA</v>
      </c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9" t="str">
        <f>IFERROR(__xludf.DUMMYFUNCTION("""COMPUTED_VALUE"""),"cash home buyers Pittsburgh PA")</f>
        <v>cash home buyers Pittsburgh PA</v>
      </c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9" t="str">
        <f>IFERROR(__xludf.DUMMYFUNCTION("""COMPUTED_VALUE"""),"cash for houses Pittsburgh PA")</f>
        <v>cash for houses Pittsburgh PA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9" t="str">
        <f>IFERROR(__xludf.DUMMYFUNCTION("""COMPUTED_VALUE"""),"companies that buy houses Pittsburgh PA")</f>
        <v>companies that buy houses Pittsburgh PA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9" t="str">
        <f>IFERROR(__xludf.DUMMYFUNCTION("""COMPUTED_VALUE"""),"sell my house")</f>
        <v>sell my house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9" t="str">
        <f>IFERROR(__xludf.DUMMYFUNCTION("""COMPUTED_VALUE"""),"sell my house fast")</f>
        <v>sell my house fast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9" t="str">
        <f>IFERROR(__xludf.DUMMYFUNCTION("""COMPUTED_VALUE"""),"sell my house for cash")</f>
        <v>sell my house for cash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9" t="str">
        <f>IFERROR(__xludf.DUMMYFUNCTION("""COMPUTED_VALUE"""),"sell my home for cash")</f>
        <v>sell my home for cash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9" t="str">
        <f>IFERROR(__xludf.DUMMYFUNCTION("""COMPUTED_VALUE"""),"sell my property for cash")</f>
        <v>sell my property for cash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9" t="str">
        <f>IFERROR(__xludf.DUMMYFUNCTION("""COMPUTED_VALUE"""),"we buy houses")</f>
        <v>we buy houses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9" t="str">
        <f>IFERROR(__xludf.DUMMYFUNCTION("""COMPUTED_VALUE"""),"we buy homes")</f>
        <v>we buy homes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9" t="str">
        <f>IFERROR(__xludf.DUMMYFUNCTION("""COMPUTED_VALUE"""),"cash home buyers")</f>
        <v>cash home buyers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9" t="str">
        <f>IFERROR(__xludf.DUMMYFUNCTION("""COMPUTED_VALUE"""),"cash for houses")</f>
        <v>cash for houses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9" t="str">
        <f>IFERROR(__xludf.DUMMYFUNCTION("""COMPUTED_VALUE"""),"companies that buy houses")</f>
        <v>companies that buy houses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9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9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9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9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9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9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9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9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9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9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9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9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9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9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9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9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9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9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9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9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9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9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9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9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9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9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9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9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9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9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9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9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9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9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9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9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9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9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9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9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9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9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9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9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9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9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9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9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9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9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9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9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9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9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9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9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9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9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9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9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9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9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9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9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9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9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9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9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9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9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9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9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9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9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9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9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9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9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9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9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9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9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9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9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9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9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9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9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9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9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9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9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9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9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9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9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9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9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9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9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9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9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9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9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9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9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9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9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9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9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9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9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9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9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9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9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9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9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9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9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9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9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9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9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9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9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9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9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9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9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9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9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9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9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9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9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9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9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9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9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9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9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9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9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9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9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9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9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9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9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9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9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9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9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9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9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9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9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9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9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9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9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9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9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9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9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9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9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9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9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9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9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9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9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9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9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9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9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9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9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9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9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9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9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9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9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9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9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9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9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9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9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9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9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9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9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9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9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9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9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9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9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9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9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9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9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9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9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9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9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9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9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9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9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9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9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9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9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9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9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9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9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9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9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9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9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9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9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9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9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9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9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9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9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9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9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9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9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9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9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9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9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9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9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9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9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9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9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9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9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9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9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9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9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9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9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9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9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9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9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9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9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9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9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9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9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9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9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9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9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9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9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9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9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9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9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9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9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9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9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9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9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9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9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9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9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9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9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9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9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9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9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9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9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9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9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9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9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9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9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9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9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9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9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9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9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9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9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9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9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9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9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9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9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9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9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9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9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9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9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9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9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9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9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9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9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9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9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9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9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9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9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9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9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9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9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9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9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9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9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9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9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9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9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9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9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9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9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9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9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9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9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9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9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9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9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9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9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9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9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9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9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9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9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9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9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9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9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9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9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9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9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9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9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9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9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9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9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9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9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9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9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9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9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9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9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9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9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9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9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9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9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9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9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9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9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9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9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9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9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9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9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9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9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9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9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9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9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9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9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9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9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9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9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9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9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9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9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9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9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9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9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9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9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9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9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9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9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9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9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9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9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9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9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9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9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9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9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9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9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9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9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9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9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9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9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9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9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9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9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9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9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9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9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9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9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9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9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9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9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9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9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9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9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9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9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9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9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9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9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9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9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9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9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9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9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9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9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9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9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9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9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9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9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9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9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9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9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9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9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9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9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9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9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9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9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9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9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9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9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9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9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9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9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9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9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9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9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9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9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9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9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9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9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9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9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9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9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9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9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9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9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9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9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9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9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9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9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9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9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9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9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9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9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9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9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9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9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9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9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9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9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9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9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9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9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9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9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9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9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9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9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9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9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9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9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9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9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9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9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9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9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9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9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9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9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9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9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9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9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9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9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9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9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9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9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9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9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9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9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9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9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9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9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9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9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9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9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9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9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9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9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9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9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9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9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9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9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9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9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9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9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9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9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9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9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9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9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9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9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9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9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9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9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9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9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9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9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9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9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9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9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9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9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9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9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9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9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9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9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9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9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9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9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9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9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9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9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9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9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9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9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9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9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9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9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9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9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9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9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9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9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9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9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9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9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9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9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9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9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9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9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9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9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9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9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9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9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9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9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9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9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9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9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9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9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9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9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9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9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9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9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9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9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9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9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9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9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9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9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9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9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9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9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9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9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9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9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9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9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9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9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9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9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9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9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9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9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9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9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9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9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9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9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9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9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9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9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9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9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9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9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9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9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9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9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9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9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9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9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9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9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9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9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9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9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9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9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9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9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9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9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9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9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9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9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9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9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9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9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9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9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5" width="18.0"/>
    <col customWidth="1" min="6" max="6" width="19.0"/>
  </cols>
  <sheetData>
    <row r="1">
      <c r="A1" s="1"/>
      <c r="B1" s="2" t="s">
        <v>0</v>
      </c>
      <c r="C1" s="2" t="s">
        <v>4</v>
      </c>
      <c r="D1" s="2" t="s">
        <v>7</v>
      </c>
      <c r="E1" s="2" t="s">
        <v>13</v>
      </c>
      <c r="F1" s="2" t="s">
        <v>16</v>
      </c>
      <c r="G1" s="2" t="s">
        <v>22</v>
      </c>
      <c r="H1" s="2" t="s">
        <v>26</v>
      </c>
      <c r="I1" s="2" t="s">
        <v>30</v>
      </c>
      <c r="J1" s="2" t="s">
        <v>34</v>
      </c>
      <c r="K1" s="2" t="s">
        <v>37</v>
      </c>
      <c r="L1" s="2" t="s">
        <v>38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41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1" t="s">
        <v>28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""&amp;$A3))"),"best cash home buyers")</f>
        <v>best cash home buyers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""&amp;$A3))"),"reputable cash home buyers")</f>
        <v>reputable cash home buyers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""&amp;$A3))"),"trusted cash home buyers")</f>
        <v>trusted cash home buyers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""&amp;$A3))"),"legit cash home buyers")</f>
        <v>legit cash home buyers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""&amp;$A3))"),"local cash home buyers")</f>
        <v>local cash home buyers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""&amp;$A3))"),"direct cash home buyers")</f>
        <v>direct cash home buyers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""&amp;$A3))"),"professional cash home buyers")</f>
        <v>professional cash home buyers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""&amp;$A3))"),"family owned cash home buyers")</f>
        <v>family owned cash home buyers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""&amp;$A3))"),"no fee cash home buyers")</f>
        <v>no fee cash home buyers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""&amp;$A3))"),"no commission cash home buyers")</f>
        <v>no commission cash home buyers</v>
      </c>
      <c r="L3" s="13" t="str">
        <f>IFERROR(__xludf.DUMMYFUNCTION("FLATTEN(B3:K34,B1:K1)"),"best cash home buyers")</f>
        <v>best cash home buyers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1" t="s">
        <v>47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""&amp;$A4))"),"best home buying companies")</f>
        <v>best home buying companies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""&amp;$A4))"),"reputable home buying companies")</f>
        <v>reputable home buying companies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""&amp;$A4))"),"trusted home buying companies")</f>
        <v>trusted home buying companies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""&amp;$A4))"),"legit home buying companies")</f>
        <v>legit home buying companies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""&amp;$A4))"),"local home buying companies")</f>
        <v>local home buying companies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""&amp;$A4))"),"direct home buying companies")</f>
        <v>direct home buying companies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""&amp;$A4))"),"professional home buying companies")</f>
        <v>professional home buying companies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""&amp;$A4))"),"family owned home buying companies")</f>
        <v>family owned home buying companies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""&amp;$A4))"),"no fee home buying companies")</f>
        <v>no fee home buying companies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""&amp;$A4))"),"no commission home buying companies")</f>
        <v>no commission home buying companies</v>
      </c>
      <c r="L4" s="13" t="str">
        <f>IFERROR(__xludf.DUMMYFUNCTION("""COMPUTED_VALUE"""),"reputable cash home buyers")</f>
        <v>reputable cash home buyers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1" t="s">
        <v>35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""&amp;$A5))"),"best companies that buy houses")</f>
        <v>best companies that buy houses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""&amp;$A5))"),"reputable companies that buy houses")</f>
        <v>reputable companies that buy houses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""&amp;$A5))"),"trusted companies that buy houses")</f>
        <v>trusted companies that buy houses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""&amp;$A5))"),"legit companies that buy houses")</f>
        <v>legit companies that buy houses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""&amp;$A5))"),"local companies that buy houses")</f>
        <v>local companies that buy houses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""&amp;$A5))"),"direct companies that buy houses")</f>
        <v>direct companies that buy houses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""&amp;$A5))"),"professional companies that buy houses")</f>
        <v>professional companies that buy houses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""&amp;$A5))"),"family owned companies that buy houses")</f>
        <v>family owned companies that buy houses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""&amp;$A5))"),"no fee companies that buy houses")</f>
        <v>no fee companies that buy houses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""&amp;$A5))"),"no commission companies that buy houses")</f>
        <v>no commission companies that buy houses</v>
      </c>
      <c r="L5" s="13" t="str">
        <f>IFERROR(__xludf.DUMMYFUNCTION("""COMPUTED_VALUE"""),"trusted cash home buyers")</f>
        <v>trusted cash home buyers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1" t="s">
        <v>55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""&amp;$A6))"),"best companies that will buy your house")</f>
        <v>best companies that will buy your house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""&amp;$A6))"),"reputable companies that will buy your house")</f>
        <v>reputable companies that will buy your house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""&amp;$A6))"),"trusted companies that will buy your house")</f>
        <v>trusted companies that will buy your house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""&amp;$A6))"),"legit companies that will buy your house")</f>
        <v>legit companies that will buy your house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""&amp;$A6))"),"local companies that will buy your house")</f>
        <v>local companies that will buy your house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""&amp;$A6))"),"direct companies that will buy your house")</f>
        <v>direct companies that will buy your house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""&amp;$A6))"),"professional companies that will buy your house")</f>
        <v>professional companies that will buy your house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""&amp;$A6))"),"family owned companies that will buy your house")</f>
        <v>family owned companies that will buy your house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""&amp;$A6))"),"no fee companies that will buy your house")</f>
        <v>no fee companies that will buy your house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""&amp;$A6))"),"no commission companies that will buy your house")</f>
        <v>no commission companies that will buy your house</v>
      </c>
      <c r="L6" s="13" t="str">
        <f>IFERROR(__xludf.DUMMYFUNCTION("""COMPUTED_VALUE"""),"legit cash home buyers")</f>
        <v>legit cash home buyers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1" t="s">
        <v>58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""&amp;$A7))"),"best house buying company")</f>
        <v>best house buying company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""&amp;$A7))"),"reputable house buying company")</f>
        <v>reputable house buying company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""&amp;$A7))"),"trusted house buying company")</f>
        <v>trusted house buying company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""&amp;$A7))"),"legit house buying company")</f>
        <v>legit house buying company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""&amp;$A7))"),"local house buying company")</f>
        <v>local house buying company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""&amp;$A7))"),"direct house buying company")</f>
        <v>direct house buying company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""&amp;$A7))"),"professional house buying company")</f>
        <v>professional house buying company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""&amp;$A7))"),"family owned house buying company")</f>
        <v>family owned house buying company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""&amp;$A7))"),"no fee house buying company")</f>
        <v>no fee house buying company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""&amp;$A7))"),"no commission house buying company")</f>
        <v>no commission house buying company</v>
      </c>
      <c r="L7" s="13" t="str">
        <f>IFERROR(__xludf.DUMMYFUNCTION("""COMPUTED_VALUE"""),"local cash home buyers")</f>
        <v>local cash home buyers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1" t="s">
        <v>62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""&amp;$A8))"),"best home buyers")</f>
        <v>best home buyers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""&amp;$A8))"),"reputable home buyers")</f>
        <v>reputable home buyers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""&amp;$A8))"),"trusted home buyers")</f>
        <v>trusted home buyers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""&amp;$A8))"),"legit home buyers")</f>
        <v>legit home buyers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""&amp;$A8))"),"local home buyers")</f>
        <v>local home buyers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""&amp;$A8))"),"direct home buyers")</f>
        <v>direct home buyers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""&amp;$A8))"),"professional home buyers")</f>
        <v>professional home buyers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""&amp;$A8))"),"family owned home buyers")</f>
        <v>family owned home buyers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""&amp;$A8))"),"no fee home buyers")</f>
        <v>no fee home buyers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""&amp;$A8))"),"no commission home buyers")</f>
        <v>no commission home buyers</v>
      </c>
      <c r="L8" s="13" t="str">
        <f>IFERROR(__xludf.DUMMYFUNCTION("""COMPUTED_VALUE"""),"direct cash home buyers")</f>
        <v>direct cash home buyers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1" t="s">
        <v>64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""&amp;$A9))"),"best house buyers")</f>
        <v>best house buyers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""&amp;$A9))"),"reputable house buyers")</f>
        <v>reputable house buyers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""&amp;$A9))"),"trusted house buyers")</f>
        <v>trusted house buyers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""&amp;$A9))"),"legit house buyers")</f>
        <v>legit house buyers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""&amp;$A9))"),"local house buyers")</f>
        <v>local house buyers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""&amp;$A9))"),"direct house buyers")</f>
        <v>direct house buyers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""&amp;$A9))"),"professional house buyers")</f>
        <v>professional house buyers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""&amp;$A9))"),"family owned house buyers")</f>
        <v>family owned house buyers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""&amp;$A9))"),"no fee house buyers")</f>
        <v>no fee house buyers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""&amp;$A9))"),"no commission house buyers")</f>
        <v>no commission house buyers</v>
      </c>
      <c r="L9" s="13" t="str">
        <f>IFERROR(__xludf.DUMMYFUNCTION("""COMPUTED_VALUE"""),"professional cash home buyers")</f>
        <v>professional cash home buyers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1" t="s">
        <v>68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""&amp;$A10))"),"best real estate investors that buy houses")</f>
        <v>best real estate investors that buy houses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""&amp;$A10))"),"reputable real estate investors that buy houses")</f>
        <v>reputable real estate investors that buy houses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""&amp;$A10))"),"trusted real estate investors that buy houses")</f>
        <v>trusted real estate investors that buy houses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""&amp;$A10))"),"legit real estate investors that buy houses")</f>
        <v>legit real estate investors that buy houses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""&amp;$A10))"),"local real estate investors that buy houses")</f>
        <v>local real estate investors that buy houses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""&amp;$A10))"),"direct real estate investors that buy houses")</f>
        <v>direct real estate investors that buy houses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""&amp;$A10))"),"professional real estate investors that buy houses")</f>
        <v>professional real estate investors that buy houses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""&amp;$A10))"),"family owned real estate investors that buy houses")</f>
        <v>family owned real estate investors that buy houses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""&amp;$A10))"),"no fee real estate investors that buy houses")</f>
        <v>no fee real estate investors that buy houses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""&amp;$A10))"),"no commission real estate investors that buy houses")</f>
        <v>no commission real estate investors that buy houses</v>
      </c>
      <c r="L10" s="13" t="str">
        <f>IFERROR(__xludf.DUMMYFUNCTION("""COMPUTED_VALUE"""),"family owned cash home buyers")</f>
        <v>family owned cash home buyers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1" t="s">
        <v>72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""&amp;$A11))"),"best property buyers")</f>
        <v>best property buyers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""&amp;$A11))"),"reputable property buyers")</f>
        <v>reputable property buyers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""&amp;$A11))"),"trusted property buyers")</f>
        <v>trusted property buyers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""&amp;$A11))"),"legit property buyers")</f>
        <v>legit property buyers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""&amp;$A11))"),"local property buyers")</f>
        <v>local property buyers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""&amp;$A11))"),"direct property buyers")</f>
        <v>direct property buyers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""&amp;$A11))"),"professional property buyers")</f>
        <v>professional property buyers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""&amp;$A11))"),"family owned property buyers")</f>
        <v>family owned property buyers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""&amp;$A11))"),"no fee property buyers")</f>
        <v>no fee property buyers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""&amp;$A11))"),"no commission property buyers")</f>
        <v>no commission property buyers</v>
      </c>
      <c r="L11" s="13" t="str">
        <f>IFERROR(__xludf.DUMMYFUNCTION("""COMPUTED_VALUE"""),"no fee cash home buyers")</f>
        <v>no fee cash home buyers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1" t="s">
        <v>74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""&amp;$A12))"),"best cash house buyers")</f>
        <v>best cash house buyers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""&amp;$A12))"),"reputable cash house buyers")</f>
        <v>reputable cash house buyers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""&amp;$A12))"),"trusted cash house buyers")</f>
        <v>trusted cash house buyers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""&amp;$A12))"),"legit cash house buyers")</f>
        <v>legit cash house buyers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""&amp;$A12))"),"local cash house buyers")</f>
        <v>local cash house buyers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""&amp;$A12))"),"direct cash house buyers")</f>
        <v>direct cash house buyers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""&amp;$A12))"),"professional cash house buyers")</f>
        <v>professional cash house buyers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""&amp;$A12))"),"family owned cash house buyers")</f>
        <v>family owned cash house buyers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""&amp;$A12))"),"no fee cash house buyers")</f>
        <v>no fee cash house buyers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""&amp;$A12))"),"no commission cash house buyers")</f>
        <v>no commission cash house buyers</v>
      </c>
      <c r="L12" s="13" t="str">
        <f>IFERROR(__xludf.DUMMYFUNCTION("""COMPUTED_VALUE"""),"no commission cash home buyers")</f>
        <v>no commission cash home buyers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1" t="s">
        <v>78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""&amp;$A13))"),"best we buy houses company")</f>
        <v>best we buy houses company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""&amp;$A13))"),"reputable we buy houses company")</f>
        <v>reputable we buy houses company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""&amp;$A13))"),"trusted we buy houses company")</f>
        <v>trusted we buy houses company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""&amp;$A13))"),"legit we buy houses company")</f>
        <v>legit we buy houses company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""&amp;$A13))"),"local we buy houses company")</f>
        <v>local we buy houses company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""&amp;$A13))"),"direct we buy houses company")</f>
        <v>direct we buy houses company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""&amp;$A13))"),"professional we buy houses company")</f>
        <v>professional we buy houses company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""&amp;$A13))"),"family owned we buy houses company")</f>
        <v>family owned we buy houses company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""&amp;$A13))"),"no fee we buy houses company")</f>
        <v>no fee we buy houses company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""&amp;$A13))"),"no commission we buy houses company")</f>
        <v>no commission we buy houses company</v>
      </c>
      <c r="L13" s="13" t="str">
        <f>IFERROR(__xludf.DUMMYFUNCTION("""COMPUTED_VALUE"""),"best home buying companies")</f>
        <v>best home buying companies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82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""&amp;$A14))"),"best cash buyer company")</f>
        <v>best cash buyer company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""&amp;$A14))"),"reputable cash buyer company")</f>
        <v>reputable cash buyer company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""&amp;$A14))"),"trusted cash buyer company")</f>
        <v>trusted cash buyer company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""&amp;$A14))"),"legit cash buyer company")</f>
        <v>legit cash buyer company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""&amp;$A14))"),"local cash buyer company")</f>
        <v>local cash buyer company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""&amp;$A14))"),"direct cash buyer company")</f>
        <v>direct cash buyer company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""&amp;$A14))"),"professional cash buyer company")</f>
        <v>professional cash buyer company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""&amp;$A14))"),"family owned cash buyer company")</f>
        <v>family owned cash buyer company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""&amp;$A14))"),"no fee cash buyer company")</f>
        <v>no fee cash buyer company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""&amp;$A14))"),"no commission cash buyer company")</f>
        <v>no commission cash buyer company</v>
      </c>
      <c r="L14" s="13" t="str">
        <f>IFERROR(__xludf.DUMMYFUNCTION("""COMPUTED_VALUE"""),"reputable home buying companies")</f>
        <v>reputable home buying companies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87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""&amp;$A15))"),"best home buyers near me")</f>
        <v>best home buyers near me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""&amp;$A15))"),"reputable home buyers near me")</f>
        <v>reputable home buyers near me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""&amp;$A15))"),"trusted home buyers near me")</f>
        <v>trusted home buyers near me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""&amp;$A15))"),"legit home buyers near me")</f>
        <v>legit home buyers near me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""&amp;$A15))"),"local home buyers near me")</f>
        <v>local home buyers near me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""&amp;$A15))"),"direct home buyers near me")</f>
        <v>direct home buyers near me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""&amp;$A15))"),"professional home buyers near me")</f>
        <v>professional home buyers near me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""&amp;$A15))"),"family owned home buyers near me")</f>
        <v>family owned home buyers near me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""&amp;$A15))"),"no fee home buyers near me")</f>
        <v>no fee home buyers near me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""&amp;$A15))"),"no commission home buyers near me")</f>
        <v>no commission home buyers near me</v>
      </c>
      <c r="L15" s="13" t="str">
        <f>IFERROR(__xludf.DUMMYFUNCTION("""COMPUTED_VALUE"""),"trusted home buying companies")</f>
        <v>trusted home buying companies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90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""&amp;$A16))"),"best house buyers near me")</f>
        <v>best house buyers near me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""&amp;$A16))"),"reputable house buyers near me")</f>
        <v>reputable house buyers near me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""&amp;$A16))"),"trusted house buyers near me")</f>
        <v>trusted house buyers near me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""&amp;$A16))"),"legit house buyers near me")</f>
        <v>legit house buyers near me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""&amp;$A16))"),"local house buyers near me")</f>
        <v>local house buyers near me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""&amp;$A16))"),"direct house buyers near me")</f>
        <v>direct house buyers near me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""&amp;$A16))"),"professional house buyers near me")</f>
        <v>professional house buyers near me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""&amp;$A16))"),"family owned house buyers near me")</f>
        <v>family owned house buyers near me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""&amp;$A16))"),"no fee house buyers near me")</f>
        <v>no fee house buyers near me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""&amp;$A16))"),"no commission house buyers near me")</f>
        <v>no commission house buyers near me</v>
      </c>
      <c r="L16" s="13" t="str">
        <f>IFERROR(__xludf.DUMMYFUNCTION("""COMPUTED_VALUE"""),"legit home buying companies")</f>
        <v>legit home buying companies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94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""&amp;$A17))"),"best cash property buyers")</f>
        <v>best cash property buyers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""&amp;$A17))"),"reputable cash property buyers")</f>
        <v>reputable cash property buyers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""&amp;$A17))"),"trusted cash property buyers")</f>
        <v>trusted cash property buyers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""&amp;$A17))"),"legit cash property buyers")</f>
        <v>legit cash property buyers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""&amp;$A17))"),"local cash property buyers")</f>
        <v>local cash property buyers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""&amp;$A17))"),"direct cash property buyers")</f>
        <v>direct cash property buyers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""&amp;$A17))"),"professional cash property buyers")</f>
        <v>professional cash property buyers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""&amp;$A17))"),"family owned cash property buyers")</f>
        <v>family owned cash property buyers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""&amp;$A17))"),"no fee cash property buyers")</f>
        <v>no fee cash property buyers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""&amp;$A17))"),"no commission cash property buyers")</f>
        <v>no commission cash property buyers</v>
      </c>
      <c r="L17" s="13" t="str">
        <f>IFERROR(__xludf.DUMMYFUNCTION("""COMPUTED_VALUE"""),"local home buying companies")</f>
        <v>local home buying companies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98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""&amp;$A18))"),"best home buying service")</f>
        <v>best home buying service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""&amp;$A18))"),"reputable home buying service")</f>
        <v>reputable home buying service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""&amp;$A18))"),"trusted home buying service")</f>
        <v>trusted home buying service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""&amp;$A18))"),"legit home buying service")</f>
        <v>legit home buying service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""&amp;$A18))"),"local home buying service")</f>
        <v>local home buying service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""&amp;$A18))"),"direct home buying service")</f>
        <v>direct home buying service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""&amp;$A18))"),"professional home buying service")</f>
        <v>professional home buying service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""&amp;$A18))"),"family owned home buying service")</f>
        <v>family owned home buying service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""&amp;$A18))"),"no fee home buying service")</f>
        <v>no fee home buying service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""&amp;$A18))"),"no commission home buying service")</f>
        <v>no commission home buying service</v>
      </c>
      <c r="L18" s="13" t="str">
        <f>IFERROR(__xludf.DUMMYFUNCTION("""COMPUTED_VALUE"""),"direct home buying companies")</f>
        <v>direct home buying companies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103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""&amp;$A19))"),"best sell house company")</f>
        <v>best sell house company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""&amp;$A19))"),"reputable sell house company")</f>
        <v>reputable sell house company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""&amp;$A19))"),"trusted sell house company")</f>
        <v>trusted sell house company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""&amp;$A19))"),"legit sell house company")</f>
        <v>legit sell house company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""&amp;$A19))"),"local sell house company")</f>
        <v>local sell house company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""&amp;$A19))"),"direct sell house company")</f>
        <v>direct sell house company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""&amp;$A19))"),"professional sell house company")</f>
        <v>professional sell house company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""&amp;$A19))"),"family owned sell house company")</f>
        <v>family owned sell house company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""&amp;$A19))"),"no fee sell house company")</f>
        <v>no fee sell house company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""&amp;$A19))"),"no commission sell house company")</f>
        <v>no commission sell house company</v>
      </c>
      <c r="L19" s="13" t="str">
        <f>IFERROR(__xludf.DUMMYFUNCTION("""COMPUTED_VALUE"""),"professional home buying companies")</f>
        <v>professional home buying companies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107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""&amp;$A20))"),"best house buying service")</f>
        <v>best house buying service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""&amp;$A20))"),"reputable house buying service")</f>
        <v>reputable house buying service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""&amp;$A20))"),"trusted house buying service")</f>
        <v>trusted house buying service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""&amp;$A20))"),"legit house buying service")</f>
        <v>legit house buying service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""&amp;$A20))"),"local house buying service")</f>
        <v>local house buying service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""&amp;$A20))"),"direct house buying service")</f>
        <v>direct house buying service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""&amp;$A20))"),"professional house buying service")</f>
        <v>professional house buying service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""&amp;$A20))"),"family owned house buying service")</f>
        <v>family owned house buying service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""&amp;$A20))"),"no fee house buying service")</f>
        <v>no fee house buying service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""&amp;$A20))"),"no commission house buying service")</f>
        <v>no commission house buying service</v>
      </c>
      <c r="L20" s="13" t="str">
        <f>IFERROR(__xludf.DUMMYFUNCTION("""COMPUTED_VALUE"""),"family owned home buying companies")</f>
        <v>family owned home buying companies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111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""&amp;$A21))"),"best cash offer company")</f>
        <v>best cash offer company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""&amp;$A21))"),"reputable cash offer company")</f>
        <v>reputable cash offer company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""&amp;$A21))"),"trusted cash offer company")</f>
        <v>trusted cash offer company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""&amp;$A21))"),"legit cash offer company")</f>
        <v>legit cash offer company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""&amp;$A21))"),"local cash offer company")</f>
        <v>local cash offer company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""&amp;$A21))"),"direct cash offer company")</f>
        <v>direct cash offer company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""&amp;$A21))"),"professional cash offer company")</f>
        <v>professional cash offer company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""&amp;$A21))"),"family owned cash offer company")</f>
        <v>family owned cash offer company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""&amp;$A21))"),"no fee cash offer company")</f>
        <v>no fee cash offer company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""&amp;$A21))"),"no commission cash offer company")</f>
        <v>no commission cash offer company</v>
      </c>
      <c r="L21" s="13" t="str">
        <f>IFERROR(__xludf.DUMMYFUNCTION("""COMPUTED_VALUE"""),"no fee home buying companies")</f>
        <v>no fee home buying companies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115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""&amp;$A22))"),"best off market home buyer")</f>
        <v>best off market home buyer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""&amp;$A22))"),"reputable off market home buyer")</f>
        <v>reputable off market home buyer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""&amp;$A22))"),"trusted off market home buyer")</f>
        <v>trusted off market home buyer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""&amp;$A22))"),"legit off market home buyer")</f>
        <v>legit off market home buyer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""&amp;$A22))"),"local off market home buyer")</f>
        <v>local off market home buyer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""&amp;$A22))"),"direct off market home buyer")</f>
        <v>direct off market home buyer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""&amp;$A22))"),"professional off market home buyer")</f>
        <v>professional off market home buyer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""&amp;$A22))"),"family owned off market home buyer")</f>
        <v>family owned off market home buyer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""&amp;$A22))"),"no fee off market home buyer")</f>
        <v>no fee off market home buyer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""&amp;$A22))"),"no commission off market home buyer")</f>
        <v>no commission off market home buyer</v>
      </c>
      <c r="L22" s="13" t="str">
        <f>IFERROR(__xludf.DUMMYFUNCTION("""COMPUTED_VALUE"""),"no commission home buying companies")</f>
        <v>no commission home buying companies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119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""&amp;$A23))"),"best private home buyer")</f>
        <v>best private home buyer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""&amp;$A23))"),"reputable private home buyer")</f>
        <v>reputable private home buyer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""&amp;$A23))"),"trusted private home buyer")</f>
        <v>trusted private home buyer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""&amp;$A23))"),"legit private home buyer")</f>
        <v>legit private home buyer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""&amp;$A23))"),"local private home buyer")</f>
        <v>local private home buyer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""&amp;$A23))"),"direct private home buyer")</f>
        <v>direct private home buyer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""&amp;$A23))"),"professional private home buyer")</f>
        <v>professional private home buyer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""&amp;$A23))"),"family owned private home buyer")</f>
        <v>family owned private home buyer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""&amp;$A23))"),"no fee private home buyer")</f>
        <v>no fee private home buyer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""&amp;$A23))"),"no commission private home buyer")</f>
        <v>no commission private home buyer</v>
      </c>
      <c r="L23" s="13" t="str">
        <f>IFERROR(__xludf.DUMMYFUNCTION("""COMPUTED_VALUE"""),"best companies that buy houses")</f>
        <v>best companies that buy houses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123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""&amp;$A24))"),"best as is home buyer")</f>
        <v>best as is home buyer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""&amp;$A24))"),"reputable as is home buyer")</f>
        <v>reputable as is home buyer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""&amp;$A24))"),"trusted as is home buyer")</f>
        <v>trusted as is home buyer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""&amp;$A24))"),"legit as is home buyer")</f>
        <v>legit as is home buyer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""&amp;$A24))"),"local as is home buyer")</f>
        <v>local as is home buyer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""&amp;$A24))"),"direct as is home buyer")</f>
        <v>direct as is home buyer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""&amp;$A24))"),"professional as is home buyer")</f>
        <v>professional as is home buyer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""&amp;$A24))"),"family owned as is home buyer")</f>
        <v>family owned as is home buyer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""&amp;$A24))"),"no fee as is home buyer")</f>
        <v>no fee as is home buyer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""&amp;$A24))"),"no commission as is home buyer")</f>
        <v>no commission as is home buyer</v>
      </c>
      <c r="L24" s="13" t="str">
        <f>IFERROR(__xludf.DUMMYFUNCTION("""COMPUTED_VALUE"""),"reputable companies that buy houses")</f>
        <v>reputable companies that buy houses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127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""&amp;$A25))"),"best any condition home buyer")</f>
        <v>best any condition home buyer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""&amp;$A25))"),"reputable any condition home buyer")</f>
        <v>reputable any condition home buyer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""&amp;$A25))"),"trusted any condition home buyer")</f>
        <v>trusted any condition home buyer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""&amp;$A25))"),"legit any condition home buyer")</f>
        <v>legit any condition home buyer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""&amp;$A25))"),"local any condition home buyer")</f>
        <v>local any condition home buyer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""&amp;$A25))"),"direct any condition home buyer")</f>
        <v>direct any condition home buyer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""&amp;$A25))"),"professional any condition home buyer")</f>
        <v>professional any condition home buyer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""&amp;$A25))"),"family owned any condition home buyer")</f>
        <v>family owned any condition home buyer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""&amp;$A25))"),"no fee any condition home buyer")</f>
        <v>no fee any condition home buyer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""&amp;$A25))"),"no commission any condition home buyer")</f>
        <v>no commission any condition home buyer</v>
      </c>
      <c r="L25" s="13" t="str">
        <f>IFERROR(__xludf.DUMMYFUNCTION("""COMPUTED_VALUE"""),"trusted companies that buy houses")</f>
        <v>trusted companies that buy houses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130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""&amp;$A26))"),"best closing costs home buyer")</f>
        <v>best closing costs home buyer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""&amp;$A26))"),"reputable closing costs home buyer")</f>
        <v>reputable closing costs home buyer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""&amp;$A26))"),"trusted closing costs home buyer")</f>
        <v>trusted closing costs home buyer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""&amp;$A26))"),"legit closing costs home buyer")</f>
        <v>legit closing costs home buyer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""&amp;$A26))"),"local closing costs home buyer")</f>
        <v>local closing costs home buyer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""&amp;$A26))"),"direct closing costs home buyer")</f>
        <v>direct closing costs home buyer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""&amp;$A26))"),"professional closing costs home buyer")</f>
        <v>professional closing costs home buyer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""&amp;$A26))"),"family owned closing costs home buyer")</f>
        <v>family owned closing costs home buyer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""&amp;$A26))"),"no fee closing costs home buyer")</f>
        <v>no fee closing costs home buyer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""&amp;$A26))"),"no commission closing costs home buyer")</f>
        <v>no commission closing costs home buyer</v>
      </c>
      <c r="L26" s="13" t="str">
        <f>IFERROR(__xludf.DUMMYFUNCTION("""COMPUTED_VALUE"""),"legit companies that buy houses")</f>
        <v>legit companies that buy houses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135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""&amp;$A27))"),"best fair offer home buyer")</f>
        <v>best fair offer home buyer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""&amp;$A27))"),"reputable fair offer home buyer")</f>
        <v>reputable fair offer home buyer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""&amp;$A27))"),"trusted fair offer home buyer")</f>
        <v>trusted fair offer home buyer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""&amp;$A27))"),"legit fair offer home buyer")</f>
        <v>legit fair offer home buyer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""&amp;$A27))"),"local fair offer home buyer")</f>
        <v>local fair offer home buyer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""&amp;$A27))"),"direct fair offer home buyer")</f>
        <v>direct fair offer home buyer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""&amp;$A27))"),"professional fair offer home buyer")</f>
        <v>professional fair offer home buyer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""&amp;$A27))"),"family owned fair offer home buyer")</f>
        <v>family owned fair offer home buyer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""&amp;$A27))"),"no fee fair offer home buyer")</f>
        <v>no fee fair offer home buyer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""&amp;$A27))"),"no commission fair offer home buyer")</f>
        <v>no commission fair offer home buyer</v>
      </c>
      <c r="L27" s="13" t="str">
        <f>IFERROR(__xludf.DUMMYFUNCTION("""COMPUTED_VALUE"""),"local companies that buy houses")</f>
        <v>local companies that buy houses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137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""&amp;$A28))"),"best fast closing home buyer")</f>
        <v>best fast closing home buyer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""&amp;$A28))"),"reputable fast closing home buyer")</f>
        <v>reputable fast closing home buyer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""&amp;$A28))"),"trusted fast closing home buyer")</f>
        <v>trusted fast closing home buyer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""&amp;$A28))"),"legit fast closing home buyer")</f>
        <v>legit fast closing home buyer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""&amp;$A28))"),"local fast closing home buyer")</f>
        <v>local fast closing home buyer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""&amp;$A28))"),"direct fast closing home buyer")</f>
        <v>direct fast closing home buyer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""&amp;$A28))"),"professional fast closing home buyer")</f>
        <v>professional fast closing home buyer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""&amp;$A28))"),"family owned fast closing home buyer")</f>
        <v>family owned fast closing home buyer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""&amp;$A28))"),"no fee fast closing home buyer")</f>
        <v>no fee fast closing home buyer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""&amp;$A28))"),"no commission fast closing home buyer")</f>
        <v>no commission fast closing home buyer</v>
      </c>
      <c r="L28" s="13" t="str">
        <f>IFERROR(__xludf.DUMMYFUNCTION("""COMPUTED_VALUE"""),"direct companies that buy houses")</f>
        <v>direct companies that buy houses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141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""&amp;$A29))"),"best home buyer reviews")</f>
        <v>best home buyer reviews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""&amp;$A29))"),"reputable home buyer reviews")</f>
        <v>reputable home buyer reviews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""&amp;$A29))"),"trusted home buyer reviews")</f>
        <v>trusted home buyer reviews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""&amp;$A29))"),"legit home buyer reviews")</f>
        <v>legit home buyer reviews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""&amp;$A29))"),"local home buyer reviews")</f>
        <v>local home buyer reviews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""&amp;$A29))"),"direct home buyer reviews")</f>
        <v>direct home buyer reviews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""&amp;$A29))"),"professional home buyer reviews")</f>
        <v>professional home buyer reviews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""&amp;$A29))"),"family owned home buyer reviews")</f>
        <v>family owned home buyer reviews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""&amp;$A29))"),"no fee home buyer reviews")</f>
        <v>no fee home buyer reviews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""&amp;$A29))"),"no commission home buyer reviews")</f>
        <v>no commission home buyer reviews</v>
      </c>
      <c r="L29" s="13" t="str">
        <f>IFERROR(__xludf.DUMMYFUNCTION("""COMPUTED_VALUE"""),"professional companies that buy houses")</f>
        <v>professional companies that buy houses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145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""&amp;$A30))"),"best cash buyer reviews")</f>
        <v>best cash buyer reviews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""&amp;$A30))"),"reputable cash buyer reviews")</f>
        <v>reputable cash buyer reviews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""&amp;$A30))"),"trusted cash buyer reviews")</f>
        <v>trusted cash buyer reviews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""&amp;$A30))"),"legit cash buyer reviews")</f>
        <v>legit cash buyer reviews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""&amp;$A30))"),"local cash buyer reviews")</f>
        <v>local cash buyer reviews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""&amp;$A30))"),"direct cash buyer reviews")</f>
        <v>direct cash buyer reviews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""&amp;$A30))"),"professional cash buyer reviews")</f>
        <v>professional cash buyer reviews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""&amp;$A30))"),"family owned cash buyer reviews")</f>
        <v>family owned cash buyer reviews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""&amp;$A30))"),"no fee cash buyer reviews")</f>
        <v>no fee cash buyer reviews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""&amp;$A30))"),"no commission cash buyer reviews")</f>
        <v>no commission cash buyer reviews</v>
      </c>
      <c r="L30" s="13" t="str">
        <f>IFERROR(__xludf.DUMMYFUNCTION("""COMPUTED_VALUE"""),"family owned companies that buy houses")</f>
        <v>family owned companies that buy houses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149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""&amp;$A31))"),"best cash buyer alternatives")</f>
        <v>best cash buyer alternatives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""&amp;$A31))"),"reputable cash buyer alternatives")</f>
        <v>reputable cash buyer alternatives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""&amp;$A31))"),"trusted cash buyer alternatives")</f>
        <v>trusted cash buyer alternatives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""&amp;$A31))"),"legit cash buyer alternatives")</f>
        <v>legit cash buyer alternatives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""&amp;$A31))"),"local cash buyer alternatives")</f>
        <v>local cash buyer alternatives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""&amp;$A31))"),"direct cash buyer alternatives")</f>
        <v>direct cash buyer alternatives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""&amp;$A31))"),"professional cash buyer alternatives")</f>
        <v>professional cash buyer alternatives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""&amp;$A31))"),"family owned cash buyer alternatives")</f>
        <v>family owned cash buyer alternatives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""&amp;$A31))"),"no fee cash buyer alternatives")</f>
        <v>no fee cash buyer alternatives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""&amp;$A31))"),"no commission cash buyer alternatives")</f>
        <v>no commission cash buyer alternatives</v>
      </c>
      <c r="L31" s="13" t="str">
        <f>IFERROR(__xludf.DUMMYFUNCTION("""COMPUTED_VALUE"""),"no fee companies that buy houses")</f>
        <v>no fee companies that buy houses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152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""&amp;$A32))"),"best home buyer alternatives")</f>
        <v>best home buyer alternatives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""&amp;$A32))"),"reputable home buyer alternatives")</f>
        <v>reputable home buyer alternatives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""&amp;$A32))"),"trusted home buyer alternatives")</f>
        <v>trusted home buyer alternatives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""&amp;$A32))"),"legit home buyer alternatives")</f>
        <v>legit home buyer alternatives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""&amp;$A32))"),"local home buyer alternatives")</f>
        <v>local home buyer alternatives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""&amp;$A32))"),"direct home buyer alternatives")</f>
        <v>direct home buyer alternatives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""&amp;$A32))"),"professional home buyer alternatives")</f>
        <v>professional home buyer alternatives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""&amp;$A32))"),"family owned home buyer alternatives")</f>
        <v>family owned home buyer alternatives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""&amp;$A32))"),"no fee home buyer alternatives")</f>
        <v>no fee home buyer alternatives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""&amp;$A32))"),"no commission home buyer alternatives")</f>
        <v>no commission home buyer alternatives</v>
      </c>
      <c r="L32" s="13" t="str">
        <f>IFERROR(__xludf.DUMMYFUNCTION("""COMPUTED_VALUE"""),"no commission companies that buy houses")</f>
        <v>no commission companies that buy houses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156</v>
      </c>
      <c r="B33" s="13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""&amp;$A33))"),"best home buyer for motivated sellers")</f>
        <v>best home buyer for motivated sellers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""&amp;$A33))"),"reputable home buyer for motivated sellers")</f>
        <v>reputable home buyer for motivated sellers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""&amp;$A33))"),"trusted home buyer for motivated sellers")</f>
        <v>trusted home buyer for motivated sellers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""&amp;$A33))"),"legit home buyer for motivated sellers")</f>
        <v>legit home buyer for motivated sellers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""&amp;$A33))"),"local home buyer for motivated sellers")</f>
        <v>local home buyer for motivated sellers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""&amp;$A33))"),"direct home buyer for motivated sellers")</f>
        <v>direct home buyer for motivated sellers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""&amp;$A33))"),"professional home buyer for motivated sellers")</f>
        <v>professional home buyer for motivated sellers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""&amp;$A33))"),"family owned home buyer for motivated sellers")</f>
        <v>family owned home buyer for motivated sellers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""&amp;$A33))"),"no fee home buyer for motivated sellers")</f>
        <v>no fee home buyer for motivated sellers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""&amp;$A33))"),"no commission home buyer for motivated sellers")</f>
        <v>no commission home buyer for motivated sellers</v>
      </c>
      <c r="L33" s="13" t="str">
        <f>IFERROR(__xludf.DUMMYFUNCTION("""COMPUTED_VALUE"""),"best companies that will buy your house")</f>
        <v>best companies that will buy your house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160</v>
      </c>
      <c r="B34" s="13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""&amp;$A34))"),"best home buyer for homeowners")</f>
        <v>best home buyer for homeowners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""&amp;$A34))"),"reputable home buyer for homeowners")</f>
        <v>reputable home buyer for homeowners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""&amp;$A34))"),"trusted home buyer for homeowners")</f>
        <v>trusted home buyer for homeowners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""&amp;$A34))"),"legit home buyer for homeowners")</f>
        <v>legit home buyer for homeowners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""&amp;$A34))"),"local home buyer for homeowners")</f>
        <v>local home buyer for homeowners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""&amp;$A34))"),"direct home buyer for homeowners")</f>
        <v>direct home buyer for homeowners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""&amp;$A34))"),"professional home buyer for homeowners")</f>
        <v>professional home buyer for homeowners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""&amp;$A34))"),"family owned home buyer for homeowners")</f>
        <v>family owned home buyer for homeowners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""&amp;$A34))"),"no fee home buyer for homeowners")</f>
        <v>no fee home buyer for homeowners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""&amp;$A34))"),"no commission home buyer for homeowners")</f>
        <v>no commission home buyer for homeowners</v>
      </c>
      <c r="L34" s="13" t="str">
        <f>IFERROR(__xludf.DUMMYFUNCTION("""COMPUTED_VALUE"""),"reputable companies that will buy your house")</f>
        <v>reputable companies that will buy your house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 t="str">
        <f>IFERROR(__xludf.DUMMYFUNCTION("""COMPUTED_VALUE"""),"trusted companies that will buy your house")</f>
        <v>trusted companies that will buy your house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 t="str">
        <f>IFERROR(__xludf.DUMMYFUNCTION("""COMPUTED_VALUE"""),"legit companies that will buy your house")</f>
        <v>legit companies that will buy your house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 t="str">
        <f>IFERROR(__xludf.DUMMYFUNCTION("""COMPUTED_VALUE"""),"local companies that will buy your house")</f>
        <v>local companies that will buy your house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 t="str">
        <f>IFERROR(__xludf.DUMMYFUNCTION("""COMPUTED_VALUE"""),"direct companies that will buy your house")</f>
        <v>direct companies that will buy your house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 t="str">
        <f>IFERROR(__xludf.DUMMYFUNCTION("""COMPUTED_VALUE"""),"professional companies that will buy your house")</f>
        <v>professional companies that will buy your house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 t="str">
        <f>IFERROR(__xludf.DUMMYFUNCTION("""COMPUTED_VALUE"""),"family owned companies that will buy your house")</f>
        <v>family owned companies that will buy your house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 t="str">
        <f>IFERROR(__xludf.DUMMYFUNCTION("""COMPUTED_VALUE"""),"no fee companies that will buy your house")</f>
        <v>no fee companies that will buy your house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 t="str">
        <f>IFERROR(__xludf.DUMMYFUNCTION("""COMPUTED_VALUE"""),"no commission companies that will buy your house")</f>
        <v>no commission companies that will buy your house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 t="str">
        <f>IFERROR(__xludf.DUMMYFUNCTION("""COMPUTED_VALUE"""),"best house buying company")</f>
        <v>best house buying company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 t="str">
        <f>IFERROR(__xludf.DUMMYFUNCTION("""COMPUTED_VALUE"""),"reputable house buying company")</f>
        <v>reputable house buying company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 t="str">
        <f>IFERROR(__xludf.DUMMYFUNCTION("""COMPUTED_VALUE"""),"trusted house buying company")</f>
        <v>trusted house buying company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 t="str">
        <f>IFERROR(__xludf.DUMMYFUNCTION("""COMPUTED_VALUE"""),"legit house buying company")</f>
        <v>legit house buying company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 t="str">
        <f>IFERROR(__xludf.DUMMYFUNCTION("""COMPUTED_VALUE"""),"local house buying company")</f>
        <v>local house buying company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 t="str">
        <f>IFERROR(__xludf.DUMMYFUNCTION("""COMPUTED_VALUE"""),"direct house buying company")</f>
        <v>direct house buying company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 t="str">
        <f>IFERROR(__xludf.DUMMYFUNCTION("""COMPUTED_VALUE"""),"professional house buying company")</f>
        <v>professional house buying company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 t="str">
        <f>IFERROR(__xludf.DUMMYFUNCTION("""COMPUTED_VALUE"""),"family owned house buying company")</f>
        <v>family owned house buying company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 t="str">
        <f>IFERROR(__xludf.DUMMYFUNCTION("""COMPUTED_VALUE"""),"no fee house buying company")</f>
        <v>no fee house buying company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 t="str">
        <f>IFERROR(__xludf.DUMMYFUNCTION("""COMPUTED_VALUE"""),"no commission house buying company")</f>
        <v>no commission house buying company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 t="str">
        <f>IFERROR(__xludf.DUMMYFUNCTION("""COMPUTED_VALUE"""),"best home buyers")</f>
        <v>best home buyers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 t="str">
        <f>IFERROR(__xludf.DUMMYFUNCTION("""COMPUTED_VALUE"""),"reputable home buyers")</f>
        <v>reputable home buyers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 t="str">
        <f>IFERROR(__xludf.DUMMYFUNCTION("""COMPUTED_VALUE"""),"trusted home buyers")</f>
        <v>trusted home buyers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 t="str">
        <f>IFERROR(__xludf.DUMMYFUNCTION("""COMPUTED_VALUE"""),"legit home buyers")</f>
        <v>legit home buyers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 t="str">
        <f>IFERROR(__xludf.DUMMYFUNCTION("""COMPUTED_VALUE"""),"local home buyers")</f>
        <v>local home buyers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 t="str">
        <f>IFERROR(__xludf.DUMMYFUNCTION("""COMPUTED_VALUE"""),"direct home buyers")</f>
        <v>direct home buyers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 t="str">
        <f>IFERROR(__xludf.DUMMYFUNCTION("""COMPUTED_VALUE"""),"professional home buyers")</f>
        <v>professional home buyers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 t="str">
        <f>IFERROR(__xludf.DUMMYFUNCTION("""COMPUTED_VALUE"""),"family owned home buyers")</f>
        <v>family owned home buyers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 t="str">
        <f>IFERROR(__xludf.DUMMYFUNCTION("""COMPUTED_VALUE"""),"no fee home buyers")</f>
        <v>no fee home buyers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 t="str">
        <f>IFERROR(__xludf.DUMMYFUNCTION("""COMPUTED_VALUE"""),"no commission home buyers")</f>
        <v>no commission home buyers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 t="str">
        <f>IFERROR(__xludf.DUMMYFUNCTION("""COMPUTED_VALUE"""),"best house buyers")</f>
        <v>best house buyers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 t="str">
        <f>IFERROR(__xludf.DUMMYFUNCTION("""COMPUTED_VALUE"""),"reputable house buyers")</f>
        <v>reputable house buyers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 t="str">
        <f>IFERROR(__xludf.DUMMYFUNCTION("""COMPUTED_VALUE"""),"trusted house buyers")</f>
        <v>trusted house buyers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 t="str">
        <f>IFERROR(__xludf.DUMMYFUNCTION("""COMPUTED_VALUE"""),"legit house buyers")</f>
        <v>legit house buyers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 t="str">
        <f>IFERROR(__xludf.DUMMYFUNCTION("""COMPUTED_VALUE"""),"local house buyers")</f>
        <v>local house buyers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 t="str">
        <f>IFERROR(__xludf.DUMMYFUNCTION("""COMPUTED_VALUE"""),"direct house buyers")</f>
        <v>direct house buyers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 t="str">
        <f>IFERROR(__xludf.DUMMYFUNCTION("""COMPUTED_VALUE"""),"professional house buyers")</f>
        <v>professional house buyers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 t="str">
        <f>IFERROR(__xludf.DUMMYFUNCTION("""COMPUTED_VALUE"""),"family owned house buyers")</f>
        <v>family owned house buyers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 t="str">
        <f>IFERROR(__xludf.DUMMYFUNCTION("""COMPUTED_VALUE"""),"no fee house buyers")</f>
        <v>no fee house buyers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 t="str">
        <f>IFERROR(__xludf.DUMMYFUNCTION("""COMPUTED_VALUE"""),"no commission house buyers")</f>
        <v>no commission house buyers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 t="str">
        <f>IFERROR(__xludf.DUMMYFUNCTION("""COMPUTED_VALUE"""),"best real estate investors that buy houses")</f>
        <v>best real estate investors that buy houses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 t="str">
        <f>IFERROR(__xludf.DUMMYFUNCTION("""COMPUTED_VALUE"""),"reputable real estate investors that buy houses")</f>
        <v>reputable real estate investors that buy houses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 t="str">
        <f>IFERROR(__xludf.DUMMYFUNCTION("""COMPUTED_VALUE"""),"trusted real estate investors that buy houses")</f>
        <v>trusted real estate investors that buy houses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 t="str">
        <f>IFERROR(__xludf.DUMMYFUNCTION("""COMPUTED_VALUE"""),"legit real estate investors that buy houses")</f>
        <v>legit real estate investors that buy houses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 t="str">
        <f>IFERROR(__xludf.DUMMYFUNCTION("""COMPUTED_VALUE"""),"local real estate investors that buy houses")</f>
        <v>local real estate investors that buy houses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 t="str">
        <f>IFERROR(__xludf.DUMMYFUNCTION("""COMPUTED_VALUE"""),"direct real estate investors that buy houses")</f>
        <v>direct real estate investors that buy houses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 t="str">
        <f>IFERROR(__xludf.DUMMYFUNCTION("""COMPUTED_VALUE"""),"professional real estate investors that buy houses")</f>
        <v>professional real estate investors that buy houses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 t="str">
        <f>IFERROR(__xludf.DUMMYFUNCTION("""COMPUTED_VALUE"""),"family owned real estate investors that buy houses")</f>
        <v>family owned real estate investors that buy houses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 t="str">
        <f>IFERROR(__xludf.DUMMYFUNCTION("""COMPUTED_VALUE"""),"no fee real estate investors that buy houses")</f>
        <v>no fee real estate investors that buy houses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 t="str">
        <f>IFERROR(__xludf.DUMMYFUNCTION("""COMPUTED_VALUE"""),"no commission real estate investors that buy houses")</f>
        <v>no commission real estate investors that buy houses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 t="str">
        <f>IFERROR(__xludf.DUMMYFUNCTION("""COMPUTED_VALUE"""),"best property buyers")</f>
        <v>best property buyers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 t="str">
        <f>IFERROR(__xludf.DUMMYFUNCTION("""COMPUTED_VALUE"""),"reputable property buyers")</f>
        <v>reputable property buyers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 t="str">
        <f>IFERROR(__xludf.DUMMYFUNCTION("""COMPUTED_VALUE"""),"trusted property buyers")</f>
        <v>trusted property buyers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 t="str">
        <f>IFERROR(__xludf.DUMMYFUNCTION("""COMPUTED_VALUE"""),"legit property buyers")</f>
        <v>legit property buyers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 t="str">
        <f>IFERROR(__xludf.DUMMYFUNCTION("""COMPUTED_VALUE"""),"local property buyers")</f>
        <v>local property buyers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 t="str">
        <f>IFERROR(__xludf.DUMMYFUNCTION("""COMPUTED_VALUE"""),"direct property buyers")</f>
        <v>direct property buyers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 t="str">
        <f>IFERROR(__xludf.DUMMYFUNCTION("""COMPUTED_VALUE"""),"professional property buyers")</f>
        <v>professional property buyers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 t="str">
        <f>IFERROR(__xludf.DUMMYFUNCTION("""COMPUTED_VALUE"""),"family owned property buyers")</f>
        <v>family owned property buyers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 t="str">
        <f>IFERROR(__xludf.DUMMYFUNCTION("""COMPUTED_VALUE"""),"no fee property buyers")</f>
        <v>no fee property buyers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 t="str">
        <f>IFERROR(__xludf.DUMMYFUNCTION("""COMPUTED_VALUE"""),"no commission property buyers")</f>
        <v>no commission property buyers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 t="str">
        <f>IFERROR(__xludf.DUMMYFUNCTION("""COMPUTED_VALUE"""),"best cash house buyers")</f>
        <v>best cash house buyers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 t="str">
        <f>IFERROR(__xludf.DUMMYFUNCTION("""COMPUTED_VALUE"""),"reputable cash house buyers")</f>
        <v>reputable cash house buyers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 t="str">
        <f>IFERROR(__xludf.DUMMYFUNCTION("""COMPUTED_VALUE"""),"trusted cash house buyers")</f>
        <v>trusted cash house buyers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 t="str">
        <f>IFERROR(__xludf.DUMMYFUNCTION("""COMPUTED_VALUE"""),"legit cash house buyers")</f>
        <v>legit cash house buyers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 t="str">
        <f>IFERROR(__xludf.DUMMYFUNCTION("""COMPUTED_VALUE"""),"local cash house buyers")</f>
        <v>local cash house buyers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 t="str">
        <f>IFERROR(__xludf.DUMMYFUNCTION("""COMPUTED_VALUE"""),"direct cash house buyers")</f>
        <v>direct cash house buyers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 t="str">
        <f>IFERROR(__xludf.DUMMYFUNCTION("""COMPUTED_VALUE"""),"professional cash house buyers")</f>
        <v>professional cash house buyers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 t="str">
        <f>IFERROR(__xludf.DUMMYFUNCTION("""COMPUTED_VALUE"""),"family owned cash house buyers")</f>
        <v>family owned cash house buyers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 t="str">
        <f>IFERROR(__xludf.DUMMYFUNCTION("""COMPUTED_VALUE"""),"no fee cash house buyers")</f>
        <v>no fee cash house buyers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 t="str">
        <f>IFERROR(__xludf.DUMMYFUNCTION("""COMPUTED_VALUE"""),"no commission cash house buyers")</f>
        <v>no commission cash house buyers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 t="str">
        <f>IFERROR(__xludf.DUMMYFUNCTION("""COMPUTED_VALUE"""),"best we buy houses company")</f>
        <v>best we buy houses company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 t="str">
        <f>IFERROR(__xludf.DUMMYFUNCTION("""COMPUTED_VALUE"""),"reputable we buy houses company")</f>
        <v>reputable we buy houses company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 t="str">
        <f>IFERROR(__xludf.DUMMYFUNCTION("""COMPUTED_VALUE"""),"trusted we buy houses company")</f>
        <v>trusted we buy houses company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 t="str">
        <f>IFERROR(__xludf.DUMMYFUNCTION("""COMPUTED_VALUE"""),"legit we buy houses company")</f>
        <v>legit we buy houses company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 t="str">
        <f>IFERROR(__xludf.DUMMYFUNCTION("""COMPUTED_VALUE"""),"local we buy houses company")</f>
        <v>local we buy houses company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 t="str">
        <f>IFERROR(__xludf.DUMMYFUNCTION("""COMPUTED_VALUE"""),"direct we buy houses company")</f>
        <v>direct we buy houses company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 t="str">
        <f>IFERROR(__xludf.DUMMYFUNCTION("""COMPUTED_VALUE"""),"professional we buy houses company")</f>
        <v>professional we buy houses company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 t="str">
        <f>IFERROR(__xludf.DUMMYFUNCTION("""COMPUTED_VALUE"""),"family owned we buy houses company")</f>
        <v>family owned we buy houses company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 t="str">
        <f>IFERROR(__xludf.DUMMYFUNCTION("""COMPUTED_VALUE"""),"no fee we buy houses company")</f>
        <v>no fee we buy houses company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 t="str">
        <f>IFERROR(__xludf.DUMMYFUNCTION("""COMPUTED_VALUE"""),"no commission we buy houses company")</f>
        <v>no commission we buy houses company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 t="str">
        <f>IFERROR(__xludf.DUMMYFUNCTION("""COMPUTED_VALUE"""),"best cash buyer company")</f>
        <v>best cash buyer company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 t="str">
        <f>IFERROR(__xludf.DUMMYFUNCTION("""COMPUTED_VALUE"""),"reputable cash buyer company")</f>
        <v>reputable cash buyer company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 t="str">
        <f>IFERROR(__xludf.DUMMYFUNCTION("""COMPUTED_VALUE"""),"trusted cash buyer company")</f>
        <v>trusted cash buyer company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 t="str">
        <f>IFERROR(__xludf.DUMMYFUNCTION("""COMPUTED_VALUE"""),"legit cash buyer company")</f>
        <v>legit cash buyer company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 t="str">
        <f>IFERROR(__xludf.DUMMYFUNCTION("""COMPUTED_VALUE"""),"local cash buyer company")</f>
        <v>local cash buyer company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 t="str">
        <f>IFERROR(__xludf.DUMMYFUNCTION("""COMPUTED_VALUE"""),"direct cash buyer company")</f>
        <v>direct cash buyer company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 t="str">
        <f>IFERROR(__xludf.DUMMYFUNCTION("""COMPUTED_VALUE"""),"professional cash buyer company")</f>
        <v>professional cash buyer company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 t="str">
        <f>IFERROR(__xludf.DUMMYFUNCTION("""COMPUTED_VALUE"""),"family owned cash buyer company")</f>
        <v>family owned cash buyer company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 t="str">
        <f>IFERROR(__xludf.DUMMYFUNCTION("""COMPUTED_VALUE"""),"no fee cash buyer company")</f>
        <v>no fee cash buyer company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 t="str">
        <f>IFERROR(__xludf.DUMMYFUNCTION("""COMPUTED_VALUE"""),"no commission cash buyer company")</f>
        <v>no commission cash buyer company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 t="str">
        <f>IFERROR(__xludf.DUMMYFUNCTION("""COMPUTED_VALUE"""),"best home buyers near me")</f>
        <v>best home buyers near me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 t="str">
        <f>IFERROR(__xludf.DUMMYFUNCTION("""COMPUTED_VALUE"""),"reputable home buyers near me")</f>
        <v>reputable home buyers near me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 t="str">
        <f>IFERROR(__xludf.DUMMYFUNCTION("""COMPUTED_VALUE"""),"trusted home buyers near me")</f>
        <v>trusted home buyers near me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 t="str">
        <f>IFERROR(__xludf.DUMMYFUNCTION("""COMPUTED_VALUE"""),"legit home buyers near me")</f>
        <v>legit home buyers near me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 t="str">
        <f>IFERROR(__xludf.DUMMYFUNCTION("""COMPUTED_VALUE"""),"local home buyers near me")</f>
        <v>local home buyers near me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 t="str">
        <f>IFERROR(__xludf.DUMMYFUNCTION("""COMPUTED_VALUE"""),"direct home buyers near me")</f>
        <v>direct home buyers near me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 t="str">
        <f>IFERROR(__xludf.DUMMYFUNCTION("""COMPUTED_VALUE"""),"professional home buyers near me")</f>
        <v>professional home buyers near me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 t="str">
        <f>IFERROR(__xludf.DUMMYFUNCTION("""COMPUTED_VALUE"""),"family owned home buyers near me")</f>
        <v>family owned home buyers near me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 t="str">
        <f>IFERROR(__xludf.DUMMYFUNCTION("""COMPUTED_VALUE"""),"no fee home buyers near me")</f>
        <v>no fee home buyers near me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 t="str">
        <f>IFERROR(__xludf.DUMMYFUNCTION("""COMPUTED_VALUE"""),"no commission home buyers near me")</f>
        <v>no commission home buyers near me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 t="str">
        <f>IFERROR(__xludf.DUMMYFUNCTION("""COMPUTED_VALUE"""),"best house buyers near me")</f>
        <v>best house buyers near me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 t="str">
        <f>IFERROR(__xludf.DUMMYFUNCTION("""COMPUTED_VALUE"""),"reputable house buyers near me")</f>
        <v>reputable house buyers near me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 t="str">
        <f>IFERROR(__xludf.DUMMYFUNCTION("""COMPUTED_VALUE"""),"trusted house buyers near me")</f>
        <v>trusted house buyers near me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 t="str">
        <f>IFERROR(__xludf.DUMMYFUNCTION("""COMPUTED_VALUE"""),"legit house buyers near me")</f>
        <v>legit house buyers near me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 t="str">
        <f>IFERROR(__xludf.DUMMYFUNCTION("""COMPUTED_VALUE"""),"local house buyers near me")</f>
        <v>local house buyers near me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 t="str">
        <f>IFERROR(__xludf.DUMMYFUNCTION("""COMPUTED_VALUE"""),"direct house buyers near me")</f>
        <v>direct house buyers near me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 t="str">
        <f>IFERROR(__xludf.DUMMYFUNCTION("""COMPUTED_VALUE"""),"professional house buyers near me")</f>
        <v>professional house buyers near me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 t="str">
        <f>IFERROR(__xludf.DUMMYFUNCTION("""COMPUTED_VALUE"""),"family owned house buyers near me")</f>
        <v>family owned house buyers near me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 t="str">
        <f>IFERROR(__xludf.DUMMYFUNCTION("""COMPUTED_VALUE"""),"no fee house buyers near me")</f>
        <v>no fee house buyers near me</v>
      </c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 t="str">
        <f>IFERROR(__xludf.DUMMYFUNCTION("""COMPUTED_VALUE"""),"no commission house buyers near me")</f>
        <v>no commission house buyers near me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 t="str">
        <f>IFERROR(__xludf.DUMMYFUNCTION("""COMPUTED_VALUE"""),"best cash property buyers")</f>
        <v>best cash property buyers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 t="str">
        <f>IFERROR(__xludf.DUMMYFUNCTION("""COMPUTED_VALUE"""),"reputable cash property buyers")</f>
        <v>reputable cash property buyers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 t="str">
        <f>IFERROR(__xludf.DUMMYFUNCTION("""COMPUTED_VALUE"""),"trusted cash property buyers")</f>
        <v>trusted cash property buyers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 t="str">
        <f>IFERROR(__xludf.DUMMYFUNCTION("""COMPUTED_VALUE"""),"legit cash property buyers")</f>
        <v>legit cash property buyers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 t="str">
        <f>IFERROR(__xludf.DUMMYFUNCTION("""COMPUTED_VALUE"""),"local cash property buyers")</f>
        <v>local cash property buyers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 t="str">
        <f>IFERROR(__xludf.DUMMYFUNCTION("""COMPUTED_VALUE"""),"direct cash property buyers")</f>
        <v>direct cash property buyers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 t="str">
        <f>IFERROR(__xludf.DUMMYFUNCTION("""COMPUTED_VALUE"""),"professional cash property buyers")</f>
        <v>professional cash property buyers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 t="str">
        <f>IFERROR(__xludf.DUMMYFUNCTION("""COMPUTED_VALUE"""),"family owned cash property buyers")</f>
        <v>family owned cash property buyers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 t="str">
        <f>IFERROR(__xludf.DUMMYFUNCTION("""COMPUTED_VALUE"""),"no fee cash property buyers")</f>
        <v>no fee cash property buyers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 t="str">
        <f>IFERROR(__xludf.DUMMYFUNCTION("""COMPUTED_VALUE"""),"no commission cash property buyers")</f>
        <v>no commission cash property buyers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 t="str">
        <f>IFERROR(__xludf.DUMMYFUNCTION("""COMPUTED_VALUE"""),"best home buying service")</f>
        <v>best home buying service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 t="str">
        <f>IFERROR(__xludf.DUMMYFUNCTION("""COMPUTED_VALUE"""),"reputable home buying service")</f>
        <v>reputable home buying service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 t="str">
        <f>IFERROR(__xludf.DUMMYFUNCTION("""COMPUTED_VALUE"""),"trusted home buying service")</f>
        <v>trusted home buying service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 t="str">
        <f>IFERROR(__xludf.DUMMYFUNCTION("""COMPUTED_VALUE"""),"legit home buying service")</f>
        <v>legit home buying service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 t="str">
        <f>IFERROR(__xludf.DUMMYFUNCTION("""COMPUTED_VALUE"""),"local home buying service")</f>
        <v>local home buying service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 t="str">
        <f>IFERROR(__xludf.DUMMYFUNCTION("""COMPUTED_VALUE"""),"direct home buying service")</f>
        <v>direct home buying service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 t="str">
        <f>IFERROR(__xludf.DUMMYFUNCTION("""COMPUTED_VALUE"""),"professional home buying service")</f>
        <v>professional home buying service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 t="str">
        <f>IFERROR(__xludf.DUMMYFUNCTION("""COMPUTED_VALUE"""),"family owned home buying service")</f>
        <v>family owned home buying service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 t="str">
        <f>IFERROR(__xludf.DUMMYFUNCTION("""COMPUTED_VALUE"""),"no fee home buying service")</f>
        <v>no fee home buying service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 t="str">
        <f>IFERROR(__xludf.DUMMYFUNCTION("""COMPUTED_VALUE"""),"no commission home buying service")</f>
        <v>no commission home buying service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 t="str">
        <f>IFERROR(__xludf.DUMMYFUNCTION("""COMPUTED_VALUE"""),"best sell house company")</f>
        <v>best sell house company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 t="str">
        <f>IFERROR(__xludf.DUMMYFUNCTION("""COMPUTED_VALUE"""),"reputable sell house company")</f>
        <v>reputable sell house company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 t="str">
        <f>IFERROR(__xludf.DUMMYFUNCTION("""COMPUTED_VALUE"""),"trusted sell house company")</f>
        <v>trusted sell house company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 t="str">
        <f>IFERROR(__xludf.DUMMYFUNCTION("""COMPUTED_VALUE"""),"legit sell house company")</f>
        <v>legit sell house company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 t="str">
        <f>IFERROR(__xludf.DUMMYFUNCTION("""COMPUTED_VALUE"""),"local sell house company")</f>
        <v>local sell house company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 t="str">
        <f>IFERROR(__xludf.DUMMYFUNCTION("""COMPUTED_VALUE"""),"direct sell house company")</f>
        <v>direct sell house company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 t="str">
        <f>IFERROR(__xludf.DUMMYFUNCTION("""COMPUTED_VALUE"""),"professional sell house company")</f>
        <v>professional sell house company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 t="str">
        <f>IFERROR(__xludf.DUMMYFUNCTION("""COMPUTED_VALUE"""),"family owned sell house company")</f>
        <v>family owned sell house company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 t="str">
        <f>IFERROR(__xludf.DUMMYFUNCTION("""COMPUTED_VALUE"""),"no fee sell house company")</f>
        <v>no fee sell house company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 t="str">
        <f>IFERROR(__xludf.DUMMYFUNCTION("""COMPUTED_VALUE"""),"no commission sell house company")</f>
        <v>no commission sell house company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 t="str">
        <f>IFERROR(__xludf.DUMMYFUNCTION("""COMPUTED_VALUE"""),"best house buying service")</f>
        <v>best house buying service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 t="str">
        <f>IFERROR(__xludf.DUMMYFUNCTION("""COMPUTED_VALUE"""),"reputable house buying service")</f>
        <v>reputable house buying service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 t="str">
        <f>IFERROR(__xludf.DUMMYFUNCTION("""COMPUTED_VALUE"""),"trusted house buying service")</f>
        <v>trusted house buying service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 t="str">
        <f>IFERROR(__xludf.DUMMYFUNCTION("""COMPUTED_VALUE"""),"legit house buying service")</f>
        <v>legit house buying service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 t="str">
        <f>IFERROR(__xludf.DUMMYFUNCTION("""COMPUTED_VALUE"""),"local house buying service")</f>
        <v>local house buying service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 t="str">
        <f>IFERROR(__xludf.DUMMYFUNCTION("""COMPUTED_VALUE"""),"direct house buying service")</f>
        <v>direct house buying service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 t="str">
        <f>IFERROR(__xludf.DUMMYFUNCTION("""COMPUTED_VALUE"""),"professional house buying service")</f>
        <v>professional house buying service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 t="str">
        <f>IFERROR(__xludf.DUMMYFUNCTION("""COMPUTED_VALUE"""),"family owned house buying service")</f>
        <v>family owned house buying service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 t="str">
        <f>IFERROR(__xludf.DUMMYFUNCTION("""COMPUTED_VALUE"""),"no fee house buying service")</f>
        <v>no fee house buying service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 t="str">
        <f>IFERROR(__xludf.DUMMYFUNCTION("""COMPUTED_VALUE"""),"no commission house buying service")</f>
        <v>no commission house buying service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 t="str">
        <f>IFERROR(__xludf.DUMMYFUNCTION("""COMPUTED_VALUE"""),"best cash offer company")</f>
        <v>best cash offer company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 t="str">
        <f>IFERROR(__xludf.DUMMYFUNCTION("""COMPUTED_VALUE"""),"reputable cash offer company")</f>
        <v>reputable cash offer company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 t="str">
        <f>IFERROR(__xludf.DUMMYFUNCTION("""COMPUTED_VALUE"""),"trusted cash offer company")</f>
        <v>trusted cash offer company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 t="str">
        <f>IFERROR(__xludf.DUMMYFUNCTION("""COMPUTED_VALUE"""),"legit cash offer company")</f>
        <v>legit cash offer company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 t="str">
        <f>IFERROR(__xludf.DUMMYFUNCTION("""COMPUTED_VALUE"""),"local cash offer company")</f>
        <v>local cash offer company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 t="str">
        <f>IFERROR(__xludf.DUMMYFUNCTION("""COMPUTED_VALUE"""),"direct cash offer company")</f>
        <v>direct cash offer company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 t="str">
        <f>IFERROR(__xludf.DUMMYFUNCTION("""COMPUTED_VALUE"""),"professional cash offer company")</f>
        <v>professional cash offer company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 t="str">
        <f>IFERROR(__xludf.DUMMYFUNCTION("""COMPUTED_VALUE"""),"family owned cash offer company")</f>
        <v>family owned cash offer company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 t="str">
        <f>IFERROR(__xludf.DUMMYFUNCTION("""COMPUTED_VALUE"""),"no fee cash offer company")</f>
        <v>no fee cash offer company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 t="str">
        <f>IFERROR(__xludf.DUMMYFUNCTION("""COMPUTED_VALUE"""),"no commission cash offer company")</f>
        <v>no commission cash offer company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 t="str">
        <f>IFERROR(__xludf.DUMMYFUNCTION("""COMPUTED_VALUE"""),"best off market home buyer")</f>
        <v>best off market home buyer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 t="str">
        <f>IFERROR(__xludf.DUMMYFUNCTION("""COMPUTED_VALUE"""),"reputable off market home buyer")</f>
        <v>reputable off market home buyer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 t="str">
        <f>IFERROR(__xludf.DUMMYFUNCTION("""COMPUTED_VALUE"""),"trusted off market home buyer")</f>
        <v>trusted off market home buyer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 t="str">
        <f>IFERROR(__xludf.DUMMYFUNCTION("""COMPUTED_VALUE"""),"legit off market home buyer")</f>
        <v>legit off market home buyer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 t="str">
        <f>IFERROR(__xludf.DUMMYFUNCTION("""COMPUTED_VALUE"""),"local off market home buyer")</f>
        <v>local off market home buyer</v>
      </c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 t="str">
        <f>IFERROR(__xludf.DUMMYFUNCTION("""COMPUTED_VALUE"""),"direct off market home buyer")</f>
        <v>direct off market home buyer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 t="str">
        <f>IFERROR(__xludf.DUMMYFUNCTION("""COMPUTED_VALUE"""),"professional off market home buyer")</f>
        <v>professional off market home buyer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 t="str">
        <f>IFERROR(__xludf.DUMMYFUNCTION("""COMPUTED_VALUE"""),"family owned off market home buyer")</f>
        <v>family owned off market home buyer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 t="str">
        <f>IFERROR(__xludf.DUMMYFUNCTION("""COMPUTED_VALUE"""),"no fee off market home buyer")</f>
        <v>no fee off market home buyer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 t="str">
        <f>IFERROR(__xludf.DUMMYFUNCTION("""COMPUTED_VALUE"""),"no commission off market home buyer")</f>
        <v>no commission off market home buyer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 t="str">
        <f>IFERROR(__xludf.DUMMYFUNCTION("""COMPUTED_VALUE"""),"best private home buyer")</f>
        <v>best private home buyer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 t="str">
        <f>IFERROR(__xludf.DUMMYFUNCTION("""COMPUTED_VALUE"""),"reputable private home buyer")</f>
        <v>reputable private home buyer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 t="str">
        <f>IFERROR(__xludf.DUMMYFUNCTION("""COMPUTED_VALUE"""),"trusted private home buyer")</f>
        <v>trusted private home buyer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 t="str">
        <f>IFERROR(__xludf.DUMMYFUNCTION("""COMPUTED_VALUE"""),"legit private home buyer")</f>
        <v>legit private home buyer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 t="str">
        <f>IFERROR(__xludf.DUMMYFUNCTION("""COMPUTED_VALUE"""),"local private home buyer")</f>
        <v>local private home buyer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 t="str">
        <f>IFERROR(__xludf.DUMMYFUNCTION("""COMPUTED_VALUE"""),"direct private home buyer")</f>
        <v>direct private home buyer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 t="str">
        <f>IFERROR(__xludf.DUMMYFUNCTION("""COMPUTED_VALUE"""),"professional private home buyer")</f>
        <v>professional private home buyer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 t="str">
        <f>IFERROR(__xludf.DUMMYFUNCTION("""COMPUTED_VALUE"""),"family owned private home buyer")</f>
        <v>family owned private home buyer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 t="str">
        <f>IFERROR(__xludf.DUMMYFUNCTION("""COMPUTED_VALUE"""),"no fee private home buyer")</f>
        <v>no fee private home buyer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 t="str">
        <f>IFERROR(__xludf.DUMMYFUNCTION("""COMPUTED_VALUE"""),"no commission private home buyer")</f>
        <v>no commission private home buyer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 t="str">
        <f>IFERROR(__xludf.DUMMYFUNCTION("""COMPUTED_VALUE"""),"best as is home buyer")</f>
        <v>best as is home buyer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 t="str">
        <f>IFERROR(__xludf.DUMMYFUNCTION("""COMPUTED_VALUE"""),"reputable as is home buyer")</f>
        <v>reputable as is home buyer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 t="str">
        <f>IFERROR(__xludf.DUMMYFUNCTION("""COMPUTED_VALUE"""),"trusted as is home buyer")</f>
        <v>trusted as is home buyer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 t="str">
        <f>IFERROR(__xludf.DUMMYFUNCTION("""COMPUTED_VALUE"""),"legit as is home buyer")</f>
        <v>legit as is home buyer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 t="str">
        <f>IFERROR(__xludf.DUMMYFUNCTION("""COMPUTED_VALUE"""),"local as is home buyer")</f>
        <v>local as is home buyer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 t="str">
        <f>IFERROR(__xludf.DUMMYFUNCTION("""COMPUTED_VALUE"""),"direct as is home buyer")</f>
        <v>direct as is home buyer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 t="str">
        <f>IFERROR(__xludf.DUMMYFUNCTION("""COMPUTED_VALUE"""),"professional as is home buyer")</f>
        <v>professional as is home buyer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 t="str">
        <f>IFERROR(__xludf.DUMMYFUNCTION("""COMPUTED_VALUE"""),"family owned as is home buyer")</f>
        <v>family owned as is home buyer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 t="str">
        <f>IFERROR(__xludf.DUMMYFUNCTION("""COMPUTED_VALUE"""),"no fee as is home buyer")</f>
        <v>no fee as is home buyer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 t="str">
        <f>IFERROR(__xludf.DUMMYFUNCTION("""COMPUTED_VALUE"""),"no commission as is home buyer")</f>
        <v>no commission as is home buyer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 t="str">
        <f>IFERROR(__xludf.DUMMYFUNCTION("""COMPUTED_VALUE"""),"best any condition home buyer")</f>
        <v>best any condition home buyer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 t="str">
        <f>IFERROR(__xludf.DUMMYFUNCTION("""COMPUTED_VALUE"""),"reputable any condition home buyer")</f>
        <v>reputable any condition home buyer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 t="str">
        <f>IFERROR(__xludf.DUMMYFUNCTION("""COMPUTED_VALUE"""),"trusted any condition home buyer")</f>
        <v>trusted any condition home buyer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 t="str">
        <f>IFERROR(__xludf.DUMMYFUNCTION("""COMPUTED_VALUE"""),"legit any condition home buyer")</f>
        <v>legit any condition home buyer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 t="str">
        <f>IFERROR(__xludf.DUMMYFUNCTION("""COMPUTED_VALUE"""),"local any condition home buyer")</f>
        <v>local any condition home buyer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 t="str">
        <f>IFERROR(__xludf.DUMMYFUNCTION("""COMPUTED_VALUE"""),"direct any condition home buyer")</f>
        <v>direct any condition home buyer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 t="str">
        <f>IFERROR(__xludf.DUMMYFUNCTION("""COMPUTED_VALUE"""),"professional any condition home buyer")</f>
        <v>professional any condition home buyer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 t="str">
        <f>IFERROR(__xludf.DUMMYFUNCTION("""COMPUTED_VALUE"""),"family owned any condition home buyer")</f>
        <v>family owned any condition home buyer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 t="str">
        <f>IFERROR(__xludf.DUMMYFUNCTION("""COMPUTED_VALUE"""),"no fee any condition home buyer")</f>
        <v>no fee any condition home buyer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 t="str">
        <f>IFERROR(__xludf.DUMMYFUNCTION("""COMPUTED_VALUE"""),"no commission any condition home buyer")</f>
        <v>no commission any condition home buyer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 t="str">
        <f>IFERROR(__xludf.DUMMYFUNCTION("""COMPUTED_VALUE"""),"best closing costs home buyer")</f>
        <v>best closing costs home buyer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 t="str">
        <f>IFERROR(__xludf.DUMMYFUNCTION("""COMPUTED_VALUE"""),"reputable closing costs home buyer")</f>
        <v>reputable closing costs home buyer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 t="str">
        <f>IFERROR(__xludf.DUMMYFUNCTION("""COMPUTED_VALUE"""),"trusted closing costs home buyer")</f>
        <v>trusted closing costs home buyer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 t="str">
        <f>IFERROR(__xludf.DUMMYFUNCTION("""COMPUTED_VALUE"""),"legit closing costs home buyer")</f>
        <v>legit closing costs home buyer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 t="str">
        <f>IFERROR(__xludf.DUMMYFUNCTION("""COMPUTED_VALUE"""),"local closing costs home buyer")</f>
        <v>local closing costs home buyer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 t="str">
        <f>IFERROR(__xludf.DUMMYFUNCTION("""COMPUTED_VALUE"""),"direct closing costs home buyer")</f>
        <v>direct closing costs home buyer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 t="str">
        <f>IFERROR(__xludf.DUMMYFUNCTION("""COMPUTED_VALUE"""),"professional closing costs home buyer")</f>
        <v>professional closing costs home buyer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 t="str">
        <f>IFERROR(__xludf.DUMMYFUNCTION("""COMPUTED_VALUE"""),"family owned closing costs home buyer")</f>
        <v>family owned closing costs home buyer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 t="str">
        <f>IFERROR(__xludf.DUMMYFUNCTION("""COMPUTED_VALUE"""),"no fee closing costs home buyer")</f>
        <v>no fee closing costs home buyer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 t="str">
        <f>IFERROR(__xludf.DUMMYFUNCTION("""COMPUTED_VALUE"""),"no commission closing costs home buyer")</f>
        <v>no commission closing costs home buyer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 t="str">
        <f>IFERROR(__xludf.DUMMYFUNCTION("""COMPUTED_VALUE"""),"best fair offer home buyer")</f>
        <v>best fair offer home buyer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 t="str">
        <f>IFERROR(__xludf.DUMMYFUNCTION("""COMPUTED_VALUE"""),"reputable fair offer home buyer")</f>
        <v>reputable fair offer home buyer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 t="str">
        <f>IFERROR(__xludf.DUMMYFUNCTION("""COMPUTED_VALUE"""),"trusted fair offer home buyer")</f>
        <v>trusted fair offer home buyer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 t="str">
        <f>IFERROR(__xludf.DUMMYFUNCTION("""COMPUTED_VALUE"""),"legit fair offer home buyer")</f>
        <v>legit fair offer home buyer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 t="str">
        <f>IFERROR(__xludf.DUMMYFUNCTION("""COMPUTED_VALUE"""),"local fair offer home buyer")</f>
        <v>local fair offer home buyer</v>
      </c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 t="str">
        <f>IFERROR(__xludf.DUMMYFUNCTION("""COMPUTED_VALUE"""),"direct fair offer home buyer")</f>
        <v>direct fair offer home buyer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 t="str">
        <f>IFERROR(__xludf.DUMMYFUNCTION("""COMPUTED_VALUE"""),"professional fair offer home buyer")</f>
        <v>professional fair offer home buyer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 t="str">
        <f>IFERROR(__xludf.DUMMYFUNCTION("""COMPUTED_VALUE"""),"family owned fair offer home buyer")</f>
        <v>family owned fair offer home buyer</v>
      </c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 t="str">
        <f>IFERROR(__xludf.DUMMYFUNCTION("""COMPUTED_VALUE"""),"no fee fair offer home buyer")</f>
        <v>no fee fair offer home buyer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 t="str">
        <f>IFERROR(__xludf.DUMMYFUNCTION("""COMPUTED_VALUE"""),"no commission fair offer home buyer")</f>
        <v>no commission fair offer home buyer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 t="str">
        <f>IFERROR(__xludf.DUMMYFUNCTION("""COMPUTED_VALUE"""),"best fast closing home buyer")</f>
        <v>best fast closing home buyer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 t="str">
        <f>IFERROR(__xludf.DUMMYFUNCTION("""COMPUTED_VALUE"""),"reputable fast closing home buyer")</f>
        <v>reputable fast closing home buyer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 t="str">
        <f>IFERROR(__xludf.DUMMYFUNCTION("""COMPUTED_VALUE"""),"trusted fast closing home buyer")</f>
        <v>trusted fast closing home buyer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 t="str">
        <f>IFERROR(__xludf.DUMMYFUNCTION("""COMPUTED_VALUE"""),"legit fast closing home buyer")</f>
        <v>legit fast closing home buyer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 t="str">
        <f>IFERROR(__xludf.DUMMYFUNCTION("""COMPUTED_VALUE"""),"local fast closing home buyer")</f>
        <v>local fast closing home buyer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 t="str">
        <f>IFERROR(__xludf.DUMMYFUNCTION("""COMPUTED_VALUE"""),"direct fast closing home buyer")</f>
        <v>direct fast closing home buyer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 t="str">
        <f>IFERROR(__xludf.DUMMYFUNCTION("""COMPUTED_VALUE"""),"professional fast closing home buyer")</f>
        <v>professional fast closing home buyer</v>
      </c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 t="str">
        <f>IFERROR(__xludf.DUMMYFUNCTION("""COMPUTED_VALUE"""),"family owned fast closing home buyer")</f>
        <v>family owned fast closing home buyer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 t="str">
        <f>IFERROR(__xludf.DUMMYFUNCTION("""COMPUTED_VALUE"""),"no fee fast closing home buyer")</f>
        <v>no fee fast closing home buyer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 t="str">
        <f>IFERROR(__xludf.DUMMYFUNCTION("""COMPUTED_VALUE"""),"no commission fast closing home buyer")</f>
        <v>no commission fast closing home buyer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 t="str">
        <f>IFERROR(__xludf.DUMMYFUNCTION("""COMPUTED_VALUE"""),"best home buyer reviews")</f>
        <v>best home buyer reviews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 t="str">
        <f>IFERROR(__xludf.DUMMYFUNCTION("""COMPUTED_VALUE"""),"reputable home buyer reviews")</f>
        <v>reputable home buyer reviews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 t="str">
        <f>IFERROR(__xludf.DUMMYFUNCTION("""COMPUTED_VALUE"""),"trusted home buyer reviews")</f>
        <v>trusted home buyer reviews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 t="str">
        <f>IFERROR(__xludf.DUMMYFUNCTION("""COMPUTED_VALUE"""),"legit home buyer reviews")</f>
        <v>legit home buyer reviews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 t="str">
        <f>IFERROR(__xludf.DUMMYFUNCTION("""COMPUTED_VALUE"""),"local home buyer reviews")</f>
        <v>local home buyer reviews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 t="str">
        <f>IFERROR(__xludf.DUMMYFUNCTION("""COMPUTED_VALUE"""),"direct home buyer reviews")</f>
        <v>direct home buyer reviews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 t="str">
        <f>IFERROR(__xludf.DUMMYFUNCTION("""COMPUTED_VALUE"""),"professional home buyer reviews")</f>
        <v>professional home buyer reviews</v>
      </c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 t="str">
        <f>IFERROR(__xludf.DUMMYFUNCTION("""COMPUTED_VALUE"""),"family owned home buyer reviews")</f>
        <v>family owned home buyer reviews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 t="str">
        <f>IFERROR(__xludf.DUMMYFUNCTION("""COMPUTED_VALUE"""),"no fee home buyer reviews")</f>
        <v>no fee home buyer reviews</v>
      </c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 t="str">
        <f>IFERROR(__xludf.DUMMYFUNCTION("""COMPUTED_VALUE"""),"no commission home buyer reviews")</f>
        <v>no commission home buyer reviews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 t="str">
        <f>IFERROR(__xludf.DUMMYFUNCTION("""COMPUTED_VALUE"""),"best cash buyer reviews")</f>
        <v>best cash buyer reviews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 t="str">
        <f>IFERROR(__xludf.DUMMYFUNCTION("""COMPUTED_VALUE"""),"reputable cash buyer reviews")</f>
        <v>reputable cash buyer reviews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 t="str">
        <f>IFERROR(__xludf.DUMMYFUNCTION("""COMPUTED_VALUE"""),"trusted cash buyer reviews")</f>
        <v>trusted cash buyer reviews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 t="str">
        <f>IFERROR(__xludf.DUMMYFUNCTION("""COMPUTED_VALUE"""),"legit cash buyer reviews")</f>
        <v>legit cash buyer reviews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 t="str">
        <f>IFERROR(__xludf.DUMMYFUNCTION("""COMPUTED_VALUE"""),"local cash buyer reviews")</f>
        <v>local cash buyer reviews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 t="str">
        <f>IFERROR(__xludf.DUMMYFUNCTION("""COMPUTED_VALUE"""),"direct cash buyer reviews")</f>
        <v>direct cash buyer reviews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 t="str">
        <f>IFERROR(__xludf.DUMMYFUNCTION("""COMPUTED_VALUE"""),"professional cash buyer reviews")</f>
        <v>professional cash buyer reviews</v>
      </c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 t="str">
        <f>IFERROR(__xludf.DUMMYFUNCTION("""COMPUTED_VALUE"""),"family owned cash buyer reviews")</f>
        <v>family owned cash buyer reviews</v>
      </c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 t="str">
        <f>IFERROR(__xludf.DUMMYFUNCTION("""COMPUTED_VALUE"""),"no fee cash buyer reviews")</f>
        <v>no fee cash buyer reviews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 t="str">
        <f>IFERROR(__xludf.DUMMYFUNCTION("""COMPUTED_VALUE"""),"no commission cash buyer reviews")</f>
        <v>no commission cash buyer reviews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 t="str">
        <f>IFERROR(__xludf.DUMMYFUNCTION("""COMPUTED_VALUE"""),"best cash buyer alternatives")</f>
        <v>best cash buyer alternatives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 t="str">
        <f>IFERROR(__xludf.DUMMYFUNCTION("""COMPUTED_VALUE"""),"reputable cash buyer alternatives")</f>
        <v>reputable cash buyer alternatives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 t="str">
        <f>IFERROR(__xludf.DUMMYFUNCTION("""COMPUTED_VALUE"""),"trusted cash buyer alternatives")</f>
        <v>trusted cash buyer alternatives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 t="str">
        <f>IFERROR(__xludf.DUMMYFUNCTION("""COMPUTED_VALUE"""),"legit cash buyer alternatives")</f>
        <v>legit cash buyer alternatives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 t="str">
        <f>IFERROR(__xludf.DUMMYFUNCTION("""COMPUTED_VALUE"""),"local cash buyer alternatives")</f>
        <v>local cash buyer alternatives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 t="str">
        <f>IFERROR(__xludf.DUMMYFUNCTION("""COMPUTED_VALUE"""),"direct cash buyer alternatives")</f>
        <v>direct cash buyer alternatives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 t="str">
        <f>IFERROR(__xludf.DUMMYFUNCTION("""COMPUTED_VALUE"""),"professional cash buyer alternatives")</f>
        <v>professional cash buyer alternatives</v>
      </c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 t="str">
        <f>IFERROR(__xludf.DUMMYFUNCTION("""COMPUTED_VALUE"""),"family owned cash buyer alternatives")</f>
        <v>family owned cash buyer alternatives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 t="str">
        <f>IFERROR(__xludf.DUMMYFUNCTION("""COMPUTED_VALUE"""),"no fee cash buyer alternatives")</f>
        <v>no fee cash buyer alternatives</v>
      </c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 t="str">
        <f>IFERROR(__xludf.DUMMYFUNCTION("""COMPUTED_VALUE"""),"no commission cash buyer alternatives")</f>
        <v>no commission cash buyer alternatives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 t="str">
        <f>IFERROR(__xludf.DUMMYFUNCTION("""COMPUTED_VALUE"""),"best home buyer alternatives")</f>
        <v>best home buyer alternatives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 t="str">
        <f>IFERROR(__xludf.DUMMYFUNCTION("""COMPUTED_VALUE"""),"reputable home buyer alternatives")</f>
        <v>reputable home buyer alternatives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 t="str">
        <f>IFERROR(__xludf.DUMMYFUNCTION("""COMPUTED_VALUE"""),"trusted home buyer alternatives")</f>
        <v>trusted home buyer alternatives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 t="str">
        <f>IFERROR(__xludf.DUMMYFUNCTION("""COMPUTED_VALUE"""),"legit home buyer alternatives")</f>
        <v>legit home buyer alternatives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 t="str">
        <f>IFERROR(__xludf.DUMMYFUNCTION("""COMPUTED_VALUE"""),"local home buyer alternatives")</f>
        <v>local home buyer alternatives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 t="str">
        <f>IFERROR(__xludf.DUMMYFUNCTION("""COMPUTED_VALUE"""),"direct home buyer alternatives")</f>
        <v>direct home buyer alternatives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 t="str">
        <f>IFERROR(__xludf.DUMMYFUNCTION("""COMPUTED_VALUE"""),"professional home buyer alternatives")</f>
        <v>professional home buyer alternatives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 t="str">
        <f>IFERROR(__xludf.DUMMYFUNCTION("""COMPUTED_VALUE"""),"family owned home buyer alternatives")</f>
        <v>family owned home buyer alternatives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 t="str">
        <f>IFERROR(__xludf.DUMMYFUNCTION("""COMPUTED_VALUE"""),"no fee home buyer alternatives")</f>
        <v>no fee home buyer alternatives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 t="str">
        <f>IFERROR(__xludf.DUMMYFUNCTION("""COMPUTED_VALUE"""),"no commission home buyer alternatives")</f>
        <v>no commission home buyer alternatives</v>
      </c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 t="str">
        <f>IFERROR(__xludf.DUMMYFUNCTION("""COMPUTED_VALUE"""),"best home buyer for motivated sellers")</f>
        <v>best home buyer for motivated sellers</v>
      </c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 t="str">
        <f>IFERROR(__xludf.DUMMYFUNCTION("""COMPUTED_VALUE"""),"reputable home buyer for motivated sellers")</f>
        <v>reputable home buyer for motivated sellers</v>
      </c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 t="str">
        <f>IFERROR(__xludf.DUMMYFUNCTION("""COMPUTED_VALUE"""),"trusted home buyer for motivated sellers")</f>
        <v>trusted home buyer for motivated sellers</v>
      </c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 t="str">
        <f>IFERROR(__xludf.DUMMYFUNCTION("""COMPUTED_VALUE"""),"legit home buyer for motivated sellers")</f>
        <v>legit home buyer for motivated sellers</v>
      </c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 t="str">
        <f>IFERROR(__xludf.DUMMYFUNCTION("""COMPUTED_VALUE"""),"local home buyer for motivated sellers")</f>
        <v>local home buyer for motivated sellers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 t="str">
        <f>IFERROR(__xludf.DUMMYFUNCTION("""COMPUTED_VALUE"""),"direct home buyer for motivated sellers")</f>
        <v>direct home buyer for motivated sellers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 t="str">
        <f>IFERROR(__xludf.DUMMYFUNCTION("""COMPUTED_VALUE"""),"professional home buyer for motivated sellers")</f>
        <v>professional home buyer for motivated sellers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 t="str">
        <f>IFERROR(__xludf.DUMMYFUNCTION("""COMPUTED_VALUE"""),"family owned home buyer for motivated sellers")</f>
        <v>family owned home buyer for motivated sellers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 t="str">
        <f>IFERROR(__xludf.DUMMYFUNCTION("""COMPUTED_VALUE"""),"no fee home buyer for motivated sellers")</f>
        <v>no fee home buyer for motivated sellers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 t="str">
        <f>IFERROR(__xludf.DUMMYFUNCTION("""COMPUTED_VALUE"""),"no commission home buyer for motivated sellers")</f>
        <v>no commission home buyer for motivated sellers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 t="str">
        <f>IFERROR(__xludf.DUMMYFUNCTION("""COMPUTED_VALUE"""),"best home buyer for homeowners")</f>
        <v>best home buyer for homeowners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 t="str">
        <f>IFERROR(__xludf.DUMMYFUNCTION("""COMPUTED_VALUE"""),"reputable home buyer for homeowners")</f>
        <v>reputable home buyer for homeowners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 t="str">
        <f>IFERROR(__xludf.DUMMYFUNCTION("""COMPUTED_VALUE"""),"trusted home buyer for homeowners")</f>
        <v>trusted home buyer for homeowners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 t="str">
        <f>IFERROR(__xludf.DUMMYFUNCTION("""COMPUTED_VALUE"""),"legit home buyer for homeowners")</f>
        <v>legit home buyer for homeowners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 t="str">
        <f>IFERROR(__xludf.DUMMYFUNCTION("""COMPUTED_VALUE"""),"local home buyer for homeowners")</f>
        <v>local home buyer for homeowners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 t="str">
        <f>IFERROR(__xludf.DUMMYFUNCTION("""COMPUTED_VALUE"""),"direct home buyer for homeowners")</f>
        <v>direct home buyer for homeowners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 t="str">
        <f>IFERROR(__xludf.DUMMYFUNCTION("""COMPUTED_VALUE"""),"professional home buyer for homeowners")</f>
        <v>professional home buyer for homeowners</v>
      </c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 t="str">
        <f>IFERROR(__xludf.DUMMYFUNCTION("""COMPUTED_VALUE"""),"family owned home buyer for homeowners")</f>
        <v>family owned home buyer for homeowners</v>
      </c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 t="str">
        <f>IFERROR(__xludf.DUMMYFUNCTION("""COMPUTED_VALUE"""),"no fee home buyer for homeowners")</f>
        <v>no fee home buyer for homeowners</v>
      </c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 t="str">
        <f>IFERROR(__xludf.DUMMYFUNCTION("""COMPUTED_VALUE"""),"no commission home buyer for homeowners")</f>
        <v>no commission home buyer for homeowners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 t="str">
        <f>IFERROR(__xludf.DUMMYFUNCTION("""COMPUTED_VALUE"""),"best")</f>
        <v>best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 t="str">
        <f>IFERROR(__xludf.DUMMYFUNCTION("""COMPUTED_VALUE"""),"reputable")</f>
        <v>reputable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 t="str">
        <f>IFERROR(__xludf.DUMMYFUNCTION("""COMPUTED_VALUE"""),"trusted")</f>
        <v>trusted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 t="str">
        <f>IFERROR(__xludf.DUMMYFUNCTION("""COMPUTED_VALUE"""),"legit")</f>
        <v>legit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 t="str">
        <f>IFERROR(__xludf.DUMMYFUNCTION("""COMPUTED_VALUE"""),"local")</f>
        <v>local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 t="str">
        <f>IFERROR(__xludf.DUMMYFUNCTION("""COMPUTED_VALUE"""),"direct")</f>
        <v>direct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 t="str">
        <f>IFERROR(__xludf.DUMMYFUNCTION("""COMPUTED_VALUE"""),"professional")</f>
        <v>professional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 t="str">
        <f>IFERROR(__xludf.DUMMYFUNCTION("""COMPUTED_VALUE"""),"family owned")</f>
        <v>family owned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 t="str">
        <f>IFERROR(__xludf.DUMMYFUNCTION("""COMPUTED_VALUE"""),"no fee")</f>
        <v>no fee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 t="str">
        <f>IFERROR(__xludf.DUMMYFUNCTION("""COMPUTED_VALUE"""),"no commission")</f>
        <v>no commission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5" width="18.0"/>
    <col customWidth="1" min="9" max="9" width="28.38"/>
  </cols>
  <sheetData>
    <row r="1">
      <c r="A1" s="1"/>
      <c r="B1" s="2" t="s">
        <v>3</v>
      </c>
      <c r="C1" s="2" t="s">
        <v>6</v>
      </c>
      <c r="D1" s="2" t="s">
        <v>10</v>
      </c>
      <c r="E1" s="2" t="s">
        <v>14</v>
      </c>
      <c r="F1" s="2" t="s">
        <v>19</v>
      </c>
      <c r="G1" s="2" t="s">
        <v>23</v>
      </c>
      <c r="H1" s="2" t="s">
        <v>27</v>
      </c>
      <c r="I1" s="3" t="s">
        <v>31</v>
      </c>
      <c r="J1" s="3" t="s">
        <v>39</v>
      </c>
      <c r="K1" s="3" t="s">
        <v>40</v>
      </c>
      <c r="L1" s="1"/>
      <c r="M1" s="5" t="s">
        <v>38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41</v>
      </c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10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1" t="s">
        <v>44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""&amp;$A3))"),"sell house as is fast")</f>
        <v>sell house as is fast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""&amp;$A3))"),"sell home as is fast")</f>
        <v>sell home as is fast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""&amp;$A3))"),"we buy houses as is fast")</f>
        <v>we buy houses as is fast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""&amp;$A3))"),"sell house no repairs fast")</f>
        <v>sell house no repairs fast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""&amp;$A3))"),"sell house no cleanup fast")</f>
        <v>sell house no cleanup fast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""&amp;$A3))"),"sell damaged house fast")</f>
        <v>sell damaged house fast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""&amp;$A3))"),"sell fire damaged house fast")</f>
        <v>sell fire damaged house fast</v>
      </c>
      <c r="I3" s="8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""&amp;$A3))"),"sell water damaged house fast")</f>
        <v>sell water damaged house fast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""&amp;$A3))"),"sell fixer upper fast")</f>
        <v>sell fixer upper fast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""&amp;$A3))"),"sell house in any condition fast")</f>
        <v>sell house in any condition fast</v>
      </c>
      <c r="L3" s="13"/>
      <c r="M3" s="15" t="str">
        <f>IFERROR(__xludf.DUMMYFUNCTION("FLATTEN(B3:K37,B1:K1)"),"sell house as is fast")</f>
        <v>sell house as is fast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1" t="s">
        <v>48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""&amp;$A4))"),"sell house as is quickly")</f>
        <v>sell house as is quickly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""&amp;$A4))"),"sell home as is quickly")</f>
        <v>sell home as is quickly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""&amp;$A4))"),"we buy houses as is quickly")</f>
        <v>we buy houses as is quickly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""&amp;$A4))"),"sell house no repairs quickly")</f>
        <v>sell house no repairs quickly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""&amp;$A4))"),"sell house no cleanup quickly")</f>
        <v>sell house no cleanup quickly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""&amp;$A4))"),"sell damaged house quickly")</f>
        <v>sell damaged house quickly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""&amp;$A4))"),"sell fire damaged house quickly")</f>
        <v>sell fire damaged house quickly</v>
      </c>
      <c r="I4" s="8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""&amp;$A4))"),"sell water damaged house quickly")</f>
        <v>sell water damaged house quickly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""&amp;$A4))"),"sell fixer upper quickly")</f>
        <v>sell fixer upper quickly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""&amp;$A4))"),"sell house in any condition quickly")</f>
        <v>sell house in any condition quickly</v>
      </c>
      <c r="L4" s="13"/>
      <c r="M4" s="15" t="str">
        <f>IFERROR(__xludf.DUMMYFUNCTION("""COMPUTED_VALUE"""),"sell home as is fast")</f>
        <v>sell home as is fast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1" t="s">
        <v>53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""&amp;$A5))"),"sell house as is for cash")</f>
        <v>sell house as is for cash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""&amp;$A5))"),"sell home as is for cash")</f>
        <v>sell home as is for cash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""&amp;$A5))"),"we buy houses as is for cash")</f>
        <v>we buy houses as is for cash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""&amp;$A5))"),"sell house no repairs for cash")</f>
        <v>sell house no repairs for cash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""&amp;$A5))"),"sell house no cleanup for cash")</f>
        <v>sell house no cleanup for cash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""&amp;$A5))"),"sell damaged house for cash")</f>
        <v>sell damaged house for cash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""&amp;$A5))"),"sell fire damaged house for cash")</f>
        <v>sell fire damaged house for cash</v>
      </c>
      <c r="I5" s="8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""&amp;$A5))"),"sell water damaged house for cash")</f>
        <v>sell water damaged house for cash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""&amp;$A5))"),"sell fixer upper for cash")</f>
        <v>sell fixer upper for cash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""&amp;$A5))"),"sell house in any condition for cash")</f>
        <v>sell house in any condition for cash</v>
      </c>
      <c r="L5" s="13"/>
      <c r="M5" s="15" t="str">
        <f>IFERROR(__xludf.DUMMYFUNCTION("""COMPUTED_VALUE"""),"we buy houses as is fast")</f>
        <v>we buy houses as is fast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1" t="s">
        <v>56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""&amp;$A6))"),"sell house as is cash buyer")</f>
        <v>sell house as is cash buyer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""&amp;$A6))"),"sell home as is cash buyer")</f>
        <v>sell home as is cash buyer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""&amp;$A6))"),"we buy houses as is cash buyer")</f>
        <v>we buy houses as is cash buyer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""&amp;$A6))"),"sell house no repairs cash buyer")</f>
        <v>sell house no repairs cash buyer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""&amp;$A6))"),"sell house no cleanup cash buyer")</f>
        <v>sell house no cleanup cash buyer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""&amp;$A6))"),"sell damaged house cash buyer")</f>
        <v>sell damaged house cash buyer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""&amp;$A6))"),"sell fire damaged house cash buyer")</f>
        <v>sell fire damaged house cash buyer</v>
      </c>
      <c r="I6" s="8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""&amp;$A6))"),"sell water damaged house cash buyer")</f>
        <v>sell water damaged house cash buyer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""&amp;$A6))"),"sell fixer upper cash buyer")</f>
        <v>sell fixer upper cash buyer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""&amp;$A6))"),"sell house in any condition cash buyer")</f>
        <v>sell house in any condition cash buyer</v>
      </c>
      <c r="L6" s="13"/>
      <c r="M6" s="15" t="str">
        <f>IFERROR(__xludf.DUMMYFUNCTION("""COMPUTED_VALUE"""),"sell house no repairs fast")</f>
        <v>sell house no repairs fast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1" t="s">
        <v>59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""&amp;$A7))"),"sell house as is without repairs")</f>
        <v>sell house as is without repairs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""&amp;$A7))"),"sell home as is without repairs")</f>
        <v>sell home as is without repairs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""&amp;$A7))"),"we buy houses as is without repairs")</f>
        <v>we buy houses as is without repairs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""&amp;$A7))"),"sell house no repairs without repairs")</f>
        <v>sell house no repairs without repairs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""&amp;$A7))"),"sell house no cleanup without repairs")</f>
        <v>sell house no cleanup without repairs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""&amp;$A7))"),"sell damaged house without repairs")</f>
        <v>sell damaged house without repairs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""&amp;$A7))"),"sell fire damaged house without repairs")</f>
        <v>sell fire damaged house without repairs</v>
      </c>
      <c r="I7" s="8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""&amp;$A7))"),"sell water damaged house without repairs")</f>
        <v>sell water damaged house without repairs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""&amp;$A7))"),"sell fixer upper without repairs")</f>
        <v>sell fixer upper without repairs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""&amp;$A7))"),"sell house in any condition without repairs")</f>
        <v>sell house in any condition without repairs</v>
      </c>
      <c r="L7" s="13"/>
      <c r="M7" s="15" t="str">
        <f>IFERROR(__xludf.DUMMYFUNCTION("""COMPUTED_VALUE"""),"sell house no cleanup fast")</f>
        <v>sell house no cleanup fast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1" t="s">
        <v>63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""&amp;$A8))"),"sell house as is without cleaning")</f>
        <v>sell house as is without cleaning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""&amp;$A8))"),"sell home as is without cleaning")</f>
        <v>sell home as is without cleaning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""&amp;$A8))"),"we buy houses as is without cleaning")</f>
        <v>we buy houses as is without cleaning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""&amp;$A8))"),"sell house no repairs without cleaning")</f>
        <v>sell house no repairs without cleaning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""&amp;$A8))"),"sell house no cleanup without cleaning")</f>
        <v>sell house no cleanup without cleaning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""&amp;$A8))"),"sell damaged house without cleaning")</f>
        <v>sell damaged house without cleaning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""&amp;$A8))"),"sell fire damaged house without cleaning")</f>
        <v>sell fire damaged house without cleaning</v>
      </c>
      <c r="I8" s="8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""&amp;$A8))"),"sell water damaged house without cleaning")</f>
        <v>sell water damaged house without cleaning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""&amp;$A8))"),"sell fixer upper without cleaning")</f>
        <v>sell fixer upper without cleaning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""&amp;$A8))"),"sell house in any condition without cleaning")</f>
        <v>sell house in any condition without cleaning</v>
      </c>
      <c r="L8" s="13"/>
      <c r="M8" s="15" t="str">
        <f>IFERROR(__xludf.DUMMYFUNCTION("""COMPUTED_VALUE"""),"sell damaged house fast")</f>
        <v>sell damaged house fast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1" t="s">
        <v>66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""&amp;$A9))"),"sell house as is without cleanup")</f>
        <v>sell house as is without cleanup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""&amp;$A9))"),"sell home as is without cleanup")</f>
        <v>sell home as is without cleanup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""&amp;$A9))"),"we buy houses as is without cleanup")</f>
        <v>we buy houses as is without cleanup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""&amp;$A9))"),"sell house no repairs without cleanup")</f>
        <v>sell house no repairs without cleanup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""&amp;$A9))"),"sell house no cleanup without cleanup")</f>
        <v>sell house no cleanup without cleanup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""&amp;$A9))"),"sell damaged house without cleanup")</f>
        <v>sell damaged house without cleanup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""&amp;$A9))"),"sell fire damaged house without cleanup")</f>
        <v>sell fire damaged house without cleanup</v>
      </c>
      <c r="I9" s="8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""&amp;$A9))"),"sell water damaged house without cleanup")</f>
        <v>sell water damaged house without cleanup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""&amp;$A9))"),"sell fixer upper without cleanup")</f>
        <v>sell fixer upper without cleanup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""&amp;$A9))"),"sell house in any condition without cleanup")</f>
        <v>sell house in any condition without cleanup</v>
      </c>
      <c r="L9" s="13"/>
      <c r="M9" s="15" t="str">
        <f>IFERROR(__xludf.DUMMYFUNCTION("""COMPUTED_VALUE"""),"sell fire damaged house fast")</f>
        <v>sell fire damaged house fast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1" t="s">
        <v>69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""&amp;$A10))"),"sell house as is no inspection")</f>
        <v>sell house as is no inspection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""&amp;$A10))"),"sell home as is no inspection")</f>
        <v>sell home as is no inspection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""&amp;$A10))"),"we buy houses as is no inspection")</f>
        <v>we buy houses as is no inspection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""&amp;$A10))"),"sell house no repairs no inspection")</f>
        <v>sell house no repairs no inspection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""&amp;$A10))"),"sell house no cleanup no inspection")</f>
        <v>sell house no cleanup no inspection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""&amp;$A10))"),"sell damaged house no inspection")</f>
        <v>sell damaged house no inspection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""&amp;$A10))"),"sell fire damaged house no inspection")</f>
        <v>sell fire damaged house no inspection</v>
      </c>
      <c r="I10" s="8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""&amp;$A10))"),"sell water damaged house no inspection")</f>
        <v>sell water damaged house no inspection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""&amp;$A10))"),"sell fixer upper no inspection")</f>
        <v>sell fixer upper no inspection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""&amp;$A10))"),"sell house in any condition no inspection")</f>
        <v>sell house in any condition no inspection</v>
      </c>
      <c r="L10" s="13"/>
      <c r="M10" s="15" t="str">
        <f>IFERROR(__xludf.DUMMYFUNCTION("""COMPUTED_VALUE"""),"sell water damaged house fast")</f>
        <v>sell water damaged house fast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1" t="s">
        <v>73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""&amp;$A11))"),"sell house as is no appraisal")</f>
        <v>sell house as is no appraisal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""&amp;$A11))"),"sell home as is no appraisal")</f>
        <v>sell home as is no appraisal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""&amp;$A11))"),"we buy houses as is no appraisal")</f>
        <v>we buy houses as is no appraisal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""&amp;$A11))"),"sell house no repairs no appraisal")</f>
        <v>sell house no repairs no appraisal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""&amp;$A11))"),"sell house no cleanup no appraisal")</f>
        <v>sell house no cleanup no appraisal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""&amp;$A11))"),"sell damaged house no appraisal")</f>
        <v>sell damaged house no appraisal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""&amp;$A11))"),"sell fire damaged house no appraisal")</f>
        <v>sell fire damaged house no appraisal</v>
      </c>
      <c r="I11" s="8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""&amp;$A11))"),"sell water damaged house no appraisal")</f>
        <v>sell water damaged house no appraisal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""&amp;$A11))"),"sell fixer upper no appraisal")</f>
        <v>sell fixer upper no appraisal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""&amp;$A11))"),"sell house in any condition no appraisal")</f>
        <v>sell house in any condition no appraisal</v>
      </c>
      <c r="L11" s="13"/>
      <c r="M11" s="15" t="str">
        <f>IFERROR(__xludf.DUMMYFUNCTION("""COMPUTED_VALUE"""),"sell fixer upper fast")</f>
        <v>sell fixer upper fast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1" t="s">
        <v>76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""&amp;$A12))"),"sell house as is no contractor")</f>
        <v>sell house as is no contractor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""&amp;$A12))"),"sell home as is no contractor")</f>
        <v>sell home as is no contractor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""&amp;$A12))"),"we buy houses as is no contractor")</f>
        <v>we buy houses as is no contractor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""&amp;$A12))"),"sell house no repairs no contractor")</f>
        <v>sell house no repairs no contractor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""&amp;$A12))"),"sell house no cleanup no contractor")</f>
        <v>sell house no cleanup no contractor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""&amp;$A12))"),"sell damaged house no contractor")</f>
        <v>sell damaged house no contractor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""&amp;$A12))"),"sell fire damaged house no contractor")</f>
        <v>sell fire damaged house no contractor</v>
      </c>
      <c r="I12" s="8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""&amp;$A12))"),"sell water damaged house no contractor")</f>
        <v>sell water damaged house no contractor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""&amp;$A12))"),"sell fixer upper no contractor")</f>
        <v>sell fixer upper no contractor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""&amp;$A12))"),"sell house in any condition no contractor")</f>
        <v>sell house in any condition no contractor</v>
      </c>
      <c r="L12" s="13"/>
      <c r="M12" s="15" t="str">
        <f>IFERROR(__xludf.DUMMYFUNCTION("""COMPUTED_VALUE"""),"sell house in any condition fast")</f>
        <v>sell house in any condition fast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1" t="s">
        <v>79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""&amp;$A13))"),"sell house as is before repairs")</f>
        <v>sell house as is before repairs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""&amp;$A13))"),"sell home as is before repairs")</f>
        <v>sell home as is before repairs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""&amp;$A13))"),"we buy houses as is before repairs")</f>
        <v>we buy houses as is before repairs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""&amp;$A13))"),"sell house no repairs before repairs")</f>
        <v>sell house no repairs before repairs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""&amp;$A13))"),"sell house no cleanup before repairs")</f>
        <v>sell house no cleanup before repairs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""&amp;$A13))"),"sell damaged house before repairs")</f>
        <v>sell damaged house before repairs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""&amp;$A13))"),"sell fire damaged house before repairs")</f>
        <v>sell fire damaged house before repairs</v>
      </c>
      <c r="I13" s="8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""&amp;$A13))"),"sell water damaged house before repairs")</f>
        <v>sell water damaged house before repairs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""&amp;$A13))"),"sell fixer upper before repairs")</f>
        <v>sell fixer upper before repairs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""&amp;$A13))"),"sell house in any condition before repairs")</f>
        <v>sell house in any condition before repairs</v>
      </c>
      <c r="L13" s="13"/>
      <c r="M13" s="15" t="str">
        <f>IFERROR(__xludf.DUMMYFUNCTION("""COMPUTED_VALUE"""),"sell house as is quickly")</f>
        <v>sell house as is quickly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1" t="s">
        <v>83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""&amp;$A14))"),"sell house as is needs repairs")</f>
        <v>sell house as is needs repairs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""&amp;$A14))"),"sell home as is needs repairs")</f>
        <v>sell home as is needs repairs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""&amp;$A14))"),"we buy houses as is needs repairs")</f>
        <v>we buy houses as is needs repairs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""&amp;$A14))"),"sell house no repairs needs repairs")</f>
        <v>sell house no repairs needs repairs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""&amp;$A14))"),"sell house no cleanup needs repairs")</f>
        <v>sell house no cleanup needs repairs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""&amp;$A14))"),"sell damaged house needs repairs")</f>
        <v>sell damaged house needs repairs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""&amp;$A14))"),"sell fire damaged house needs repairs")</f>
        <v>sell fire damaged house needs repairs</v>
      </c>
      <c r="I14" s="8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""&amp;$A14))"),"sell water damaged house needs repairs")</f>
        <v>sell water damaged house needs repairs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""&amp;$A14))"),"sell fixer upper needs repairs")</f>
        <v>sell fixer upper needs repairs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""&amp;$A14))"),"sell house in any condition needs repairs")</f>
        <v>sell house in any condition needs repairs</v>
      </c>
      <c r="L14" s="13"/>
      <c r="M14" s="15" t="str">
        <f>IFERROR(__xludf.DUMMYFUNCTION("""COMPUTED_VALUE"""),"sell home as is quickly")</f>
        <v>sell home as is quickly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1" t="s">
        <v>86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""&amp;$A15))"),"sell house as is major repairs")</f>
        <v>sell house as is major repairs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""&amp;$A15))"),"sell home as is major repairs")</f>
        <v>sell home as is major repairs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""&amp;$A15))"),"we buy houses as is major repairs")</f>
        <v>we buy houses as is major repairs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""&amp;$A15))"),"sell house no repairs major repairs")</f>
        <v>sell house no repairs major repairs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""&amp;$A15))"),"sell house no cleanup major repairs")</f>
        <v>sell house no cleanup major repairs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""&amp;$A15))"),"sell damaged house major repairs")</f>
        <v>sell damaged house major repairs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""&amp;$A15))"),"sell fire damaged house major repairs")</f>
        <v>sell fire damaged house major repairs</v>
      </c>
      <c r="I15" s="8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""&amp;$A15))"),"sell water damaged house major repairs")</f>
        <v>sell water damaged house major repairs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""&amp;$A15))"),"sell fixer upper major repairs")</f>
        <v>sell fixer upper major repairs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""&amp;$A15))"),"sell house in any condition major repairs")</f>
        <v>sell house in any condition major repairs</v>
      </c>
      <c r="L15" s="13"/>
      <c r="M15" s="15" t="str">
        <f>IFERROR(__xludf.DUMMYFUNCTION("""COMPUTED_VALUE"""),"we buy houses as is quickly")</f>
        <v>we buy houses as is quickly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1" t="s">
        <v>92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""&amp;$A16))"),"sell house as is rundown")</f>
        <v>sell house as is rundown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""&amp;$A16))"),"sell home as is rundown")</f>
        <v>sell home as is rundown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""&amp;$A16))"),"we buy houses as is rundown")</f>
        <v>we buy houses as is rundown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""&amp;$A16))"),"sell house no repairs rundown")</f>
        <v>sell house no repairs rundown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""&amp;$A16))"),"sell house no cleanup rundown")</f>
        <v>sell house no cleanup rundown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""&amp;$A16))"),"sell damaged house rundown")</f>
        <v>sell damaged house rundown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""&amp;$A16))"),"sell fire damaged house rundown")</f>
        <v>sell fire damaged house rundown</v>
      </c>
      <c r="I16" s="8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""&amp;$A16))"),"sell water damaged house rundown")</f>
        <v>sell water damaged house rundown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""&amp;$A16))"),"sell fixer upper rundown")</f>
        <v>sell fixer upper rundown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""&amp;$A16))"),"sell house in any condition rundown")</f>
        <v>sell house in any condition rundown</v>
      </c>
      <c r="L16" s="13"/>
      <c r="M16" s="15" t="str">
        <f>IFERROR(__xludf.DUMMYFUNCTION("""COMPUTED_VALUE"""),"sell house no repairs quickly")</f>
        <v>sell house no repairs quickly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96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""&amp;$A17))"),"sell house as is old house")</f>
        <v>sell house as is old house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""&amp;$A17))"),"sell home as is old house")</f>
        <v>sell home as is old house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""&amp;$A17))"),"we buy houses as is old house")</f>
        <v>we buy houses as is old house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""&amp;$A17))"),"sell house no repairs old house")</f>
        <v>sell house no repairs old house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""&amp;$A17))"),"sell house no cleanup old house")</f>
        <v>sell house no cleanup old house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""&amp;$A17))"),"sell damaged house old house")</f>
        <v>sell damaged house old house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""&amp;$A17))"),"sell fire damaged house old house")</f>
        <v>sell fire damaged house old house</v>
      </c>
      <c r="I17" s="8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""&amp;$A17))"),"sell water damaged house old house")</f>
        <v>sell water damaged house old house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""&amp;$A17))"),"sell fixer upper old house")</f>
        <v>sell fixer upper old house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""&amp;$A17))"),"sell house in any condition old house")</f>
        <v>sell house in any condition old house</v>
      </c>
      <c r="L17" s="13"/>
      <c r="M17" s="15" t="str">
        <f>IFERROR(__xludf.DUMMYFUNCTION("""COMPUTED_VALUE"""),"sell house no cleanup quickly")</f>
        <v>sell house no cleanup quickly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100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""&amp;$A18))"),"sell house as is outdated")</f>
        <v>sell house as is outdated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""&amp;$A18))"),"sell home as is outdated")</f>
        <v>sell home as is outdated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""&amp;$A18))"),"we buy houses as is outdated")</f>
        <v>we buy houses as is outdated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""&amp;$A18))"),"sell house no repairs outdated")</f>
        <v>sell house no repairs outdated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""&amp;$A18))"),"sell house no cleanup outdated")</f>
        <v>sell house no cleanup outdated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""&amp;$A18))"),"sell damaged house outdated")</f>
        <v>sell damaged house outdated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""&amp;$A18))"),"sell fire damaged house outdated")</f>
        <v>sell fire damaged house outdated</v>
      </c>
      <c r="I18" s="8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""&amp;$A18))"),"sell water damaged house outdated")</f>
        <v>sell water damaged house outdated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""&amp;$A18))"),"sell fixer upper outdated")</f>
        <v>sell fixer upper outdated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""&amp;$A18))"),"sell house in any condition outdated")</f>
        <v>sell house in any condition outdated</v>
      </c>
      <c r="L18" s="13"/>
      <c r="M18" s="15" t="str">
        <f>IFERROR(__xludf.DUMMYFUNCTION("""COMPUTED_VALUE"""),"sell damaged house quickly")</f>
        <v>sell damaged house quickly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102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""&amp;$A19))"),"sell house as is code violations")</f>
        <v>sell house as is code violations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""&amp;$A19))"),"sell home as is code violations")</f>
        <v>sell home as is code violations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""&amp;$A19))"),"we buy houses as is code violations")</f>
        <v>we buy houses as is code violations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""&amp;$A19))"),"sell house no repairs code violations")</f>
        <v>sell house no repairs code violations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""&amp;$A19))"),"sell house no cleanup code violations")</f>
        <v>sell house no cleanup code violations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""&amp;$A19))"),"sell damaged house code violations")</f>
        <v>sell damaged house code violations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""&amp;$A19))"),"sell fire damaged house code violations")</f>
        <v>sell fire damaged house code violations</v>
      </c>
      <c r="I19" s="8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""&amp;$A19))"),"sell water damaged house code violations")</f>
        <v>sell water damaged house code violations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""&amp;$A19))"),"sell fixer upper code violations")</f>
        <v>sell fixer upper code violations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""&amp;$A19))"),"sell house in any condition code violations")</f>
        <v>sell house in any condition code violations</v>
      </c>
      <c r="L19" s="13"/>
      <c r="M19" s="15" t="str">
        <f>IFERROR(__xludf.DUMMYFUNCTION("""COMPUTED_VALUE"""),"sell fire damaged house quickly")</f>
        <v>sell fire damaged house quickly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106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""&amp;$A20))"),"sell house as is condemned")</f>
        <v>sell house as is condemned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""&amp;$A20))"),"sell home as is condemned")</f>
        <v>sell home as is condemned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""&amp;$A20))"),"we buy houses as is condemned")</f>
        <v>we buy houses as is condemned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""&amp;$A20))"),"sell house no repairs condemned")</f>
        <v>sell house no repairs condemned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""&amp;$A20))"),"sell house no cleanup condemned")</f>
        <v>sell house no cleanup condemned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""&amp;$A20))"),"sell damaged house condemned")</f>
        <v>sell damaged house condemned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""&amp;$A20))"),"sell fire damaged house condemned")</f>
        <v>sell fire damaged house condemned</v>
      </c>
      <c r="I20" s="8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""&amp;$A20))"),"sell water damaged house condemned")</f>
        <v>sell water damaged house condemned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""&amp;$A20))"),"sell fixer upper condemned")</f>
        <v>sell fixer upper condemned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""&amp;$A20))"),"sell house in any condition condemned")</f>
        <v>sell house in any condition condemned</v>
      </c>
      <c r="L20" s="13"/>
      <c r="M20" s="15" t="str">
        <f>IFERROR(__xludf.DUMMYFUNCTION("""COMPUTED_VALUE"""),"sell water damaged house quickly")</f>
        <v>sell water damaged house quickly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110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""&amp;$A21))"),"sell house as is uninhabitable")</f>
        <v>sell house as is uninhabitable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""&amp;$A21))"),"sell home as is uninhabitable")</f>
        <v>sell home as is uninhabitable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""&amp;$A21))"),"we buy houses as is uninhabitable")</f>
        <v>we buy houses as is uninhabitable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""&amp;$A21))"),"sell house no repairs uninhabitable")</f>
        <v>sell house no repairs uninhabitable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""&amp;$A21))"),"sell house no cleanup uninhabitable")</f>
        <v>sell house no cleanup uninhabitable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""&amp;$A21))"),"sell damaged house uninhabitable")</f>
        <v>sell damaged house uninhabitable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""&amp;$A21))"),"sell fire damaged house uninhabitable")</f>
        <v>sell fire damaged house uninhabitable</v>
      </c>
      <c r="I21" s="8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""&amp;$A21))"),"sell water damaged house uninhabitable")</f>
        <v>sell water damaged house uninhabitable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""&amp;$A21))"),"sell fixer upper uninhabitable")</f>
        <v>sell fixer upper uninhabitable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""&amp;$A21))"),"sell house in any condition uninhabitable")</f>
        <v>sell house in any condition uninhabitable</v>
      </c>
      <c r="L21" s="13"/>
      <c r="M21" s="15" t="str">
        <f>IFERROR(__xludf.DUMMYFUNCTION("""COMPUTED_VALUE"""),"sell fixer upper quickly")</f>
        <v>sell fixer upper quickly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114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""&amp;$A22))"),"sell house as is unfinished construction")</f>
        <v>sell house as is unfinished construction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""&amp;$A22))"),"sell home as is unfinished construction")</f>
        <v>sell home as is unfinished construction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""&amp;$A22))"),"we buy houses as is unfinished construction")</f>
        <v>we buy houses as is unfinished construction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""&amp;$A22))"),"sell house no repairs unfinished construction")</f>
        <v>sell house no repairs unfinished construction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""&amp;$A22))"),"sell house no cleanup unfinished construction")</f>
        <v>sell house no cleanup unfinished construction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""&amp;$A22))"),"sell damaged house unfinished construction")</f>
        <v>sell damaged house unfinished construction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""&amp;$A22))"),"sell fire damaged house unfinished construction")</f>
        <v>sell fire damaged house unfinished construction</v>
      </c>
      <c r="I22" s="8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""&amp;$A22))"),"sell water damaged house unfinished construction")</f>
        <v>sell water damaged house unfinished construction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""&amp;$A22))"),"sell fixer upper unfinished construction")</f>
        <v>sell fixer upper unfinished construction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""&amp;$A22))"),"sell house in any condition unfinished construction")</f>
        <v>sell house in any condition unfinished construction</v>
      </c>
      <c r="L22" s="13"/>
      <c r="M22" s="15" t="str">
        <f>IFERROR(__xludf.DUMMYFUNCTION("""COMPUTED_VALUE"""),"sell house in any condition quickly")</f>
        <v>sell house in any condition quickly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118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""&amp;$A23))"),"sell house as is hoarder house")</f>
        <v>sell house as is hoarder house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""&amp;$A23))"),"sell home as is hoarder house")</f>
        <v>sell home as is hoarder house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""&amp;$A23))"),"we buy houses as is hoarder house")</f>
        <v>we buy houses as is hoarder house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""&amp;$A23))"),"sell house no repairs hoarder house")</f>
        <v>sell house no repairs hoarder house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""&amp;$A23))"),"sell house no cleanup hoarder house")</f>
        <v>sell house no cleanup hoarder house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""&amp;$A23))"),"sell damaged house hoarder house")</f>
        <v>sell damaged house hoarder house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""&amp;$A23))"),"sell fire damaged house hoarder house")</f>
        <v>sell fire damaged house hoarder house</v>
      </c>
      <c r="I23" s="8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""&amp;$A23))"),"sell water damaged house hoarder house")</f>
        <v>sell water damaged house hoarder house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""&amp;$A23))"),"sell fixer upper hoarder house")</f>
        <v>sell fixer upper hoarder house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""&amp;$A23))"),"sell house in any condition hoarder house")</f>
        <v>sell house in any condition hoarder house</v>
      </c>
      <c r="L23" s="13"/>
      <c r="M23" s="15" t="str">
        <f>IFERROR(__xludf.DUMMYFUNCTION("""COMPUTED_VALUE"""),"sell house as is for cash")</f>
        <v>sell house as is for cash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121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""&amp;$A24))"),"sell house as is cluttered")</f>
        <v>sell house as is cluttered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""&amp;$A24))"),"sell home as is cluttered")</f>
        <v>sell home as is cluttered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""&amp;$A24))"),"we buy houses as is cluttered")</f>
        <v>we buy houses as is cluttered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""&amp;$A24))"),"sell house no repairs cluttered")</f>
        <v>sell house no repairs cluttered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""&amp;$A24))"),"sell house no cleanup cluttered")</f>
        <v>sell house no cleanup cluttered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""&amp;$A24))"),"sell damaged house cluttered")</f>
        <v>sell damaged house cluttered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""&amp;$A24))"),"sell fire damaged house cluttered")</f>
        <v>sell fire damaged house cluttered</v>
      </c>
      <c r="I24" s="8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""&amp;$A24))"),"sell water damaged house cluttered")</f>
        <v>sell water damaged house cluttered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""&amp;$A24))"),"sell fixer upper cluttered")</f>
        <v>sell fixer upper cluttered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""&amp;$A24))"),"sell house in any condition cluttered")</f>
        <v>sell house in any condition cluttered</v>
      </c>
      <c r="L24" s="13"/>
      <c r="M24" s="15" t="str">
        <f>IFERROR(__xludf.DUMMYFUNCTION("""COMPUTED_VALUE"""),"sell home as is for cash")</f>
        <v>sell home as is for cash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125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""&amp;$A25))"),"sell house as is mold")</f>
        <v>sell house as is mold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""&amp;$A25))"),"sell home as is mold")</f>
        <v>sell home as is mold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""&amp;$A25))"),"we buy houses as is mold")</f>
        <v>we buy houses as is mold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""&amp;$A25))"),"sell house no repairs mold")</f>
        <v>sell house no repairs mold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""&amp;$A25))"),"sell house no cleanup mold")</f>
        <v>sell house no cleanup mold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""&amp;$A25))"),"sell damaged house mold")</f>
        <v>sell damaged house mold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""&amp;$A25))"),"sell fire damaged house mold")</f>
        <v>sell fire damaged house mold</v>
      </c>
      <c r="I25" s="8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""&amp;$A25))"),"sell water damaged house mold")</f>
        <v>sell water damaged house mold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""&amp;$A25))"),"sell fixer upper mold")</f>
        <v>sell fixer upper mold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""&amp;$A25))"),"sell house in any condition mold")</f>
        <v>sell house in any condition mold</v>
      </c>
      <c r="L25" s="13"/>
      <c r="M25" s="15" t="str">
        <f>IFERROR(__xludf.DUMMYFUNCTION("""COMPUTED_VALUE"""),"we buy houses as is for cash")</f>
        <v>we buy houses as is for cash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129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""&amp;$A26))"),"sell house as is foundation issues")</f>
        <v>sell house as is foundation issues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""&amp;$A26))"),"sell home as is foundation issues")</f>
        <v>sell home as is foundation issues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""&amp;$A26))"),"we buy houses as is foundation issues")</f>
        <v>we buy houses as is foundation issues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""&amp;$A26))"),"sell house no repairs foundation issues")</f>
        <v>sell house no repairs foundation issues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""&amp;$A26))"),"sell house no cleanup foundation issues")</f>
        <v>sell house no cleanup foundation issues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""&amp;$A26))"),"sell damaged house foundation issues")</f>
        <v>sell damaged house foundation issues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""&amp;$A26))"),"sell fire damaged house foundation issues")</f>
        <v>sell fire damaged house foundation issues</v>
      </c>
      <c r="I26" s="8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""&amp;$A26))"),"sell water damaged house foundation issues")</f>
        <v>sell water damaged house foundation issues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""&amp;$A26))"),"sell fixer upper foundation issues")</f>
        <v>sell fixer upper foundation issues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""&amp;$A26))"),"sell house in any condition foundation issues")</f>
        <v>sell house in any condition foundation issues</v>
      </c>
      <c r="L26" s="13"/>
      <c r="M26" s="15" t="str">
        <f>IFERROR(__xludf.DUMMYFUNCTION("""COMPUTED_VALUE"""),"sell house no repairs for cash")</f>
        <v>sell house no repairs for cash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133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""&amp;$A27))"),"sell house as is bad roof")</f>
        <v>sell house as is bad roof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""&amp;$A27))"),"sell home as is bad roof")</f>
        <v>sell home as is bad roof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""&amp;$A27))"),"we buy houses as is bad roof")</f>
        <v>we buy houses as is bad roof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""&amp;$A27))"),"sell house no repairs bad roof")</f>
        <v>sell house no repairs bad roof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""&amp;$A27))"),"sell house no cleanup bad roof")</f>
        <v>sell house no cleanup bad roof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""&amp;$A27))"),"sell damaged house bad roof")</f>
        <v>sell damaged house bad roof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""&amp;$A27))"),"sell fire damaged house bad roof")</f>
        <v>sell fire damaged house bad roof</v>
      </c>
      <c r="I27" s="8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""&amp;$A27))"),"sell water damaged house bad roof")</f>
        <v>sell water damaged house bad roof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""&amp;$A27))"),"sell fixer upper bad roof")</f>
        <v>sell fixer upper bad roof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""&amp;$A27))"),"sell house in any condition bad roof")</f>
        <v>sell house in any condition bad roof</v>
      </c>
      <c r="L27" s="13"/>
      <c r="M27" s="15" t="str">
        <f>IFERROR(__xludf.DUMMYFUNCTION("""COMPUTED_VALUE"""),"sell house no cleanup for cash")</f>
        <v>sell house no cleanup for cash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139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""&amp;$A28))"),"sell house as is structural damage")</f>
        <v>sell house as is structural damage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""&amp;$A28))"),"sell home as is structural damage")</f>
        <v>sell home as is structural damage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""&amp;$A28))"),"we buy houses as is structural damage")</f>
        <v>we buy houses as is structural damage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""&amp;$A28))"),"sell house no repairs structural damage")</f>
        <v>sell house no repairs structural damage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""&amp;$A28))"),"sell house no cleanup structural damage")</f>
        <v>sell house no cleanup structural damage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""&amp;$A28))"),"sell damaged house structural damage")</f>
        <v>sell damaged house structural damage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""&amp;$A28))"),"sell fire damaged house structural damage")</f>
        <v>sell fire damaged house structural damage</v>
      </c>
      <c r="I28" s="8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""&amp;$A28))"),"sell water damaged house structural damage")</f>
        <v>sell water damaged house structural damage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""&amp;$A28))"),"sell fixer upper structural damage")</f>
        <v>sell fixer upper structural damage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""&amp;$A28))"),"sell house in any condition structural damage")</f>
        <v>sell house in any condition structural damage</v>
      </c>
      <c r="L28" s="13"/>
      <c r="M28" s="15" t="str">
        <f>IFERROR(__xludf.DUMMYFUNCTION("""COMPUTED_VALUE"""),"sell damaged house for cash")</f>
        <v>sell damaged house for cash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144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""&amp;$A29))"),"sell house as is tenant damage")</f>
        <v>sell house as is tenant damage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""&amp;$A29))"),"sell home as is tenant damage")</f>
        <v>sell home as is tenant damage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""&amp;$A29))"),"we buy houses as is tenant damage")</f>
        <v>we buy houses as is tenant damage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""&amp;$A29))"),"sell house no repairs tenant damage")</f>
        <v>sell house no repairs tenant damage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""&amp;$A29))"),"sell house no cleanup tenant damage")</f>
        <v>sell house no cleanup tenant damage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""&amp;$A29))"),"sell damaged house tenant damage")</f>
        <v>sell damaged house tenant damage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""&amp;$A29))"),"sell fire damaged house tenant damage")</f>
        <v>sell fire damaged house tenant damage</v>
      </c>
      <c r="I29" s="8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""&amp;$A29))"),"sell water damaged house tenant damage")</f>
        <v>sell water damaged house tenant damage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""&amp;$A29))"),"sell fixer upper tenant damage")</f>
        <v>sell fixer upper tenant damage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""&amp;$A29))"),"sell house in any condition tenant damage")</f>
        <v>sell house in any condition tenant damage</v>
      </c>
      <c r="L29" s="13"/>
      <c r="M29" s="15" t="str">
        <f>IFERROR(__xludf.DUMMYFUNCTION("""COMPUTED_VALUE"""),"sell fire damaged house for cash")</f>
        <v>sell fire damaged house for cash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147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""&amp;$A30))"),"sell house as is vacant")</f>
        <v>sell house as is vacant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""&amp;$A30))"),"sell home as is vacant")</f>
        <v>sell home as is vacant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""&amp;$A30))"),"we buy houses as is vacant")</f>
        <v>we buy houses as is vacant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""&amp;$A30))"),"sell house no repairs vacant")</f>
        <v>sell house no repairs vacant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""&amp;$A30))"),"sell house no cleanup vacant")</f>
        <v>sell house no cleanup vacant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""&amp;$A30))"),"sell damaged house vacant")</f>
        <v>sell damaged house vacant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""&amp;$A30))"),"sell fire damaged house vacant")</f>
        <v>sell fire damaged house vacant</v>
      </c>
      <c r="I30" s="8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""&amp;$A30))"),"sell water damaged house vacant")</f>
        <v>sell water damaged house vacant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""&amp;$A30))"),"sell fixer upper vacant")</f>
        <v>sell fixer upper vacant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""&amp;$A30))"),"sell house in any condition vacant")</f>
        <v>sell house in any condition vacant</v>
      </c>
      <c r="L30" s="13"/>
      <c r="M30" s="15" t="str">
        <f>IFERROR(__xludf.DUMMYFUNCTION("""COMPUTED_VALUE"""),"sell water damaged house for cash")</f>
        <v>sell water damaged house for cash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151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""&amp;$A31))"),"sell house as is abandoned")</f>
        <v>sell house as is abandoned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""&amp;$A31))"),"sell home as is abandoned")</f>
        <v>sell home as is abandoned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""&amp;$A31))"),"we buy houses as is abandoned")</f>
        <v>we buy houses as is abandoned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""&amp;$A31))"),"sell house no repairs abandoned")</f>
        <v>sell house no repairs abandoned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""&amp;$A31))"),"sell house no cleanup abandoned")</f>
        <v>sell house no cleanup abandoned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""&amp;$A31))"),"sell damaged house abandoned")</f>
        <v>sell damaged house abandoned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""&amp;$A31))"),"sell fire damaged house abandoned")</f>
        <v>sell fire damaged house abandoned</v>
      </c>
      <c r="I31" s="8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""&amp;$A31))"),"sell water damaged house abandoned")</f>
        <v>sell water damaged house abandoned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""&amp;$A31))"),"sell fixer upper abandoned")</f>
        <v>sell fixer upper abandoned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""&amp;$A31))"),"sell house in any condition abandoned")</f>
        <v>sell house in any condition abandoned</v>
      </c>
      <c r="L31" s="13"/>
      <c r="M31" s="15" t="str">
        <f>IFERROR(__xludf.DUMMYFUNCTION("""COMPUTED_VALUE"""),"sell fixer upper for cash")</f>
        <v>sell fixer upper for cash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155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""&amp;$A32))"),"sell house as is problem property")</f>
        <v>sell house as is problem property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""&amp;$A32))"),"sell home as is problem property")</f>
        <v>sell home as is problem property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""&amp;$A32))"),"we buy houses as is problem property")</f>
        <v>we buy houses as is problem property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""&amp;$A32))"),"sell house no repairs problem property")</f>
        <v>sell house no repairs problem property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""&amp;$A32))"),"sell house no cleanup problem property")</f>
        <v>sell house no cleanup problem property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""&amp;$A32))"),"sell damaged house problem property")</f>
        <v>sell damaged house problem property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""&amp;$A32))"),"sell fire damaged house problem property")</f>
        <v>sell fire damaged house problem property</v>
      </c>
      <c r="I32" s="8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""&amp;$A32))"),"sell water damaged house problem property")</f>
        <v>sell water damaged house problem property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""&amp;$A32))"),"sell fixer upper problem property")</f>
        <v>sell fixer upper problem property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""&amp;$A32))"),"sell house in any condition problem property")</f>
        <v>sell house in any condition problem property</v>
      </c>
      <c r="L32" s="13"/>
      <c r="M32" s="15" t="str">
        <f>IFERROR(__xludf.DUMMYFUNCTION("""COMPUTED_VALUE"""),"sell house in any condition for cash")</f>
        <v>sell house in any condition for cash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158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""&amp;$A33))"),"sell house as is distressed")</f>
        <v>sell house as is distressed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""&amp;$A33))"),"sell home as is distressed")</f>
        <v>sell home as is distressed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""&amp;$A33))"),"we buy houses as is distressed")</f>
        <v>we buy houses as is distressed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""&amp;$A33))"),"sell house no repairs distressed")</f>
        <v>sell house no repairs distressed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""&amp;$A33))"),"sell house no cleanup distressed")</f>
        <v>sell house no cleanup distressed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""&amp;$A33))"),"sell damaged house distressed")</f>
        <v>sell damaged house distressed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""&amp;$A33))"),"sell fire damaged house distressed")</f>
        <v>sell fire damaged house distressed</v>
      </c>
      <c r="I33" s="8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""&amp;$A33))"),"sell water damaged house distressed")</f>
        <v>sell water damaged house distressed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""&amp;$A33))"),"sell fixer upper distressed")</f>
        <v>sell fixer upper distressed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""&amp;$A33))"),"sell house in any condition distressed")</f>
        <v>sell house in any condition distressed</v>
      </c>
      <c r="L33" s="13"/>
      <c r="M33" s="15" t="str">
        <f>IFERROR(__xludf.DUMMYFUNCTION("""COMPUTED_VALUE"""),"sell house as is cash buyer")</f>
        <v>sell house as is cash buyer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162</v>
      </c>
      <c r="B34" s="12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""&amp;$A34))"),"sell house as is any condition")</f>
        <v>sell house as is any condition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""&amp;$A34))"),"sell home as is any condition")</f>
        <v>sell home as is any condition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""&amp;$A34))"),"we buy houses as is any condition")</f>
        <v>we buy houses as is any condition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""&amp;$A34))"),"sell house no repairs any condition")</f>
        <v>sell house no repairs any condition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""&amp;$A34))"),"sell house no cleanup any condition")</f>
        <v>sell house no cleanup any condition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""&amp;$A34))"),"sell damaged house any condition")</f>
        <v>sell damaged house any condition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""&amp;$A34))"),"sell fire damaged house any condition")</f>
        <v>sell fire damaged house any condition</v>
      </c>
      <c r="I34" s="8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""&amp;$A34))"),"sell water damaged house any condition")</f>
        <v>sell water damaged house any condition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""&amp;$A34))"),"sell fixer upper any condition")</f>
        <v>sell fixer upper any condition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""&amp;$A34))"),"sell house in any condition")</f>
        <v>sell house in any condition</v>
      </c>
      <c r="L34" s="13"/>
      <c r="M34" s="15" t="str">
        <f>IFERROR(__xludf.DUMMYFUNCTION("""COMPUTED_VALUE"""),"sell home as is cash buyer")</f>
        <v>sell home as is cash buyer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1" t="s">
        <v>164</v>
      </c>
      <c r="B35" s="12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""&amp;$A35))"),"sell house as is")</f>
        <v>sell house as is</v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""&amp;$A35))"),"sell home as is")</f>
        <v>sell home as is</v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""&amp;$A35))"),"we buy houses as is")</f>
        <v>we buy houses as is</v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""&amp;$A35))"),"sell house no repairs as is")</f>
        <v>sell house no repairs as is</v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""&amp;$A35))"),"sell house no cleanup as is")</f>
        <v>sell house no cleanup as is</v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""&amp;$A35))"),"sell damaged house as is")</f>
        <v>sell damaged house as is</v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""&amp;$A35))"),"sell fire damaged house as is")</f>
        <v>sell fire damaged house as is</v>
      </c>
      <c r="I35" s="8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""&amp;$A35))"),"sell water damaged house as is")</f>
        <v>sell water damaged house as is</v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""&amp;$A35))"),"sell fixer upper as is")</f>
        <v>sell fixer upper as is</v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""&amp;$A35))"),"sell house in any condition as is")</f>
        <v>sell house in any condition as is</v>
      </c>
      <c r="L35" s="13"/>
      <c r="M35" s="15" t="str">
        <f>IFERROR(__xludf.DUMMYFUNCTION("""COMPUTED_VALUE"""),"we buy houses as is cash buyer")</f>
        <v>we buy houses as is cash buyer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2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""&amp;$A36))"),"")</f>
        <v/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""&amp;$A36))"),"")</f>
        <v/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""&amp;$A36))"),"")</f>
        <v/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""&amp;$A36))"),"")</f>
        <v/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""&amp;$A36))"),"")</f>
        <v/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""&amp;$A36))"),"")</f>
        <v/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""&amp;$A36))"),"")</f>
        <v/>
      </c>
      <c r="I36" s="8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""&amp;$A36))"),"")</f>
        <v/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""&amp;$A36))"),"")</f>
        <v/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""&amp;$A36))"),"")</f>
        <v/>
      </c>
      <c r="L36" s="13"/>
      <c r="M36" s="15" t="str">
        <f>IFERROR(__xludf.DUMMYFUNCTION("""COMPUTED_VALUE"""),"sell house no repairs cash buyer")</f>
        <v>sell house no repairs cash buyer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2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""&amp;$A37))"),"")</f>
        <v/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""&amp;$A37))"),"")</f>
        <v/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""&amp;$A37))"),"")</f>
        <v/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""&amp;$A37))"),"")</f>
        <v/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""&amp;$A37))"),"")</f>
        <v/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""&amp;$A37))"),"")</f>
        <v/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""&amp;$A37))"),"")</f>
        <v/>
      </c>
      <c r="I37" s="8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""&amp;$A37))"),"")</f>
        <v/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""&amp;$A37))"),"")</f>
        <v/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""&amp;$A37))"),"")</f>
        <v/>
      </c>
      <c r="L37" s="13"/>
      <c r="M37" s="15" t="str">
        <f>IFERROR(__xludf.DUMMYFUNCTION("""COMPUTED_VALUE"""),"sell house no cleanup cash buyer")</f>
        <v>sell house no cleanup cash buyer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8"/>
      <c r="J38" s="13"/>
      <c r="K38" s="13"/>
      <c r="L38" s="13"/>
      <c r="M38" s="15" t="str">
        <f>IFERROR(__xludf.DUMMYFUNCTION("""COMPUTED_VALUE"""),"sell damaged house cash buyer")</f>
        <v>sell damaged house cash buyer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8"/>
      <c r="J39" s="13"/>
      <c r="K39" s="13"/>
      <c r="L39" s="13"/>
      <c r="M39" s="15" t="str">
        <f>IFERROR(__xludf.DUMMYFUNCTION("""COMPUTED_VALUE"""),"sell fire damaged house cash buyer")</f>
        <v>sell fire damaged house cash buyer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8"/>
      <c r="J40" s="13"/>
      <c r="K40" s="13"/>
      <c r="L40" s="13"/>
      <c r="M40" s="15" t="str">
        <f>IFERROR(__xludf.DUMMYFUNCTION("""COMPUTED_VALUE"""),"sell water damaged house cash buyer")</f>
        <v>sell water damaged house cash buyer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8"/>
      <c r="J41" s="13"/>
      <c r="K41" s="13"/>
      <c r="L41" s="13"/>
      <c r="M41" s="15" t="str">
        <f>IFERROR(__xludf.DUMMYFUNCTION("""COMPUTED_VALUE"""),"sell fixer upper cash buyer")</f>
        <v>sell fixer upper cash buyer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8"/>
      <c r="J42" s="13"/>
      <c r="K42" s="13"/>
      <c r="L42" s="13"/>
      <c r="M42" s="15" t="str">
        <f>IFERROR(__xludf.DUMMYFUNCTION("""COMPUTED_VALUE"""),"sell house in any condition cash buyer")</f>
        <v>sell house in any condition cash buyer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8"/>
      <c r="J43" s="13"/>
      <c r="K43" s="13"/>
      <c r="L43" s="13"/>
      <c r="M43" s="15" t="str">
        <f>IFERROR(__xludf.DUMMYFUNCTION("""COMPUTED_VALUE"""),"sell house as is without repairs")</f>
        <v>sell house as is without repairs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8"/>
      <c r="J44" s="13"/>
      <c r="K44" s="13"/>
      <c r="L44" s="13"/>
      <c r="M44" s="15" t="str">
        <f>IFERROR(__xludf.DUMMYFUNCTION("""COMPUTED_VALUE"""),"sell home as is without repairs")</f>
        <v>sell home as is without repairs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8"/>
      <c r="J45" s="13"/>
      <c r="K45" s="13"/>
      <c r="L45" s="13"/>
      <c r="M45" s="15" t="str">
        <f>IFERROR(__xludf.DUMMYFUNCTION("""COMPUTED_VALUE"""),"we buy houses as is without repairs")</f>
        <v>we buy houses as is without repairs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8"/>
      <c r="J46" s="13"/>
      <c r="K46" s="13"/>
      <c r="L46" s="13"/>
      <c r="M46" s="15" t="str">
        <f>IFERROR(__xludf.DUMMYFUNCTION("""COMPUTED_VALUE"""),"sell house no repairs without repairs")</f>
        <v>sell house no repairs without repairs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8"/>
      <c r="J47" s="13"/>
      <c r="K47" s="13"/>
      <c r="L47" s="13"/>
      <c r="M47" s="15" t="str">
        <f>IFERROR(__xludf.DUMMYFUNCTION("""COMPUTED_VALUE"""),"sell house no cleanup without repairs")</f>
        <v>sell house no cleanup without repairs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8"/>
      <c r="J48" s="13"/>
      <c r="K48" s="13"/>
      <c r="L48" s="13"/>
      <c r="M48" s="15" t="str">
        <f>IFERROR(__xludf.DUMMYFUNCTION("""COMPUTED_VALUE"""),"sell damaged house without repairs")</f>
        <v>sell damaged house without repairs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8"/>
      <c r="J49" s="13"/>
      <c r="K49" s="13"/>
      <c r="L49" s="13"/>
      <c r="M49" s="15" t="str">
        <f>IFERROR(__xludf.DUMMYFUNCTION("""COMPUTED_VALUE"""),"sell fire damaged house without repairs")</f>
        <v>sell fire damaged house without repairs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8"/>
      <c r="J50" s="13"/>
      <c r="K50" s="13"/>
      <c r="L50" s="13"/>
      <c r="M50" s="15" t="str">
        <f>IFERROR(__xludf.DUMMYFUNCTION("""COMPUTED_VALUE"""),"sell water damaged house without repairs")</f>
        <v>sell water damaged house without repairs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8"/>
      <c r="J51" s="13"/>
      <c r="K51" s="13"/>
      <c r="L51" s="13"/>
      <c r="M51" s="15" t="str">
        <f>IFERROR(__xludf.DUMMYFUNCTION("""COMPUTED_VALUE"""),"sell fixer upper without repairs")</f>
        <v>sell fixer upper without repairs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8"/>
      <c r="J52" s="13"/>
      <c r="K52" s="13"/>
      <c r="L52" s="13"/>
      <c r="M52" s="15" t="str">
        <f>IFERROR(__xludf.DUMMYFUNCTION("""COMPUTED_VALUE"""),"sell house in any condition without repairs")</f>
        <v>sell house in any condition without repairs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8"/>
      <c r="J53" s="13"/>
      <c r="K53" s="13"/>
      <c r="L53" s="13"/>
      <c r="M53" s="15" t="str">
        <f>IFERROR(__xludf.DUMMYFUNCTION("""COMPUTED_VALUE"""),"sell house as is without cleaning")</f>
        <v>sell house as is without cleaning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8"/>
      <c r="J54" s="13"/>
      <c r="K54" s="13"/>
      <c r="L54" s="13"/>
      <c r="M54" s="15" t="str">
        <f>IFERROR(__xludf.DUMMYFUNCTION("""COMPUTED_VALUE"""),"sell home as is without cleaning")</f>
        <v>sell home as is without cleaning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8"/>
      <c r="J55" s="13"/>
      <c r="K55" s="13"/>
      <c r="L55" s="13"/>
      <c r="M55" s="15" t="str">
        <f>IFERROR(__xludf.DUMMYFUNCTION("""COMPUTED_VALUE"""),"we buy houses as is without cleaning")</f>
        <v>we buy houses as is without cleaning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8"/>
      <c r="J56" s="13"/>
      <c r="K56" s="13"/>
      <c r="L56" s="13"/>
      <c r="M56" s="15" t="str">
        <f>IFERROR(__xludf.DUMMYFUNCTION("""COMPUTED_VALUE"""),"sell house no repairs without cleaning")</f>
        <v>sell house no repairs without cleaning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8"/>
      <c r="J57" s="13"/>
      <c r="K57" s="13"/>
      <c r="L57" s="13"/>
      <c r="M57" s="15" t="str">
        <f>IFERROR(__xludf.DUMMYFUNCTION("""COMPUTED_VALUE"""),"sell house no cleanup without cleaning")</f>
        <v>sell house no cleanup without cleaning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8"/>
      <c r="J58" s="13"/>
      <c r="K58" s="13"/>
      <c r="L58" s="13"/>
      <c r="M58" s="15" t="str">
        <f>IFERROR(__xludf.DUMMYFUNCTION("""COMPUTED_VALUE"""),"sell damaged house without cleaning")</f>
        <v>sell damaged house without cleaning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8"/>
      <c r="J59" s="13"/>
      <c r="K59" s="13"/>
      <c r="L59" s="13"/>
      <c r="M59" s="15" t="str">
        <f>IFERROR(__xludf.DUMMYFUNCTION("""COMPUTED_VALUE"""),"sell fire damaged house without cleaning")</f>
        <v>sell fire damaged house without cleaning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8"/>
      <c r="J60" s="13"/>
      <c r="K60" s="13"/>
      <c r="L60" s="13"/>
      <c r="M60" s="15" t="str">
        <f>IFERROR(__xludf.DUMMYFUNCTION("""COMPUTED_VALUE"""),"sell water damaged house without cleaning")</f>
        <v>sell water damaged house without cleaning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8"/>
      <c r="J61" s="13"/>
      <c r="K61" s="13"/>
      <c r="L61" s="13"/>
      <c r="M61" s="15" t="str">
        <f>IFERROR(__xludf.DUMMYFUNCTION("""COMPUTED_VALUE"""),"sell fixer upper without cleaning")</f>
        <v>sell fixer upper without cleaning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8"/>
      <c r="J62" s="13"/>
      <c r="K62" s="13"/>
      <c r="L62" s="13"/>
      <c r="M62" s="15" t="str">
        <f>IFERROR(__xludf.DUMMYFUNCTION("""COMPUTED_VALUE"""),"sell house in any condition without cleaning")</f>
        <v>sell house in any condition without cleaning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8"/>
      <c r="J63" s="13"/>
      <c r="K63" s="13"/>
      <c r="L63" s="13"/>
      <c r="M63" s="15" t="str">
        <f>IFERROR(__xludf.DUMMYFUNCTION("""COMPUTED_VALUE"""),"sell house as is without cleanup")</f>
        <v>sell house as is without cleanup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8"/>
      <c r="J64" s="13"/>
      <c r="K64" s="13"/>
      <c r="L64" s="13"/>
      <c r="M64" s="15" t="str">
        <f>IFERROR(__xludf.DUMMYFUNCTION("""COMPUTED_VALUE"""),"sell home as is without cleanup")</f>
        <v>sell home as is without cleanup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8"/>
      <c r="J65" s="13"/>
      <c r="K65" s="13"/>
      <c r="L65" s="13"/>
      <c r="M65" s="15" t="str">
        <f>IFERROR(__xludf.DUMMYFUNCTION("""COMPUTED_VALUE"""),"we buy houses as is without cleanup")</f>
        <v>we buy houses as is without cleanup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8"/>
      <c r="J66" s="13"/>
      <c r="K66" s="13"/>
      <c r="L66" s="13"/>
      <c r="M66" s="15" t="str">
        <f>IFERROR(__xludf.DUMMYFUNCTION("""COMPUTED_VALUE"""),"sell house no repairs without cleanup")</f>
        <v>sell house no repairs without cleanup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8"/>
      <c r="J67" s="13"/>
      <c r="K67" s="13"/>
      <c r="L67" s="13"/>
      <c r="M67" s="15" t="str">
        <f>IFERROR(__xludf.DUMMYFUNCTION("""COMPUTED_VALUE"""),"sell house no cleanup without cleanup")</f>
        <v>sell house no cleanup without cleanup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8"/>
      <c r="J68" s="13"/>
      <c r="K68" s="13"/>
      <c r="L68" s="13"/>
      <c r="M68" s="15" t="str">
        <f>IFERROR(__xludf.DUMMYFUNCTION("""COMPUTED_VALUE"""),"sell damaged house without cleanup")</f>
        <v>sell damaged house without cleanup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8"/>
      <c r="J69" s="13"/>
      <c r="K69" s="13"/>
      <c r="L69" s="13"/>
      <c r="M69" s="15" t="str">
        <f>IFERROR(__xludf.DUMMYFUNCTION("""COMPUTED_VALUE"""),"sell fire damaged house without cleanup")</f>
        <v>sell fire damaged house without cleanup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8"/>
      <c r="J70" s="13"/>
      <c r="K70" s="13"/>
      <c r="L70" s="13"/>
      <c r="M70" s="15" t="str">
        <f>IFERROR(__xludf.DUMMYFUNCTION("""COMPUTED_VALUE"""),"sell water damaged house without cleanup")</f>
        <v>sell water damaged house without cleanup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8"/>
      <c r="J71" s="13"/>
      <c r="K71" s="13"/>
      <c r="L71" s="13"/>
      <c r="M71" s="15" t="str">
        <f>IFERROR(__xludf.DUMMYFUNCTION("""COMPUTED_VALUE"""),"sell fixer upper without cleanup")</f>
        <v>sell fixer upper without cleanup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8"/>
      <c r="J72" s="13"/>
      <c r="K72" s="13"/>
      <c r="L72" s="13"/>
      <c r="M72" s="15" t="str">
        <f>IFERROR(__xludf.DUMMYFUNCTION("""COMPUTED_VALUE"""),"sell house in any condition without cleanup")</f>
        <v>sell house in any condition without cleanup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8"/>
      <c r="J73" s="13"/>
      <c r="K73" s="13"/>
      <c r="L73" s="13"/>
      <c r="M73" s="15" t="str">
        <f>IFERROR(__xludf.DUMMYFUNCTION("""COMPUTED_VALUE"""),"sell house as is no inspection")</f>
        <v>sell house as is no inspection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8"/>
      <c r="J74" s="13"/>
      <c r="K74" s="13"/>
      <c r="L74" s="13"/>
      <c r="M74" s="15" t="str">
        <f>IFERROR(__xludf.DUMMYFUNCTION("""COMPUTED_VALUE"""),"sell home as is no inspection")</f>
        <v>sell home as is no inspection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8"/>
      <c r="J75" s="13"/>
      <c r="K75" s="13"/>
      <c r="L75" s="13"/>
      <c r="M75" s="15" t="str">
        <f>IFERROR(__xludf.DUMMYFUNCTION("""COMPUTED_VALUE"""),"we buy houses as is no inspection")</f>
        <v>we buy houses as is no inspection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8"/>
      <c r="J76" s="13"/>
      <c r="K76" s="13"/>
      <c r="L76" s="13"/>
      <c r="M76" s="15" t="str">
        <f>IFERROR(__xludf.DUMMYFUNCTION("""COMPUTED_VALUE"""),"sell house no repairs no inspection")</f>
        <v>sell house no repairs no inspection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8"/>
      <c r="J77" s="17"/>
      <c r="K77" s="17"/>
      <c r="L77" s="17"/>
      <c r="M77" s="19" t="str">
        <f>IFERROR(__xludf.DUMMYFUNCTION("""COMPUTED_VALUE"""),"sell house no cleanup no inspection")</f>
        <v>sell house no cleanup no inspection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8"/>
      <c r="J78" s="13"/>
      <c r="K78" s="13"/>
      <c r="L78" s="13"/>
      <c r="M78" s="15" t="str">
        <f>IFERROR(__xludf.DUMMYFUNCTION("""COMPUTED_VALUE"""),"sell damaged house no inspection")</f>
        <v>sell damaged house no inspection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8"/>
      <c r="J79" s="13"/>
      <c r="K79" s="13"/>
      <c r="L79" s="13"/>
      <c r="M79" s="15" t="str">
        <f>IFERROR(__xludf.DUMMYFUNCTION("""COMPUTED_VALUE"""),"sell fire damaged house no inspection")</f>
        <v>sell fire damaged house no inspection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8"/>
      <c r="J80" s="13"/>
      <c r="K80" s="13"/>
      <c r="L80" s="13"/>
      <c r="M80" s="15" t="str">
        <f>IFERROR(__xludf.DUMMYFUNCTION("""COMPUTED_VALUE"""),"sell water damaged house no inspection")</f>
        <v>sell water damaged house no inspection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8"/>
      <c r="J81" s="13"/>
      <c r="K81" s="13"/>
      <c r="L81" s="13"/>
      <c r="M81" s="15" t="str">
        <f>IFERROR(__xludf.DUMMYFUNCTION("""COMPUTED_VALUE"""),"sell fixer upper no inspection")</f>
        <v>sell fixer upper no inspection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8"/>
      <c r="J82" s="13"/>
      <c r="K82" s="13"/>
      <c r="L82" s="13"/>
      <c r="M82" s="15" t="str">
        <f>IFERROR(__xludf.DUMMYFUNCTION("""COMPUTED_VALUE"""),"sell house in any condition no inspection")</f>
        <v>sell house in any condition no inspection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8"/>
      <c r="J83" s="13"/>
      <c r="K83" s="13"/>
      <c r="L83" s="13"/>
      <c r="M83" s="15" t="str">
        <f>IFERROR(__xludf.DUMMYFUNCTION("""COMPUTED_VALUE"""),"sell house as is no appraisal")</f>
        <v>sell house as is no appraisal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8"/>
      <c r="J84" s="13"/>
      <c r="K84" s="13"/>
      <c r="L84" s="13"/>
      <c r="M84" s="15" t="str">
        <f>IFERROR(__xludf.DUMMYFUNCTION("""COMPUTED_VALUE"""),"sell home as is no appraisal")</f>
        <v>sell home as is no appraisal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8"/>
      <c r="J85" s="13"/>
      <c r="K85" s="13"/>
      <c r="L85" s="13"/>
      <c r="M85" s="15" t="str">
        <f>IFERROR(__xludf.DUMMYFUNCTION("""COMPUTED_VALUE"""),"we buy houses as is no appraisal")</f>
        <v>we buy houses as is no appraisal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8"/>
      <c r="J86" s="13"/>
      <c r="K86" s="13"/>
      <c r="L86" s="13"/>
      <c r="M86" s="15" t="str">
        <f>IFERROR(__xludf.DUMMYFUNCTION("""COMPUTED_VALUE"""),"sell house no repairs no appraisal")</f>
        <v>sell house no repairs no appraisal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8"/>
      <c r="J87" s="13"/>
      <c r="K87" s="13"/>
      <c r="L87" s="13"/>
      <c r="M87" s="15" t="str">
        <f>IFERROR(__xludf.DUMMYFUNCTION("""COMPUTED_VALUE"""),"sell house no cleanup no appraisal")</f>
        <v>sell house no cleanup no appraisal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8"/>
      <c r="J88" s="13"/>
      <c r="K88" s="13"/>
      <c r="L88" s="13"/>
      <c r="M88" s="15" t="str">
        <f>IFERROR(__xludf.DUMMYFUNCTION("""COMPUTED_VALUE"""),"sell damaged house no appraisal")</f>
        <v>sell damaged house no appraisal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8"/>
      <c r="J89" s="13"/>
      <c r="K89" s="13"/>
      <c r="L89" s="13"/>
      <c r="M89" s="15" t="str">
        <f>IFERROR(__xludf.DUMMYFUNCTION("""COMPUTED_VALUE"""),"sell fire damaged house no appraisal")</f>
        <v>sell fire damaged house no appraisal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8"/>
      <c r="J90" s="13"/>
      <c r="K90" s="13"/>
      <c r="L90" s="13"/>
      <c r="M90" s="15" t="str">
        <f>IFERROR(__xludf.DUMMYFUNCTION("""COMPUTED_VALUE"""),"sell water damaged house no appraisal")</f>
        <v>sell water damaged house no appraisal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8"/>
      <c r="J91" s="13"/>
      <c r="K91" s="13"/>
      <c r="L91" s="13"/>
      <c r="M91" s="15" t="str">
        <f>IFERROR(__xludf.DUMMYFUNCTION("""COMPUTED_VALUE"""),"sell fixer upper no appraisal")</f>
        <v>sell fixer upper no appraisal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8"/>
      <c r="J92" s="13"/>
      <c r="K92" s="13"/>
      <c r="L92" s="13"/>
      <c r="M92" s="15" t="str">
        <f>IFERROR(__xludf.DUMMYFUNCTION("""COMPUTED_VALUE"""),"sell house in any condition no appraisal")</f>
        <v>sell house in any condition no appraisal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8"/>
      <c r="J93" s="13"/>
      <c r="K93" s="13"/>
      <c r="L93" s="13"/>
      <c r="M93" s="15" t="str">
        <f>IFERROR(__xludf.DUMMYFUNCTION("""COMPUTED_VALUE"""),"sell house as is no contractor")</f>
        <v>sell house as is no contractor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8"/>
      <c r="J94" s="13"/>
      <c r="K94" s="13"/>
      <c r="L94" s="13"/>
      <c r="M94" s="15" t="str">
        <f>IFERROR(__xludf.DUMMYFUNCTION("""COMPUTED_VALUE"""),"sell home as is no contractor")</f>
        <v>sell home as is no contractor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8"/>
      <c r="J95" s="13"/>
      <c r="K95" s="13"/>
      <c r="L95" s="13"/>
      <c r="M95" s="15" t="str">
        <f>IFERROR(__xludf.DUMMYFUNCTION("""COMPUTED_VALUE"""),"we buy houses as is no contractor")</f>
        <v>we buy houses as is no contractor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8"/>
      <c r="J96" s="13"/>
      <c r="K96" s="13"/>
      <c r="L96" s="13"/>
      <c r="M96" s="15" t="str">
        <f>IFERROR(__xludf.DUMMYFUNCTION("""COMPUTED_VALUE"""),"sell house no repairs no contractor")</f>
        <v>sell house no repairs no contractor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8"/>
      <c r="J97" s="13"/>
      <c r="K97" s="13"/>
      <c r="L97" s="13"/>
      <c r="M97" s="15" t="str">
        <f>IFERROR(__xludf.DUMMYFUNCTION("""COMPUTED_VALUE"""),"sell house no cleanup no contractor")</f>
        <v>sell house no cleanup no contractor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8"/>
      <c r="J98" s="13"/>
      <c r="K98" s="13"/>
      <c r="L98" s="13"/>
      <c r="M98" s="15" t="str">
        <f>IFERROR(__xludf.DUMMYFUNCTION("""COMPUTED_VALUE"""),"sell damaged house no contractor")</f>
        <v>sell damaged house no contractor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8"/>
      <c r="J99" s="13"/>
      <c r="K99" s="13"/>
      <c r="L99" s="13"/>
      <c r="M99" s="15" t="str">
        <f>IFERROR(__xludf.DUMMYFUNCTION("""COMPUTED_VALUE"""),"sell fire damaged house no contractor")</f>
        <v>sell fire damaged house no contractor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8"/>
      <c r="J100" s="13"/>
      <c r="K100" s="13"/>
      <c r="L100" s="13"/>
      <c r="M100" s="15" t="str">
        <f>IFERROR(__xludf.DUMMYFUNCTION("""COMPUTED_VALUE"""),"sell water damaged house no contractor")</f>
        <v>sell water damaged house no contractor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8"/>
      <c r="J101" s="13"/>
      <c r="K101" s="13"/>
      <c r="L101" s="13"/>
      <c r="M101" s="15" t="str">
        <f>IFERROR(__xludf.DUMMYFUNCTION("""COMPUTED_VALUE"""),"sell fixer upper no contractor")</f>
        <v>sell fixer upper no contractor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8"/>
      <c r="J102" s="13"/>
      <c r="K102" s="13"/>
      <c r="L102" s="13"/>
      <c r="M102" s="15" t="str">
        <f>IFERROR(__xludf.DUMMYFUNCTION("""COMPUTED_VALUE"""),"sell house in any condition no contractor")</f>
        <v>sell house in any condition no contractor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8"/>
      <c r="J103" s="13"/>
      <c r="K103" s="13"/>
      <c r="L103" s="13"/>
      <c r="M103" s="15" t="str">
        <f>IFERROR(__xludf.DUMMYFUNCTION("""COMPUTED_VALUE"""),"sell house as is before repairs")</f>
        <v>sell house as is before repairs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8"/>
      <c r="J104" s="13"/>
      <c r="K104" s="13"/>
      <c r="L104" s="13"/>
      <c r="M104" s="15" t="str">
        <f>IFERROR(__xludf.DUMMYFUNCTION("""COMPUTED_VALUE"""),"sell home as is before repairs")</f>
        <v>sell home as is before repairs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8"/>
      <c r="J105" s="13"/>
      <c r="K105" s="13"/>
      <c r="L105" s="13"/>
      <c r="M105" s="15" t="str">
        <f>IFERROR(__xludf.DUMMYFUNCTION("""COMPUTED_VALUE"""),"we buy houses as is before repairs")</f>
        <v>we buy houses as is before repairs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8"/>
      <c r="J106" s="13"/>
      <c r="K106" s="13"/>
      <c r="L106" s="13"/>
      <c r="M106" s="15" t="str">
        <f>IFERROR(__xludf.DUMMYFUNCTION("""COMPUTED_VALUE"""),"sell house no repairs before repairs")</f>
        <v>sell house no repairs before repairs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8"/>
      <c r="J107" s="13"/>
      <c r="K107" s="13"/>
      <c r="L107" s="13"/>
      <c r="M107" s="15" t="str">
        <f>IFERROR(__xludf.DUMMYFUNCTION("""COMPUTED_VALUE"""),"sell house no cleanup before repairs")</f>
        <v>sell house no cleanup before repairs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8"/>
      <c r="J108" s="13"/>
      <c r="K108" s="13"/>
      <c r="L108" s="13"/>
      <c r="M108" s="15" t="str">
        <f>IFERROR(__xludf.DUMMYFUNCTION("""COMPUTED_VALUE"""),"sell damaged house before repairs")</f>
        <v>sell damaged house before repairs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8"/>
      <c r="J109" s="13"/>
      <c r="K109" s="13"/>
      <c r="L109" s="13"/>
      <c r="M109" s="15" t="str">
        <f>IFERROR(__xludf.DUMMYFUNCTION("""COMPUTED_VALUE"""),"sell fire damaged house before repairs")</f>
        <v>sell fire damaged house before repairs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8"/>
      <c r="J110" s="13"/>
      <c r="K110" s="13"/>
      <c r="L110" s="13"/>
      <c r="M110" s="15" t="str">
        <f>IFERROR(__xludf.DUMMYFUNCTION("""COMPUTED_VALUE"""),"sell water damaged house before repairs")</f>
        <v>sell water damaged house before repairs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8"/>
      <c r="J111" s="13"/>
      <c r="K111" s="13"/>
      <c r="L111" s="13"/>
      <c r="M111" s="15" t="str">
        <f>IFERROR(__xludf.DUMMYFUNCTION("""COMPUTED_VALUE"""),"sell fixer upper before repairs")</f>
        <v>sell fixer upper before repairs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8"/>
      <c r="J112" s="13"/>
      <c r="K112" s="13"/>
      <c r="L112" s="13"/>
      <c r="M112" s="15" t="str">
        <f>IFERROR(__xludf.DUMMYFUNCTION("""COMPUTED_VALUE"""),"sell house in any condition before repairs")</f>
        <v>sell house in any condition before repairs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8"/>
      <c r="J113" s="13"/>
      <c r="K113" s="13"/>
      <c r="L113" s="13"/>
      <c r="M113" s="15" t="str">
        <f>IFERROR(__xludf.DUMMYFUNCTION("""COMPUTED_VALUE"""),"sell house as is needs repairs")</f>
        <v>sell house as is needs repairs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8"/>
      <c r="J114" s="13"/>
      <c r="K114" s="13"/>
      <c r="L114" s="13"/>
      <c r="M114" s="15" t="str">
        <f>IFERROR(__xludf.DUMMYFUNCTION("""COMPUTED_VALUE"""),"sell home as is needs repairs")</f>
        <v>sell home as is needs repairs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8"/>
      <c r="J115" s="13"/>
      <c r="K115" s="13"/>
      <c r="L115" s="13"/>
      <c r="M115" s="15" t="str">
        <f>IFERROR(__xludf.DUMMYFUNCTION("""COMPUTED_VALUE"""),"we buy houses as is needs repairs")</f>
        <v>we buy houses as is needs repairs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8"/>
      <c r="J116" s="13"/>
      <c r="K116" s="13"/>
      <c r="L116" s="13"/>
      <c r="M116" s="15" t="str">
        <f>IFERROR(__xludf.DUMMYFUNCTION("""COMPUTED_VALUE"""),"sell house no repairs needs repairs")</f>
        <v>sell house no repairs needs repairs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8"/>
      <c r="J117" s="13"/>
      <c r="K117" s="13"/>
      <c r="L117" s="13"/>
      <c r="M117" s="15" t="str">
        <f>IFERROR(__xludf.DUMMYFUNCTION("""COMPUTED_VALUE"""),"sell house no cleanup needs repairs")</f>
        <v>sell house no cleanup needs repairs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8"/>
      <c r="J118" s="13"/>
      <c r="K118" s="13"/>
      <c r="L118" s="13"/>
      <c r="M118" s="15" t="str">
        <f>IFERROR(__xludf.DUMMYFUNCTION("""COMPUTED_VALUE"""),"sell damaged house needs repairs")</f>
        <v>sell damaged house needs repairs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8"/>
      <c r="J119" s="13"/>
      <c r="K119" s="13"/>
      <c r="L119" s="13"/>
      <c r="M119" s="15" t="str">
        <f>IFERROR(__xludf.DUMMYFUNCTION("""COMPUTED_VALUE"""),"sell fire damaged house needs repairs")</f>
        <v>sell fire damaged house needs repairs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8"/>
      <c r="J120" s="13"/>
      <c r="K120" s="13"/>
      <c r="L120" s="13"/>
      <c r="M120" s="15" t="str">
        <f>IFERROR(__xludf.DUMMYFUNCTION("""COMPUTED_VALUE"""),"sell water damaged house needs repairs")</f>
        <v>sell water damaged house needs repairs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8"/>
      <c r="J121" s="13"/>
      <c r="K121" s="13"/>
      <c r="L121" s="13"/>
      <c r="M121" s="15" t="str">
        <f>IFERROR(__xludf.DUMMYFUNCTION("""COMPUTED_VALUE"""),"sell fixer upper needs repairs")</f>
        <v>sell fixer upper needs repairs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8"/>
      <c r="J122" s="13"/>
      <c r="K122" s="13"/>
      <c r="L122" s="13"/>
      <c r="M122" s="15" t="str">
        <f>IFERROR(__xludf.DUMMYFUNCTION("""COMPUTED_VALUE"""),"sell house in any condition needs repairs")</f>
        <v>sell house in any condition needs repairs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8"/>
      <c r="J123" s="13"/>
      <c r="K123" s="13"/>
      <c r="L123" s="13"/>
      <c r="M123" s="15" t="str">
        <f>IFERROR(__xludf.DUMMYFUNCTION("""COMPUTED_VALUE"""),"sell house as is major repairs")</f>
        <v>sell house as is major repairs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8"/>
      <c r="J124" s="13"/>
      <c r="K124" s="13"/>
      <c r="L124" s="13"/>
      <c r="M124" s="15" t="str">
        <f>IFERROR(__xludf.DUMMYFUNCTION("""COMPUTED_VALUE"""),"sell home as is major repairs")</f>
        <v>sell home as is major repairs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8"/>
      <c r="J125" s="13"/>
      <c r="K125" s="13"/>
      <c r="L125" s="13"/>
      <c r="M125" s="15" t="str">
        <f>IFERROR(__xludf.DUMMYFUNCTION("""COMPUTED_VALUE"""),"we buy houses as is major repairs")</f>
        <v>we buy houses as is major repairs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8"/>
      <c r="J126" s="13"/>
      <c r="K126" s="13"/>
      <c r="L126" s="13"/>
      <c r="M126" s="15" t="str">
        <f>IFERROR(__xludf.DUMMYFUNCTION("""COMPUTED_VALUE"""),"sell house no repairs major repairs")</f>
        <v>sell house no repairs major repairs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8"/>
      <c r="J127" s="13"/>
      <c r="K127" s="13"/>
      <c r="L127" s="13"/>
      <c r="M127" s="15" t="str">
        <f>IFERROR(__xludf.DUMMYFUNCTION("""COMPUTED_VALUE"""),"sell house no cleanup major repairs")</f>
        <v>sell house no cleanup major repairs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8"/>
      <c r="J128" s="13"/>
      <c r="K128" s="13"/>
      <c r="L128" s="13"/>
      <c r="M128" s="15" t="str">
        <f>IFERROR(__xludf.DUMMYFUNCTION("""COMPUTED_VALUE"""),"sell damaged house major repairs")</f>
        <v>sell damaged house major repairs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8"/>
      <c r="J129" s="13"/>
      <c r="K129" s="13"/>
      <c r="L129" s="13"/>
      <c r="M129" s="15" t="str">
        <f>IFERROR(__xludf.DUMMYFUNCTION("""COMPUTED_VALUE"""),"sell fire damaged house major repairs")</f>
        <v>sell fire damaged house major repairs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8"/>
      <c r="J130" s="13"/>
      <c r="K130" s="13"/>
      <c r="L130" s="13"/>
      <c r="M130" s="15" t="str">
        <f>IFERROR(__xludf.DUMMYFUNCTION("""COMPUTED_VALUE"""),"sell water damaged house major repairs")</f>
        <v>sell water damaged house major repairs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8"/>
      <c r="J131" s="13"/>
      <c r="K131" s="13"/>
      <c r="L131" s="13"/>
      <c r="M131" s="15" t="str">
        <f>IFERROR(__xludf.DUMMYFUNCTION("""COMPUTED_VALUE"""),"sell fixer upper major repairs")</f>
        <v>sell fixer upper major repairs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8"/>
      <c r="J132" s="13"/>
      <c r="K132" s="13"/>
      <c r="L132" s="13"/>
      <c r="M132" s="15" t="str">
        <f>IFERROR(__xludf.DUMMYFUNCTION("""COMPUTED_VALUE"""),"sell house in any condition major repairs")</f>
        <v>sell house in any condition major repairs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8"/>
      <c r="J133" s="13"/>
      <c r="K133" s="13"/>
      <c r="L133" s="13"/>
      <c r="M133" s="15" t="str">
        <f>IFERROR(__xludf.DUMMYFUNCTION("""COMPUTED_VALUE"""),"sell house as is rundown")</f>
        <v>sell house as is rundown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8"/>
      <c r="J134" s="13"/>
      <c r="K134" s="13"/>
      <c r="L134" s="13"/>
      <c r="M134" s="15" t="str">
        <f>IFERROR(__xludf.DUMMYFUNCTION("""COMPUTED_VALUE"""),"sell home as is rundown")</f>
        <v>sell home as is rundown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8"/>
      <c r="J135" s="13"/>
      <c r="K135" s="13"/>
      <c r="L135" s="13"/>
      <c r="M135" s="15" t="str">
        <f>IFERROR(__xludf.DUMMYFUNCTION("""COMPUTED_VALUE"""),"we buy houses as is rundown")</f>
        <v>we buy houses as is rundown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8"/>
      <c r="J136" s="13"/>
      <c r="K136" s="13"/>
      <c r="L136" s="13"/>
      <c r="M136" s="15" t="str">
        <f>IFERROR(__xludf.DUMMYFUNCTION("""COMPUTED_VALUE"""),"sell house no repairs rundown")</f>
        <v>sell house no repairs rundown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8"/>
      <c r="J137" s="13"/>
      <c r="K137" s="13"/>
      <c r="L137" s="13"/>
      <c r="M137" s="15" t="str">
        <f>IFERROR(__xludf.DUMMYFUNCTION("""COMPUTED_VALUE"""),"sell house no cleanup rundown")</f>
        <v>sell house no cleanup rundown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8"/>
      <c r="J138" s="13"/>
      <c r="K138" s="13"/>
      <c r="L138" s="13"/>
      <c r="M138" s="15" t="str">
        <f>IFERROR(__xludf.DUMMYFUNCTION("""COMPUTED_VALUE"""),"sell damaged house rundown")</f>
        <v>sell damaged house rundown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8"/>
      <c r="J139" s="13"/>
      <c r="K139" s="13"/>
      <c r="L139" s="13"/>
      <c r="M139" s="15" t="str">
        <f>IFERROR(__xludf.DUMMYFUNCTION("""COMPUTED_VALUE"""),"sell fire damaged house rundown")</f>
        <v>sell fire damaged house rundown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8"/>
      <c r="J140" s="13"/>
      <c r="K140" s="13"/>
      <c r="L140" s="13"/>
      <c r="M140" s="15" t="str">
        <f>IFERROR(__xludf.DUMMYFUNCTION("""COMPUTED_VALUE"""),"sell water damaged house rundown")</f>
        <v>sell water damaged house rundown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8"/>
      <c r="J141" s="13"/>
      <c r="K141" s="13"/>
      <c r="L141" s="13"/>
      <c r="M141" s="15" t="str">
        <f>IFERROR(__xludf.DUMMYFUNCTION("""COMPUTED_VALUE"""),"sell fixer upper rundown")</f>
        <v>sell fixer upper rundown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8"/>
      <c r="J142" s="13"/>
      <c r="K142" s="13"/>
      <c r="L142" s="13"/>
      <c r="M142" s="15" t="str">
        <f>IFERROR(__xludf.DUMMYFUNCTION("""COMPUTED_VALUE"""),"sell house in any condition rundown")</f>
        <v>sell house in any condition rundown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8"/>
      <c r="J143" s="13"/>
      <c r="K143" s="13"/>
      <c r="L143" s="13"/>
      <c r="M143" s="15" t="str">
        <f>IFERROR(__xludf.DUMMYFUNCTION("""COMPUTED_VALUE"""),"sell house as is old house")</f>
        <v>sell house as is old house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8"/>
      <c r="J144" s="13"/>
      <c r="K144" s="13"/>
      <c r="L144" s="13"/>
      <c r="M144" s="15" t="str">
        <f>IFERROR(__xludf.DUMMYFUNCTION("""COMPUTED_VALUE"""),"sell home as is old house")</f>
        <v>sell home as is old house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8"/>
      <c r="J145" s="13"/>
      <c r="K145" s="13"/>
      <c r="L145" s="13"/>
      <c r="M145" s="15" t="str">
        <f>IFERROR(__xludf.DUMMYFUNCTION("""COMPUTED_VALUE"""),"we buy houses as is old house")</f>
        <v>we buy houses as is old house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8"/>
      <c r="J146" s="13"/>
      <c r="K146" s="13"/>
      <c r="L146" s="13"/>
      <c r="M146" s="15" t="str">
        <f>IFERROR(__xludf.DUMMYFUNCTION("""COMPUTED_VALUE"""),"sell house no repairs old house")</f>
        <v>sell house no repairs old house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8"/>
      <c r="J147" s="13"/>
      <c r="K147" s="13"/>
      <c r="L147" s="13"/>
      <c r="M147" s="15" t="str">
        <f>IFERROR(__xludf.DUMMYFUNCTION("""COMPUTED_VALUE"""),"sell house no cleanup old house")</f>
        <v>sell house no cleanup old house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8"/>
      <c r="J148" s="13"/>
      <c r="K148" s="13"/>
      <c r="L148" s="13"/>
      <c r="M148" s="15" t="str">
        <f>IFERROR(__xludf.DUMMYFUNCTION("""COMPUTED_VALUE"""),"sell damaged house old house")</f>
        <v>sell damaged house old house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8"/>
      <c r="J149" s="13"/>
      <c r="K149" s="13"/>
      <c r="L149" s="13"/>
      <c r="M149" s="15" t="str">
        <f>IFERROR(__xludf.DUMMYFUNCTION("""COMPUTED_VALUE"""),"sell fire damaged house old house")</f>
        <v>sell fire damaged house old house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8"/>
      <c r="J150" s="13"/>
      <c r="K150" s="13"/>
      <c r="L150" s="13"/>
      <c r="M150" s="15" t="str">
        <f>IFERROR(__xludf.DUMMYFUNCTION("""COMPUTED_VALUE"""),"sell water damaged house old house")</f>
        <v>sell water damaged house old house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8"/>
      <c r="J151" s="13"/>
      <c r="K151" s="13"/>
      <c r="L151" s="13"/>
      <c r="M151" s="15" t="str">
        <f>IFERROR(__xludf.DUMMYFUNCTION("""COMPUTED_VALUE"""),"sell fixer upper old house")</f>
        <v>sell fixer upper old house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8"/>
      <c r="J152" s="13"/>
      <c r="K152" s="13"/>
      <c r="L152" s="13"/>
      <c r="M152" s="15" t="str">
        <f>IFERROR(__xludf.DUMMYFUNCTION("""COMPUTED_VALUE"""),"sell house in any condition old house")</f>
        <v>sell house in any condition old house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8"/>
      <c r="J153" s="13"/>
      <c r="K153" s="13"/>
      <c r="L153" s="13"/>
      <c r="M153" s="15" t="str">
        <f>IFERROR(__xludf.DUMMYFUNCTION("""COMPUTED_VALUE"""),"sell house as is outdated")</f>
        <v>sell house as is outdated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8"/>
      <c r="J154" s="13"/>
      <c r="K154" s="13"/>
      <c r="L154" s="13"/>
      <c r="M154" s="15" t="str">
        <f>IFERROR(__xludf.DUMMYFUNCTION("""COMPUTED_VALUE"""),"sell home as is outdated")</f>
        <v>sell home as is outdated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8"/>
      <c r="J155" s="13"/>
      <c r="K155" s="13"/>
      <c r="L155" s="13"/>
      <c r="M155" s="15" t="str">
        <f>IFERROR(__xludf.DUMMYFUNCTION("""COMPUTED_VALUE"""),"we buy houses as is outdated")</f>
        <v>we buy houses as is outdated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8"/>
      <c r="J156" s="13"/>
      <c r="K156" s="13"/>
      <c r="L156" s="13"/>
      <c r="M156" s="15" t="str">
        <f>IFERROR(__xludf.DUMMYFUNCTION("""COMPUTED_VALUE"""),"sell house no repairs outdated")</f>
        <v>sell house no repairs outdated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8"/>
      <c r="J157" s="13"/>
      <c r="K157" s="13"/>
      <c r="L157" s="13"/>
      <c r="M157" s="15" t="str">
        <f>IFERROR(__xludf.DUMMYFUNCTION("""COMPUTED_VALUE"""),"sell house no cleanup outdated")</f>
        <v>sell house no cleanup outdated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8"/>
      <c r="J158" s="13"/>
      <c r="K158" s="13"/>
      <c r="L158" s="13"/>
      <c r="M158" s="15" t="str">
        <f>IFERROR(__xludf.DUMMYFUNCTION("""COMPUTED_VALUE"""),"sell damaged house outdated")</f>
        <v>sell damaged house outdated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8"/>
      <c r="J159" s="13"/>
      <c r="K159" s="13"/>
      <c r="L159" s="13"/>
      <c r="M159" s="15" t="str">
        <f>IFERROR(__xludf.DUMMYFUNCTION("""COMPUTED_VALUE"""),"sell fire damaged house outdated")</f>
        <v>sell fire damaged house outdated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8"/>
      <c r="J160" s="13"/>
      <c r="K160" s="13"/>
      <c r="L160" s="13"/>
      <c r="M160" s="15" t="str">
        <f>IFERROR(__xludf.DUMMYFUNCTION("""COMPUTED_VALUE"""),"sell water damaged house outdated")</f>
        <v>sell water damaged house outdated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8"/>
      <c r="J161" s="13"/>
      <c r="K161" s="13"/>
      <c r="L161" s="13"/>
      <c r="M161" s="15" t="str">
        <f>IFERROR(__xludf.DUMMYFUNCTION("""COMPUTED_VALUE"""),"sell fixer upper outdated")</f>
        <v>sell fixer upper outdated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8"/>
      <c r="J162" s="13"/>
      <c r="K162" s="13"/>
      <c r="L162" s="13"/>
      <c r="M162" s="15" t="str">
        <f>IFERROR(__xludf.DUMMYFUNCTION("""COMPUTED_VALUE"""),"sell house in any condition outdated")</f>
        <v>sell house in any condition outdated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8"/>
      <c r="J163" s="13"/>
      <c r="K163" s="13"/>
      <c r="L163" s="13"/>
      <c r="M163" s="15" t="str">
        <f>IFERROR(__xludf.DUMMYFUNCTION("""COMPUTED_VALUE"""),"sell house as is code violations")</f>
        <v>sell house as is code violations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8"/>
      <c r="J164" s="13"/>
      <c r="K164" s="13"/>
      <c r="L164" s="13"/>
      <c r="M164" s="15" t="str">
        <f>IFERROR(__xludf.DUMMYFUNCTION("""COMPUTED_VALUE"""),"sell home as is code violations")</f>
        <v>sell home as is code violations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8"/>
      <c r="J165" s="13"/>
      <c r="K165" s="13"/>
      <c r="L165" s="13"/>
      <c r="M165" s="15" t="str">
        <f>IFERROR(__xludf.DUMMYFUNCTION("""COMPUTED_VALUE"""),"we buy houses as is code violations")</f>
        <v>we buy houses as is code violations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8"/>
      <c r="J166" s="13"/>
      <c r="K166" s="13"/>
      <c r="L166" s="13"/>
      <c r="M166" s="15" t="str">
        <f>IFERROR(__xludf.DUMMYFUNCTION("""COMPUTED_VALUE"""),"sell house no repairs code violations")</f>
        <v>sell house no repairs code violations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8"/>
      <c r="J167" s="13"/>
      <c r="K167" s="13"/>
      <c r="L167" s="13"/>
      <c r="M167" s="15" t="str">
        <f>IFERROR(__xludf.DUMMYFUNCTION("""COMPUTED_VALUE"""),"sell house no cleanup code violations")</f>
        <v>sell house no cleanup code violations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8"/>
      <c r="J168" s="13"/>
      <c r="K168" s="13"/>
      <c r="L168" s="13"/>
      <c r="M168" s="15" t="str">
        <f>IFERROR(__xludf.DUMMYFUNCTION("""COMPUTED_VALUE"""),"sell damaged house code violations")</f>
        <v>sell damaged house code violations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8"/>
      <c r="J169" s="13"/>
      <c r="K169" s="13"/>
      <c r="L169" s="13"/>
      <c r="M169" s="15" t="str">
        <f>IFERROR(__xludf.DUMMYFUNCTION("""COMPUTED_VALUE"""),"sell fire damaged house code violations")</f>
        <v>sell fire damaged house code violations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8"/>
      <c r="J170" s="13"/>
      <c r="K170" s="13"/>
      <c r="L170" s="13"/>
      <c r="M170" s="15" t="str">
        <f>IFERROR(__xludf.DUMMYFUNCTION("""COMPUTED_VALUE"""),"sell water damaged house code violations")</f>
        <v>sell water damaged house code violations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8"/>
      <c r="J171" s="13"/>
      <c r="K171" s="13"/>
      <c r="L171" s="13"/>
      <c r="M171" s="15" t="str">
        <f>IFERROR(__xludf.DUMMYFUNCTION("""COMPUTED_VALUE"""),"sell fixer upper code violations")</f>
        <v>sell fixer upper code violations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8"/>
      <c r="J172" s="13"/>
      <c r="K172" s="13"/>
      <c r="L172" s="13"/>
      <c r="M172" s="15" t="str">
        <f>IFERROR(__xludf.DUMMYFUNCTION("""COMPUTED_VALUE"""),"sell house in any condition code violations")</f>
        <v>sell house in any condition code violations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8"/>
      <c r="J173" s="13"/>
      <c r="K173" s="13"/>
      <c r="L173" s="13"/>
      <c r="M173" s="15" t="str">
        <f>IFERROR(__xludf.DUMMYFUNCTION("""COMPUTED_VALUE"""),"sell house as is condemned")</f>
        <v>sell house as is condemned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8"/>
      <c r="J174" s="13"/>
      <c r="K174" s="13"/>
      <c r="L174" s="13"/>
      <c r="M174" s="15" t="str">
        <f>IFERROR(__xludf.DUMMYFUNCTION("""COMPUTED_VALUE"""),"sell home as is condemned")</f>
        <v>sell home as is condemned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8"/>
      <c r="J175" s="13"/>
      <c r="K175" s="13"/>
      <c r="L175" s="13"/>
      <c r="M175" s="15" t="str">
        <f>IFERROR(__xludf.DUMMYFUNCTION("""COMPUTED_VALUE"""),"we buy houses as is condemned")</f>
        <v>we buy houses as is condemned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8"/>
      <c r="J176" s="13"/>
      <c r="K176" s="13"/>
      <c r="L176" s="13"/>
      <c r="M176" s="15" t="str">
        <f>IFERROR(__xludf.DUMMYFUNCTION("""COMPUTED_VALUE"""),"sell house no repairs condemned")</f>
        <v>sell house no repairs condemned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8"/>
      <c r="J177" s="13"/>
      <c r="K177" s="13"/>
      <c r="L177" s="13"/>
      <c r="M177" s="15" t="str">
        <f>IFERROR(__xludf.DUMMYFUNCTION("""COMPUTED_VALUE"""),"sell house no cleanup condemned")</f>
        <v>sell house no cleanup condemned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8"/>
      <c r="J178" s="13"/>
      <c r="K178" s="13"/>
      <c r="L178" s="13"/>
      <c r="M178" s="15" t="str">
        <f>IFERROR(__xludf.DUMMYFUNCTION("""COMPUTED_VALUE"""),"sell damaged house condemned")</f>
        <v>sell damaged house condemned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8"/>
      <c r="J179" s="13"/>
      <c r="K179" s="13"/>
      <c r="L179" s="13"/>
      <c r="M179" s="15" t="str">
        <f>IFERROR(__xludf.DUMMYFUNCTION("""COMPUTED_VALUE"""),"sell fire damaged house condemned")</f>
        <v>sell fire damaged house condemned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8"/>
      <c r="J180" s="13"/>
      <c r="K180" s="13"/>
      <c r="L180" s="13"/>
      <c r="M180" s="15" t="str">
        <f>IFERROR(__xludf.DUMMYFUNCTION("""COMPUTED_VALUE"""),"sell water damaged house condemned")</f>
        <v>sell water damaged house condemned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8"/>
      <c r="J181" s="13"/>
      <c r="K181" s="13"/>
      <c r="L181" s="13"/>
      <c r="M181" s="15" t="str">
        <f>IFERROR(__xludf.DUMMYFUNCTION("""COMPUTED_VALUE"""),"sell fixer upper condemned")</f>
        <v>sell fixer upper condemned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8"/>
      <c r="J182" s="13"/>
      <c r="K182" s="13"/>
      <c r="L182" s="13"/>
      <c r="M182" s="15" t="str">
        <f>IFERROR(__xludf.DUMMYFUNCTION("""COMPUTED_VALUE"""),"sell house in any condition condemned")</f>
        <v>sell house in any condition condemned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8"/>
      <c r="J183" s="13"/>
      <c r="K183" s="13"/>
      <c r="L183" s="13"/>
      <c r="M183" s="15" t="str">
        <f>IFERROR(__xludf.DUMMYFUNCTION("""COMPUTED_VALUE"""),"sell house as is uninhabitable")</f>
        <v>sell house as is uninhabitable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8"/>
      <c r="J184" s="13"/>
      <c r="K184" s="13"/>
      <c r="L184" s="13"/>
      <c r="M184" s="15" t="str">
        <f>IFERROR(__xludf.DUMMYFUNCTION("""COMPUTED_VALUE"""),"sell home as is uninhabitable")</f>
        <v>sell home as is uninhabitable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8"/>
      <c r="J185" s="13"/>
      <c r="K185" s="13"/>
      <c r="L185" s="13"/>
      <c r="M185" s="15" t="str">
        <f>IFERROR(__xludf.DUMMYFUNCTION("""COMPUTED_VALUE"""),"we buy houses as is uninhabitable")</f>
        <v>we buy houses as is uninhabitable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8"/>
      <c r="J186" s="13"/>
      <c r="K186" s="13"/>
      <c r="L186" s="13"/>
      <c r="M186" s="15" t="str">
        <f>IFERROR(__xludf.DUMMYFUNCTION("""COMPUTED_VALUE"""),"sell house no repairs uninhabitable")</f>
        <v>sell house no repairs uninhabitable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8"/>
      <c r="J187" s="13"/>
      <c r="K187" s="13"/>
      <c r="L187" s="13"/>
      <c r="M187" s="15" t="str">
        <f>IFERROR(__xludf.DUMMYFUNCTION("""COMPUTED_VALUE"""),"sell house no cleanup uninhabitable")</f>
        <v>sell house no cleanup uninhabitable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8"/>
      <c r="J188" s="13"/>
      <c r="K188" s="13"/>
      <c r="L188" s="13"/>
      <c r="M188" s="15" t="str">
        <f>IFERROR(__xludf.DUMMYFUNCTION("""COMPUTED_VALUE"""),"sell damaged house uninhabitable")</f>
        <v>sell damaged house uninhabitable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8"/>
      <c r="J189" s="13"/>
      <c r="K189" s="13"/>
      <c r="L189" s="13"/>
      <c r="M189" s="15" t="str">
        <f>IFERROR(__xludf.DUMMYFUNCTION("""COMPUTED_VALUE"""),"sell fire damaged house uninhabitable")</f>
        <v>sell fire damaged house uninhabitable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8"/>
      <c r="J190" s="13"/>
      <c r="K190" s="13"/>
      <c r="L190" s="13"/>
      <c r="M190" s="15" t="str">
        <f>IFERROR(__xludf.DUMMYFUNCTION("""COMPUTED_VALUE"""),"sell water damaged house uninhabitable")</f>
        <v>sell water damaged house uninhabitable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8"/>
      <c r="J191" s="13"/>
      <c r="K191" s="13"/>
      <c r="L191" s="13"/>
      <c r="M191" s="15" t="str">
        <f>IFERROR(__xludf.DUMMYFUNCTION("""COMPUTED_VALUE"""),"sell fixer upper uninhabitable")</f>
        <v>sell fixer upper uninhabitable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8"/>
      <c r="J192" s="13"/>
      <c r="K192" s="13"/>
      <c r="L192" s="13"/>
      <c r="M192" s="15" t="str">
        <f>IFERROR(__xludf.DUMMYFUNCTION("""COMPUTED_VALUE"""),"sell house in any condition uninhabitable")</f>
        <v>sell house in any condition uninhabitable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8"/>
      <c r="J193" s="13"/>
      <c r="K193" s="13"/>
      <c r="L193" s="13"/>
      <c r="M193" s="15" t="str">
        <f>IFERROR(__xludf.DUMMYFUNCTION("""COMPUTED_VALUE"""),"sell house as is unfinished construction")</f>
        <v>sell house as is unfinished construction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8"/>
      <c r="J194" s="13"/>
      <c r="K194" s="13"/>
      <c r="L194" s="13"/>
      <c r="M194" s="15" t="str">
        <f>IFERROR(__xludf.DUMMYFUNCTION("""COMPUTED_VALUE"""),"sell home as is unfinished construction")</f>
        <v>sell home as is unfinished construction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8"/>
      <c r="J195" s="13"/>
      <c r="K195" s="13"/>
      <c r="L195" s="13"/>
      <c r="M195" s="15" t="str">
        <f>IFERROR(__xludf.DUMMYFUNCTION("""COMPUTED_VALUE"""),"we buy houses as is unfinished construction")</f>
        <v>we buy houses as is unfinished construction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8"/>
      <c r="J196" s="13"/>
      <c r="K196" s="13"/>
      <c r="L196" s="13"/>
      <c r="M196" s="15" t="str">
        <f>IFERROR(__xludf.DUMMYFUNCTION("""COMPUTED_VALUE"""),"sell house no repairs unfinished construction")</f>
        <v>sell house no repairs unfinished construction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8"/>
      <c r="J197" s="13"/>
      <c r="K197" s="13"/>
      <c r="L197" s="13"/>
      <c r="M197" s="15" t="str">
        <f>IFERROR(__xludf.DUMMYFUNCTION("""COMPUTED_VALUE"""),"sell house no cleanup unfinished construction")</f>
        <v>sell house no cleanup unfinished construction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8"/>
      <c r="J198" s="13"/>
      <c r="K198" s="13"/>
      <c r="L198" s="13"/>
      <c r="M198" s="15" t="str">
        <f>IFERROR(__xludf.DUMMYFUNCTION("""COMPUTED_VALUE"""),"sell damaged house unfinished construction")</f>
        <v>sell damaged house unfinished construction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8"/>
      <c r="J199" s="13"/>
      <c r="K199" s="13"/>
      <c r="L199" s="13"/>
      <c r="M199" s="15" t="str">
        <f>IFERROR(__xludf.DUMMYFUNCTION("""COMPUTED_VALUE"""),"sell fire damaged house unfinished construction")</f>
        <v>sell fire damaged house unfinished construction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8"/>
      <c r="J200" s="13"/>
      <c r="K200" s="13"/>
      <c r="L200" s="13"/>
      <c r="M200" s="15" t="str">
        <f>IFERROR(__xludf.DUMMYFUNCTION("""COMPUTED_VALUE"""),"sell water damaged house unfinished construction")</f>
        <v>sell water damaged house unfinished construction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8"/>
      <c r="J201" s="13"/>
      <c r="K201" s="13"/>
      <c r="L201" s="13"/>
      <c r="M201" s="15" t="str">
        <f>IFERROR(__xludf.DUMMYFUNCTION("""COMPUTED_VALUE"""),"sell fixer upper unfinished construction")</f>
        <v>sell fixer upper unfinished construction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8"/>
      <c r="J202" s="13"/>
      <c r="K202" s="13"/>
      <c r="L202" s="13"/>
      <c r="M202" s="15" t="str">
        <f>IFERROR(__xludf.DUMMYFUNCTION("""COMPUTED_VALUE"""),"sell house in any condition unfinished construction")</f>
        <v>sell house in any condition unfinished construction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8"/>
      <c r="J203" s="13"/>
      <c r="K203" s="13"/>
      <c r="L203" s="13"/>
      <c r="M203" s="15" t="str">
        <f>IFERROR(__xludf.DUMMYFUNCTION("""COMPUTED_VALUE"""),"sell house as is hoarder house")</f>
        <v>sell house as is hoarder house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8"/>
      <c r="J204" s="13"/>
      <c r="K204" s="13"/>
      <c r="L204" s="13"/>
      <c r="M204" s="15" t="str">
        <f>IFERROR(__xludf.DUMMYFUNCTION("""COMPUTED_VALUE"""),"sell home as is hoarder house")</f>
        <v>sell home as is hoarder house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8"/>
      <c r="J205" s="13"/>
      <c r="K205" s="13"/>
      <c r="L205" s="13"/>
      <c r="M205" s="15" t="str">
        <f>IFERROR(__xludf.DUMMYFUNCTION("""COMPUTED_VALUE"""),"we buy houses as is hoarder house")</f>
        <v>we buy houses as is hoarder house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8"/>
      <c r="J206" s="13"/>
      <c r="K206" s="13"/>
      <c r="L206" s="13"/>
      <c r="M206" s="15" t="str">
        <f>IFERROR(__xludf.DUMMYFUNCTION("""COMPUTED_VALUE"""),"sell house no repairs hoarder house")</f>
        <v>sell house no repairs hoarder house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8"/>
      <c r="J207" s="13"/>
      <c r="K207" s="13"/>
      <c r="L207" s="13"/>
      <c r="M207" s="15" t="str">
        <f>IFERROR(__xludf.DUMMYFUNCTION("""COMPUTED_VALUE"""),"sell house no cleanup hoarder house")</f>
        <v>sell house no cleanup hoarder house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8"/>
      <c r="J208" s="13"/>
      <c r="K208" s="13"/>
      <c r="L208" s="13"/>
      <c r="M208" s="15" t="str">
        <f>IFERROR(__xludf.DUMMYFUNCTION("""COMPUTED_VALUE"""),"sell damaged house hoarder house")</f>
        <v>sell damaged house hoarder house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8"/>
      <c r="J209" s="13"/>
      <c r="K209" s="13"/>
      <c r="L209" s="13"/>
      <c r="M209" s="15" t="str">
        <f>IFERROR(__xludf.DUMMYFUNCTION("""COMPUTED_VALUE"""),"sell fire damaged house hoarder house")</f>
        <v>sell fire damaged house hoarder house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8"/>
      <c r="J210" s="13"/>
      <c r="K210" s="13"/>
      <c r="L210" s="13"/>
      <c r="M210" s="15" t="str">
        <f>IFERROR(__xludf.DUMMYFUNCTION("""COMPUTED_VALUE"""),"sell water damaged house hoarder house")</f>
        <v>sell water damaged house hoarder house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8"/>
      <c r="J211" s="13"/>
      <c r="K211" s="13"/>
      <c r="L211" s="13"/>
      <c r="M211" s="15" t="str">
        <f>IFERROR(__xludf.DUMMYFUNCTION("""COMPUTED_VALUE"""),"sell fixer upper hoarder house")</f>
        <v>sell fixer upper hoarder house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8"/>
      <c r="J212" s="13"/>
      <c r="K212" s="13"/>
      <c r="L212" s="13"/>
      <c r="M212" s="15" t="str">
        <f>IFERROR(__xludf.DUMMYFUNCTION("""COMPUTED_VALUE"""),"sell house in any condition hoarder house")</f>
        <v>sell house in any condition hoarder house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8"/>
      <c r="J213" s="13"/>
      <c r="K213" s="13"/>
      <c r="L213" s="13"/>
      <c r="M213" s="15" t="str">
        <f>IFERROR(__xludf.DUMMYFUNCTION("""COMPUTED_VALUE"""),"sell house as is cluttered")</f>
        <v>sell house as is cluttered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8"/>
      <c r="J214" s="13"/>
      <c r="K214" s="13"/>
      <c r="L214" s="13"/>
      <c r="M214" s="15" t="str">
        <f>IFERROR(__xludf.DUMMYFUNCTION("""COMPUTED_VALUE"""),"sell home as is cluttered")</f>
        <v>sell home as is cluttered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8"/>
      <c r="J215" s="13"/>
      <c r="K215" s="13"/>
      <c r="L215" s="13"/>
      <c r="M215" s="15" t="str">
        <f>IFERROR(__xludf.DUMMYFUNCTION("""COMPUTED_VALUE"""),"we buy houses as is cluttered")</f>
        <v>we buy houses as is cluttered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8"/>
      <c r="J216" s="13"/>
      <c r="K216" s="13"/>
      <c r="L216" s="13"/>
      <c r="M216" s="15" t="str">
        <f>IFERROR(__xludf.DUMMYFUNCTION("""COMPUTED_VALUE"""),"sell house no repairs cluttered")</f>
        <v>sell house no repairs cluttered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8"/>
      <c r="J217" s="13"/>
      <c r="K217" s="13"/>
      <c r="L217" s="13"/>
      <c r="M217" s="15" t="str">
        <f>IFERROR(__xludf.DUMMYFUNCTION("""COMPUTED_VALUE"""),"sell house no cleanup cluttered")</f>
        <v>sell house no cleanup cluttered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8"/>
      <c r="J218" s="13"/>
      <c r="K218" s="13"/>
      <c r="L218" s="13"/>
      <c r="M218" s="15" t="str">
        <f>IFERROR(__xludf.DUMMYFUNCTION("""COMPUTED_VALUE"""),"sell damaged house cluttered")</f>
        <v>sell damaged house cluttered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8"/>
      <c r="J219" s="13"/>
      <c r="K219" s="13"/>
      <c r="L219" s="13"/>
      <c r="M219" s="15" t="str">
        <f>IFERROR(__xludf.DUMMYFUNCTION("""COMPUTED_VALUE"""),"sell fire damaged house cluttered")</f>
        <v>sell fire damaged house cluttered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8"/>
      <c r="J220" s="13"/>
      <c r="K220" s="13"/>
      <c r="L220" s="13"/>
      <c r="M220" s="15" t="str">
        <f>IFERROR(__xludf.DUMMYFUNCTION("""COMPUTED_VALUE"""),"sell water damaged house cluttered")</f>
        <v>sell water damaged house cluttered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8"/>
      <c r="J221" s="13"/>
      <c r="K221" s="13"/>
      <c r="L221" s="13"/>
      <c r="M221" s="15" t="str">
        <f>IFERROR(__xludf.DUMMYFUNCTION("""COMPUTED_VALUE"""),"sell fixer upper cluttered")</f>
        <v>sell fixer upper cluttered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8"/>
      <c r="J222" s="13"/>
      <c r="K222" s="13"/>
      <c r="L222" s="13"/>
      <c r="M222" s="15" t="str">
        <f>IFERROR(__xludf.DUMMYFUNCTION("""COMPUTED_VALUE"""),"sell house in any condition cluttered")</f>
        <v>sell house in any condition cluttered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8"/>
      <c r="J223" s="13"/>
      <c r="K223" s="13"/>
      <c r="L223" s="13"/>
      <c r="M223" s="15" t="str">
        <f>IFERROR(__xludf.DUMMYFUNCTION("""COMPUTED_VALUE"""),"sell house as is mold")</f>
        <v>sell house as is mold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8"/>
      <c r="J224" s="13"/>
      <c r="K224" s="13"/>
      <c r="L224" s="13"/>
      <c r="M224" s="15" t="str">
        <f>IFERROR(__xludf.DUMMYFUNCTION("""COMPUTED_VALUE"""),"sell home as is mold")</f>
        <v>sell home as is mold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8"/>
      <c r="J225" s="13"/>
      <c r="K225" s="13"/>
      <c r="L225" s="13"/>
      <c r="M225" s="15" t="str">
        <f>IFERROR(__xludf.DUMMYFUNCTION("""COMPUTED_VALUE"""),"we buy houses as is mold")</f>
        <v>we buy houses as is mold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8"/>
      <c r="J226" s="13"/>
      <c r="K226" s="13"/>
      <c r="L226" s="13"/>
      <c r="M226" s="15" t="str">
        <f>IFERROR(__xludf.DUMMYFUNCTION("""COMPUTED_VALUE"""),"sell house no repairs mold")</f>
        <v>sell house no repairs mold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8"/>
      <c r="J227" s="13"/>
      <c r="K227" s="13"/>
      <c r="L227" s="13"/>
      <c r="M227" s="15" t="str">
        <f>IFERROR(__xludf.DUMMYFUNCTION("""COMPUTED_VALUE"""),"sell house no cleanup mold")</f>
        <v>sell house no cleanup mold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8"/>
      <c r="J228" s="13"/>
      <c r="K228" s="13"/>
      <c r="L228" s="13"/>
      <c r="M228" s="15" t="str">
        <f>IFERROR(__xludf.DUMMYFUNCTION("""COMPUTED_VALUE"""),"sell damaged house mold")</f>
        <v>sell damaged house mold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8"/>
      <c r="J229" s="13"/>
      <c r="K229" s="13"/>
      <c r="L229" s="13"/>
      <c r="M229" s="15" t="str">
        <f>IFERROR(__xludf.DUMMYFUNCTION("""COMPUTED_VALUE"""),"sell fire damaged house mold")</f>
        <v>sell fire damaged house mold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8"/>
      <c r="J230" s="13"/>
      <c r="K230" s="13"/>
      <c r="L230" s="13"/>
      <c r="M230" s="15" t="str">
        <f>IFERROR(__xludf.DUMMYFUNCTION("""COMPUTED_VALUE"""),"sell water damaged house mold")</f>
        <v>sell water damaged house mold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8"/>
      <c r="J231" s="13"/>
      <c r="K231" s="13"/>
      <c r="L231" s="13"/>
      <c r="M231" s="15" t="str">
        <f>IFERROR(__xludf.DUMMYFUNCTION("""COMPUTED_VALUE"""),"sell fixer upper mold")</f>
        <v>sell fixer upper mold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8"/>
      <c r="J232" s="13"/>
      <c r="K232" s="13"/>
      <c r="L232" s="13"/>
      <c r="M232" s="15" t="str">
        <f>IFERROR(__xludf.DUMMYFUNCTION("""COMPUTED_VALUE"""),"sell house in any condition mold")</f>
        <v>sell house in any condition mold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8"/>
      <c r="J233" s="13"/>
      <c r="K233" s="13"/>
      <c r="L233" s="13"/>
      <c r="M233" s="15" t="str">
        <f>IFERROR(__xludf.DUMMYFUNCTION("""COMPUTED_VALUE"""),"sell house as is foundation issues")</f>
        <v>sell house as is foundation issues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8"/>
      <c r="J234" s="13"/>
      <c r="K234" s="13"/>
      <c r="L234" s="13"/>
      <c r="M234" s="15" t="str">
        <f>IFERROR(__xludf.DUMMYFUNCTION("""COMPUTED_VALUE"""),"sell home as is foundation issues")</f>
        <v>sell home as is foundation issues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8"/>
      <c r="J235" s="13"/>
      <c r="K235" s="13"/>
      <c r="L235" s="13"/>
      <c r="M235" s="15" t="str">
        <f>IFERROR(__xludf.DUMMYFUNCTION("""COMPUTED_VALUE"""),"we buy houses as is foundation issues")</f>
        <v>we buy houses as is foundation issues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8"/>
      <c r="J236" s="13"/>
      <c r="K236" s="13"/>
      <c r="L236" s="13"/>
      <c r="M236" s="15" t="str">
        <f>IFERROR(__xludf.DUMMYFUNCTION("""COMPUTED_VALUE"""),"sell house no repairs foundation issues")</f>
        <v>sell house no repairs foundation issues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8"/>
      <c r="J237" s="13"/>
      <c r="K237" s="13"/>
      <c r="L237" s="13"/>
      <c r="M237" s="15" t="str">
        <f>IFERROR(__xludf.DUMMYFUNCTION("""COMPUTED_VALUE"""),"sell house no cleanup foundation issues")</f>
        <v>sell house no cleanup foundation issues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8"/>
      <c r="J238" s="13"/>
      <c r="K238" s="13"/>
      <c r="L238" s="13"/>
      <c r="M238" s="15" t="str">
        <f>IFERROR(__xludf.DUMMYFUNCTION("""COMPUTED_VALUE"""),"sell damaged house foundation issues")</f>
        <v>sell damaged house foundation issues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8"/>
      <c r="J239" s="13"/>
      <c r="K239" s="13"/>
      <c r="L239" s="13"/>
      <c r="M239" s="15" t="str">
        <f>IFERROR(__xludf.DUMMYFUNCTION("""COMPUTED_VALUE"""),"sell fire damaged house foundation issues")</f>
        <v>sell fire damaged house foundation issues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8"/>
      <c r="J240" s="13"/>
      <c r="K240" s="13"/>
      <c r="L240" s="13"/>
      <c r="M240" s="15" t="str">
        <f>IFERROR(__xludf.DUMMYFUNCTION("""COMPUTED_VALUE"""),"sell water damaged house foundation issues")</f>
        <v>sell water damaged house foundation issues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8"/>
      <c r="J241" s="13"/>
      <c r="K241" s="13"/>
      <c r="L241" s="13"/>
      <c r="M241" s="15" t="str">
        <f>IFERROR(__xludf.DUMMYFUNCTION("""COMPUTED_VALUE"""),"sell fixer upper foundation issues")</f>
        <v>sell fixer upper foundation issues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8"/>
      <c r="J242" s="13"/>
      <c r="K242" s="13"/>
      <c r="L242" s="13"/>
      <c r="M242" s="15" t="str">
        <f>IFERROR(__xludf.DUMMYFUNCTION("""COMPUTED_VALUE"""),"sell house in any condition foundation issues")</f>
        <v>sell house in any condition foundation issues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8"/>
      <c r="J243" s="13"/>
      <c r="K243" s="13"/>
      <c r="L243" s="13"/>
      <c r="M243" s="15" t="str">
        <f>IFERROR(__xludf.DUMMYFUNCTION("""COMPUTED_VALUE"""),"sell house as is bad roof")</f>
        <v>sell house as is bad roof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8"/>
      <c r="J244" s="13"/>
      <c r="K244" s="13"/>
      <c r="L244" s="13"/>
      <c r="M244" s="15" t="str">
        <f>IFERROR(__xludf.DUMMYFUNCTION("""COMPUTED_VALUE"""),"sell home as is bad roof")</f>
        <v>sell home as is bad roof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8"/>
      <c r="J245" s="13"/>
      <c r="K245" s="13"/>
      <c r="L245" s="13"/>
      <c r="M245" s="15" t="str">
        <f>IFERROR(__xludf.DUMMYFUNCTION("""COMPUTED_VALUE"""),"we buy houses as is bad roof")</f>
        <v>we buy houses as is bad roof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8"/>
      <c r="J246" s="13"/>
      <c r="K246" s="13"/>
      <c r="L246" s="13"/>
      <c r="M246" s="15" t="str">
        <f>IFERROR(__xludf.DUMMYFUNCTION("""COMPUTED_VALUE"""),"sell house no repairs bad roof")</f>
        <v>sell house no repairs bad roof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8"/>
      <c r="J247" s="13"/>
      <c r="K247" s="13"/>
      <c r="L247" s="13"/>
      <c r="M247" s="15" t="str">
        <f>IFERROR(__xludf.DUMMYFUNCTION("""COMPUTED_VALUE"""),"sell house no cleanup bad roof")</f>
        <v>sell house no cleanup bad roof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8"/>
      <c r="J248" s="13"/>
      <c r="K248" s="13"/>
      <c r="L248" s="13"/>
      <c r="M248" s="15" t="str">
        <f>IFERROR(__xludf.DUMMYFUNCTION("""COMPUTED_VALUE"""),"sell damaged house bad roof")</f>
        <v>sell damaged house bad roof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8"/>
      <c r="J249" s="13"/>
      <c r="K249" s="13"/>
      <c r="L249" s="13"/>
      <c r="M249" s="15" t="str">
        <f>IFERROR(__xludf.DUMMYFUNCTION("""COMPUTED_VALUE"""),"sell fire damaged house bad roof")</f>
        <v>sell fire damaged house bad roof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8"/>
      <c r="J250" s="13"/>
      <c r="K250" s="13"/>
      <c r="L250" s="13"/>
      <c r="M250" s="15" t="str">
        <f>IFERROR(__xludf.DUMMYFUNCTION("""COMPUTED_VALUE"""),"sell water damaged house bad roof")</f>
        <v>sell water damaged house bad roof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8"/>
      <c r="J251" s="13"/>
      <c r="K251" s="13"/>
      <c r="L251" s="13"/>
      <c r="M251" s="15" t="str">
        <f>IFERROR(__xludf.DUMMYFUNCTION("""COMPUTED_VALUE"""),"sell fixer upper bad roof")</f>
        <v>sell fixer upper bad roof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8"/>
      <c r="J252" s="13"/>
      <c r="K252" s="13"/>
      <c r="L252" s="13"/>
      <c r="M252" s="15" t="str">
        <f>IFERROR(__xludf.DUMMYFUNCTION("""COMPUTED_VALUE"""),"sell house in any condition bad roof")</f>
        <v>sell house in any condition bad roof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8"/>
      <c r="J253" s="13"/>
      <c r="K253" s="13"/>
      <c r="L253" s="13"/>
      <c r="M253" s="15" t="str">
        <f>IFERROR(__xludf.DUMMYFUNCTION("""COMPUTED_VALUE"""),"sell house as is structural damage")</f>
        <v>sell house as is structural damage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8"/>
      <c r="J254" s="13"/>
      <c r="K254" s="13"/>
      <c r="L254" s="13"/>
      <c r="M254" s="15" t="str">
        <f>IFERROR(__xludf.DUMMYFUNCTION("""COMPUTED_VALUE"""),"sell home as is structural damage")</f>
        <v>sell home as is structural damage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8"/>
      <c r="J255" s="13"/>
      <c r="K255" s="13"/>
      <c r="L255" s="13"/>
      <c r="M255" s="15" t="str">
        <f>IFERROR(__xludf.DUMMYFUNCTION("""COMPUTED_VALUE"""),"we buy houses as is structural damage")</f>
        <v>we buy houses as is structural damage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8"/>
      <c r="J256" s="13"/>
      <c r="K256" s="13"/>
      <c r="L256" s="13"/>
      <c r="M256" s="15" t="str">
        <f>IFERROR(__xludf.DUMMYFUNCTION("""COMPUTED_VALUE"""),"sell house no repairs structural damage")</f>
        <v>sell house no repairs structural damage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8"/>
      <c r="J257" s="13"/>
      <c r="K257" s="13"/>
      <c r="L257" s="13"/>
      <c r="M257" s="15" t="str">
        <f>IFERROR(__xludf.DUMMYFUNCTION("""COMPUTED_VALUE"""),"sell house no cleanup structural damage")</f>
        <v>sell house no cleanup structural damage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8"/>
      <c r="J258" s="13"/>
      <c r="K258" s="13"/>
      <c r="L258" s="13"/>
      <c r="M258" s="15" t="str">
        <f>IFERROR(__xludf.DUMMYFUNCTION("""COMPUTED_VALUE"""),"sell damaged house structural damage")</f>
        <v>sell damaged house structural damage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8"/>
      <c r="J259" s="13"/>
      <c r="K259" s="13"/>
      <c r="L259" s="13"/>
      <c r="M259" s="15" t="str">
        <f>IFERROR(__xludf.DUMMYFUNCTION("""COMPUTED_VALUE"""),"sell fire damaged house structural damage")</f>
        <v>sell fire damaged house structural damage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8"/>
      <c r="J260" s="13"/>
      <c r="K260" s="13"/>
      <c r="L260" s="13"/>
      <c r="M260" s="15" t="str">
        <f>IFERROR(__xludf.DUMMYFUNCTION("""COMPUTED_VALUE"""),"sell water damaged house structural damage")</f>
        <v>sell water damaged house structural damage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8"/>
      <c r="J261" s="13"/>
      <c r="K261" s="13"/>
      <c r="L261" s="13"/>
      <c r="M261" s="15" t="str">
        <f>IFERROR(__xludf.DUMMYFUNCTION("""COMPUTED_VALUE"""),"sell fixer upper structural damage")</f>
        <v>sell fixer upper structural damage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8"/>
      <c r="J262" s="13"/>
      <c r="K262" s="13"/>
      <c r="L262" s="13"/>
      <c r="M262" s="15" t="str">
        <f>IFERROR(__xludf.DUMMYFUNCTION("""COMPUTED_VALUE"""),"sell house in any condition structural damage")</f>
        <v>sell house in any condition structural damage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8"/>
      <c r="J263" s="13"/>
      <c r="K263" s="13"/>
      <c r="L263" s="13"/>
      <c r="M263" s="15" t="str">
        <f>IFERROR(__xludf.DUMMYFUNCTION("""COMPUTED_VALUE"""),"sell house as is tenant damage")</f>
        <v>sell house as is tenant damage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8"/>
      <c r="J264" s="13"/>
      <c r="K264" s="13"/>
      <c r="L264" s="13"/>
      <c r="M264" s="15" t="str">
        <f>IFERROR(__xludf.DUMMYFUNCTION("""COMPUTED_VALUE"""),"sell home as is tenant damage")</f>
        <v>sell home as is tenant damage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8"/>
      <c r="J265" s="13"/>
      <c r="K265" s="13"/>
      <c r="L265" s="13"/>
      <c r="M265" s="15" t="str">
        <f>IFERROR(__xludf.DUMMYFUNCTION("""COMPUTED_VALUE"""),"we buy houses as is tenant damage")</f>
        <v>we buy houses as is tenant damage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8"/>
      <c r="J266" s="13"/>
      <c r="K266" s="13"/>
      <c r="L266" s="13"/>
      <c r="M266" s="15" t="str">
        <f>IFERROR(__xludf.DUMMYFUNCTION("""COMPUTED_VALUE"""),"sell house no repairs tenant damage")</f>
        <v>sell house no repairs tenant damage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8"/>
      <c r="J267" s="13"/>
      <c r="K267" s="13"/>
      <c r="L267" s="13"/>
      <c r="M267" s="15" t="str">
        <f>IFERROR(__xludf.DUMMYFUNCTION("""COMPUTED_VALUE"""),"sell house no cleanup tenant damage")</f>
        <v>sell house no cleanup tenant damage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8"/>
      <c r="J268" s="13"/>
      <c r="K268" s="13"/>
      <c r="L268" s="13"/>
      <c r="M268" s="15" t="str">
        <f>IFERROR(__xludf.DUMMYFUNCTION("""COMPUTED_VALUE"""),"sell damaged house tenant damage")</f>
        <v>sell damaged house tenant damage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8"/>
      <c r="J269" s="13"/>
      <c r="K269" s="13"/>
      <c r="L269" s="13"/>
      <c r="M269" s="15" t="str">
        <f>IFERROR(__xludf.DUMMYFUNCTION("""COMPUTED_VALUE"""),"sell fire damaged house tenant damage")</f>
        <v>sell fire damaged house tenant damage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8"/>
      <c r="J270" s="13"/>
      <c r="K270" s="13"/>
      <c r="L270" s="13"/>
      <c r="M270" s="15" t="str">
        <f>IFERROR(__xludf.DUMMYFUNCTION("""COMPUTED_VALUE"""),"sell water damaged house tenant damage")</f>
        <v>sell water damaged house tenant damage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8"/>
      <c r="J271" s="13"/>
      <c r="K271" s="13"/>
      <c r="L271" s="13"/>
      <c r="M271" s="15" t="str">
        <f>IFERROR(__xludf.DUMMYFUNCTION("""COMPUTED_VALUE"""),"sell fixer upper tenant damage")</f>
        <v>sell fixer upper tenant damage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8"/>
      <c r="J272" s="13"/>
      <c r="K272" s="13"/>
      <c r="L272" s="13"/>
      <c r="M272" s="15" t="str">
        <f>IFERROR(__xludf.DUMMYFUNCTION("""COMPUTED_VALUE"""),"sell house in any condition tenant damage")</f>
        <v>sell house in any condition tenant damage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8"/>
      <c r="J273" s="13"/>
      <c r="K273" s="13"/>
      <c r="L273" s="13"/>
      <c r="M273" s="15" t="str">
        <f>IFERROR(__xludf.DUMMYFUNCTION("""COMPUTED_VALUE"""),"sell house as is vacant")</f>
        <v>sell house as is vacant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8"/>
      <c r="J274" s="13"/>
      <c r="K274" s="13"/>
      <c r="L274" s="13"/>
      <c r="M274" s="15" t="str">
        <f>IFERROR(__xludf.DUMMYFUNCTION("""COMPUTED_VALUE"""),"sell home as is vacant")</f>
        <v>sell home as is vacant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8"/>
      <c r="J275" s="13"/>
      <c r="K275" s="13"/>
      <c r="L275" s="13"/>
      <c r="M275" s="15" t="str">
        <f>IFERROR(__xludf.DUMMYFUNCTION("""COMPUTED_VALUE"""),"we buy houses as is vacant")</f>
        <v>we buy houses as is vacant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8"/>
      <c r="J276" s="13"/>
      <c r="K276" s="13"/>
      <c r="L276" s="13"/>
      <c r="M276" s="15" t="str">
        <f>IFERROR(__xludf.DUMMYFUNCTION("""COMPUTED_VALUE"""),"sell house no repairs vacant")</f>
        <v>sell house no repairs vacant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8"/>
      <c r="J277" s="13"/>
      <c r="K277" s="13"/>
      <c r="L277" s="13"/>
      <c r="M277" s="15" t="str">
        <f>IFERROR(__xludf.DUMMYFUNCTION("""COMPUTED_VALUE"""),"sell house no cleanup vacant")</f>
        <v>sell house no cleanup vacant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8"/>
      <c r="J278" s="13"/>
      <c r="K278" s="13"/>
      <c r="L278" s="13"/>
      <c r="M278" s="15" t="str">
        <f>IFERROR(__xludf.DUMMYFUNCTION("""COMPUTED_VALUE"""),"sell damaged house vacant")</f>
        <v>sell damaged house vacant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8"/>
      <c r="J279" s="13"/>
      <c r="K279" s="13"/>
      <c r="L279" s="13"/>
      <c r="M279" s="15" t="str">
        <f>IFERROR(__xludf.DUMMYFUNCTION("""COMPUTED_VALUE"""),"sell fire damaged house vacant")</f>
        <v>sell fire damaged house vacant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8"/>
      <c r="J280" s="13"/>
      <c r="K280" s="13"/>
      <c r="L280" s="13"/>
      <c r="M280" s="15" t="str">
        <f>IFERROR(__xludf.DUMMYFUNCTION("""COMPUTED_VALUE"""),"sell water damaged house vacant")</f>
        <v>sell water damaged house vacant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8"/>
      <c r="J281" s="13"/>
      <c r="K281" s="13"/>
      <c r="L281" s="13"/>
      <c r="M281" s="15" t="str">
        <f>IFERROR(__xludf.DUMMYFUNCTION("""COMPUTED_VALUE"""),"sell fixer upper vacant")</f>
        <v>sell fixer upper vacant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8"/>
      <c r="J282" s="13"/>
      <c r="K282" s="13"/>
      <c r="L282" s="13"/>
      <c r="M282" s="15" t="str">
        <f>IFERROR(__xludf.DUMMYFUNCTION("""COMPUTED_VALUE"""),"sell house in any condition vacant")</f>
        <v>sell house in any condition vacant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8"/>
      <c r="J283" s="13"/>
      <c r="K283" s="13"/>
      <c r="L283" s="13"/>
      <c r="M283" s="15" t="str">
        <f>IFERROR(__xludf.DUMMYFUNCTION("""COMPUTED_VALUE"""),"sell house as is abandoned")</f>
        <v>sell house as is abandoned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8"/>
      <c r="J284" s="13"/>
      <c r="K284" s="13"/>
      <c r="L284" s="13"/>
      <c r="M284" s="15" t="str">
        <f>IFERROR(__xludf.DUMMYFUNCTION("""COMPUTED_VALUE"""),"sell home as is abandoned")</f>
        <v>sell home as is abandoned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8"/>
      <c r="J285" s="13"/>
      <c r="K285" s="13"/>
      <c r="L285" s="13"/>
      <c r="M285" s="15" t="str">
        <f>IFERROR(__xludf.DUMMYFUNCTION("""COMPUTED_VALUE"""),"we buy houses as is abandoned")</f>
        <v>we buy houses as is abandoned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8"/>
      <c r="J286" s="13"/>
      <c r="K286" s="13"/>
      <c r="L286" s="13"/>
      <c r="M286" s="15" t="str">
        <f>IFERROR(__xludf.DUMMYFUNCTION("""COMPUTED_VALUE"""),"sell house no repairs abandoned")</f>
        <v>sell house no repairs abandoned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8"/>
      <c r="J287" s="13"/>
      <c r="K287" s="13"/>
      <c r="L287" s="13"/>
      <c r="M287" s="15" t="str">
        <f>IFERROR(__xludf.DUMMYFUNCTION("""COMPUTED_VALUE"""),"sell house no cleanup abandoned")</f>
        <v>sell house no cleanup abandoned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8"/>
      <c r="J288" s="13"/>
      <c r="K288" s="13"/>
      <c r="L288" s="13"/>
      <c r="M288" s="15" t="str">
        <f>IFERROR(__xludf.DUMMYFUNCTION("""COMPUTED_VALUE"""),"sell damaged house abandoned")</f>
        <v>sell damaged house abandoned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8"/>
      <c r="J289" s="13"/>
      <c r="K289" s="13"/>
      <c r="L289" s="13"/>
      <c r="M289" s="15" t="str">
        <f>IFERROR(__xludf.DUMMYFUNCTION("""COMPUTED_VALUE"""),"sell fire damaged house abandoned")</f>
        <v>sell fire damaged house abandoned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8"/>
      <c r="J290" s="13"/>
      <c r="K290" s="13"/>
      <c r="L290" s="13"/>
      <c r="M290" s="15" t="str">
        <f>IFERROR(__xludf.DUMMYFUNCTION("""COMPUTED_VALUE"""),"sell water damaged house abandoned")</f>
        <v>sell water damaged house abandoned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8"/>
      <c r="J291" s="13"/>
      <c r="K291" s="13"/>
      <c r="L291" s="13"/>
      <c r="M291" s="15" t="str">
        <f>IFERROR(__xludf.DUMMYFUNCTION("""COMPUTED_VALUE"""),"sell fixer upper abandoned")</f>
        <v>sell fixer upper abandoned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8"/>
      <c r="J292" s="13"/>
      <c r="K292" s="13"/>
      <c r="L292" s="13"/>
      <c r="M292" s="15" t="str">
        <f>IFERROR(__xludf.DUMMYFUNCTION("""COMPUTED_VALUE"""),"sell house in any condition abandoned")</f>
        <v>sell house in any condition abandoned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8"/>
      <c r="J293" s="13"/>
      <c r="K293" s="13"/>
      <c r="L293" s="13"/>
      <c r="M293" s="15" t="str">
        <f>IFERROR(__xludf.DUMMYFUNCTION("""COMPUTED_VALUE"""),"sell house as is problem property")</f>
        <v>sell house as is problem property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8"/>
      <c r="J294" s="13"/>
      <c r="K294" s="13"/>
      <c r="L294" s="13"/>
      <c r="M294" s="15" t="str">
        <f>IFERROR(__xludf.DUMMYFUNCTION("""COMPUTED_VALUE"""),"sell home as is problem property")</f>
        <v>sell home as is problem property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8"/>
      <c r="J295" s="13"/>
      <c r="K295" s="13"/>
      <c r="L295" s="13"/>
      <c r="M295" s="15" t="str">
        <f>IFERROR(__xludf.DUMMYFUNCTION("""COMPUTED_VALUE"""),"we buy houses as is problem property")</f>
        <v>we buy houses as is problem property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8"/>
      <c r="J296" s="13"/>
      <c r="K296" s="13"/>
      <c r="L296" s="13"/>
      <c r="M296" s="15" t="str">
        <f>IFERROR(__xludf.DUMMYFUNCTION("""COMPUTED_VALUE"""),"sell house no repairs problem property")</f>
        <v>sell house no repairs problem property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8"/>
      <c r="J297" s="13"/>
      <c r="K297" s="13"/>
      <c r="L297" s="13"/>
      <c r="M297" s="15" t="str">
        <f>IFERROR(__xludf.DUMMYFUNCTION("""COMPUTED_VALUE"""),"sell house no cleanup problem property")</f>
        <v>sell house no cleanup problem property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8"/>
      <c r="J298" s="13"/>
      <c r="K298" s="13"/>
      <c r="L298" s="13"/>
      <c r="M298" s="15" t="str">
        <f>IFERROR(__xludf.DUMMYFUNCTION("""COMPUTED_VALUE"""),"sell damaged house problem property")</f>
        <v>sell damaged house problem property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8"/>
      <c r="J299" s="13"/>
      <c r="K299" s="13"/>
      <c r="L299" s="13"/>
      <c r="M299" s="15" t="str">
        <f>IFERROR(__xludf.DUMMYFUNCTION("""COMPUTED_VALUE"""),"sell fire damaged house problem property")</f>
        <v>sell fire damaged house problem property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8"/>
      <c r="J300" s="13"/>
      <c r="K300" s="13"/>
      <c r="L300" s="13"/>
      <c r="M300" s="15" t="str">
        <f>IFERROR(__xludf.DUMMYFUNCTION("""COMPUTED_VALUE"""),"sell water damaged house problem property")</f>
        <v>sell water damaged house problem property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8"/>
      <c r="J301" s="13"/>
      <c r="K301" s="13"/>
      <c r="L301" s="13"/>
      <c r="M301" s="15" t="str">
        <f>IFERROR(__xludf.DUMMYFUNCTION("""COMPUTED_VALUE"""),"sell fixer upper problem property")</f>
        <v>sell fixer upper problem property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8"/>
      <c r="J302" s="13"/>
      <c r="K302" s="13"/>
      <c r="L302" s="13"/>
      <c r="M302" s="15" t="str">
        <f>IFERROR(__xludf.DUMMYFUNCTION("""COMPUTED_VALUE"""),"sell house in any condition problem property")</f>
        <v>sell house in any condition problem property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8"/>
      <c r="J303" s="13"/>
      <c r="K303" s="13"/>
      <c r="L303" s="13"/>
      <c r="M303" s="15" t="str">
        <f>IFERROR(__xludf.DUMMYFUNCTION("""COMPUTED_VALUE"""),"sell house as is distressed")</f>
        <v>sell house as is distressed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8"/>
      <c r="J304" s="13"/>
      <c r="K304" s="13"/>
      <c r="L304" s="13"/>
      <c r="M304" s="15" t="str">
        <f>IFERROR(__xludf.DUMMYFUNCTION("""COMPUTED_VALUE"""),"sell home as is distressed")</f>
        <v>sell home as is distressed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8"/>
      <c r="J305" s="13"/>
      <c r="K305" s="13"/>
      <c r="L305" s="13"/>
      <c r="M305" s="15" t="str">
        <f>IFERROR(__xludf.DUMMYFUNCTION("""COMPUTED_VALUE"""),"we buy houses as is distressed")</f>
        <v>we buy houses as is distressed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8"/>
      <c r="J306" s="13"/>
      <c r="K306" s="13"/>
      <c r="L306" s="13"/>
      <c r="M306" s="15" t="str">
        <f>IFERROR(__xludf.DUMMYFUNCTION("""COMPUTED_VALUE"""),"sell house no repairs distressed")</f>
        <v>sell house no repairs distressed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8"/>
      <c r="J307" s="13"/>
      <c r="K307" s="13"/>
      <c r="L307" s="13"/>
      <c r="M307" s="15" t="str">
        <f>IFERROR(__xludf.DUMMYFUNCTION("""COMPUTED_VALUE"""),"sell house no cleanup distressed")</f>
        <v>sell house no cleanup distressed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8"/>
      <c r="J308" s="13"/>
      <c r="K308" s="13"/>
      <c r="L308" s="13"/>
      <c r="M308" s="15" t="str">
        <f>IFERROR(__xludf.DUMMYFUNCTION("""COMPUTED_VALUE"""),"sell damaged house distressed")</f>
        <v>sell damaged house distressed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8"/>
      <c r="J309" s="13"/>
      <c r="K309" s="13"/>
      <c r="L309" s="13"/>
      <c r="M309" s="15" t="str">
        <f>IFERROR(__xludf.DUMMYFUNCTION("""COMPUTED_VALUE"""),"sell fire damaged house distressed")</f>
        <v>sell fire damaged house distressed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8"/>
      <c r="J310" s="13"/>
      <c r="K310" s="13"/>
      <c r="L310" s="13"/>
      <c r="M310" s="15" t="str">
        <f>IFERROR(__xludf.DUMMYFUNCTION("""COMPUTED_VALUE"""),"sell water damaged house distressed")</f>
        <v>sell water damaged house distressed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8"/>
      <c r="J311" s="13"/>
      <c r="K311" s="13"/>
      <c r="L311" s="13"/>
      <c r="M311" s="15" t="str">
        <f>IFERROR(__xludf.DUMMYFUNCTION("""COMPUTED_VALUE"""),"sell fixer upper distressed")</f>
        <v>sell fixer upper distressed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8"/>
      <c r="J312" s="13"/>
      <c r="K312" s="13"/>
      <c r="L312" s="13"/>
      <c r="M312" s="15" t="str">
        <f>IFERROR(__xludf.DUMMYFUNCTION("""COMPUTED_VALUE"""),"sell house in any condition distressed")</f>
        <v>sell house in any condition distressed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8"/>
      <c r="J313" s="13"/>
      <c r="K313" s="13"/>
      <c r="L313" s="13"/>
      <c r="M313" s="15" t="str">
        <f>IFERROR(__xludf.DUMMYFUNCTION("""COMPUTED_VALUE"""),"sell house as is any condition")</f>
        <v>sell house as is any condition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8"/>
      <c r="J314" s="13"/>
      <c r="K314" s="13"/>
      <c r="L314" s="13"/>
      <c r="M314" s="15" t="str">
        <f>IFERROR(__xludf.DUMMYFUNCTION("""COMPUTED_VALUE"""),"sell home as is any condition")</f>
        <v>sell home as is any condition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8"/>
      <c r="J315" s="13"/>
      <c r="K315" s="13"/>
      <c r="L315" s="13"/>
      <c r="M315" s="15" t="str">
        <f>IFERROR(__xludf.DUMMYFUNCTION("""COMPUTED_VALUE"""),"we buy houses as is any condition")</f>
        <v>we buy houses as is any condition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8"/>
      <c r="J316" s="13"/>
      <c r="K316" s="13"/>
      <c r="L316" s="13"/>
      <c r="M316" s="15" t="str">
        <f>IFERROR(__xludf.DUMMYFUNCTION("""COMPUTED_VALUE"""),"sell house no repairs any condition")</f>
        <v>sell house no repairs any condition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8"/>
      <c r="J317" s="13"/>
      <c r="K317" s="13"/>
      <c r="L317" s="13"/>
      <c r="M317" s="15" t="str">
        <f>IFERROR(__xludf.DUMMYFUNCTION("""COMPUTED_VALUE"""),"sell house no cleanup any condition")</f>
        <v>sell house no cleanup any condition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8"/>
      <c r="J318" s="13"/>
      <c r="K318" s="13"/>
      <c r="L318" s="13"/>
      <c r="M318" s="15" t="str">
        <f>IFERROR(__xludf.DUMMYFUNCTION("""COMPUTED_VALUE"""),"sell damaged house any condition")</f>
        <v>sell damaged house any condition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8"/>
      <c r="J319" s="13"/>
      <c r="K319" s="13"/>
      <c r="L319" s="13"/>
      <c r="M319" s="15" t="str">
        <f>IFERROR(__xludf.DUMMYFUNCTION("""COMPUTED_VALUE"""),"sell fire damaged house any condition")</f>
        <v>sell fire damaged house any condition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8"/>
      <c r="J320" s="13"/>
      <c r="K320" s="13"/>
      <c r="L320" s="13"/>
      <c r="M320" s="15" t="str">
        <f>IFERROR(__xludf.DUMMYFUNCTION("""COMPUTED_VALUE"""),"sell water damaged house any condition")</f>
        <v>sell water damaged house any condition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8"/>
      <c r="J321" s="13"/>
      <c r="K321" s="13"/>
      <c r="L321" s="13"/>
      <c r="M321" s="15" t="str">
        <f>IFERROR(__xludf.DUMMYFUNCTION("""COMPUTED_VALUE"""),"sell fixer upper any condition")</f>
        <v>sell fixer upper any condition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8"/>
      <c r="J322" s="13"/>
      <c r="K322" s="13"/>
      <c r="L322" s="13"/>
      <c r="M322" s="15" t="str">
        <f>IFERROR(__xludf.DUMMYFUNCTION("""COMPUTED_VALUE"""),"sell house in any condition")</f>
        <v>sell house in any condition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8"/>
      <c r="J323" s="13"/>
      <c r="K323" s="13"/>
      <c r="L323" s="13"/>
      <c r="M323" s="15" t="str">
        <f>IFERROR(__xludf.DUMMYFUNCTION("""COMPUTED_VALUE"""),"sell house as is")</f>
        <v>sell house as is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8"/>
      <c r="J324" s="13"/>
      <c r="K324" s="13"/>
      <c r="L324" s="13"/>
      <c r="M324" s="15" t="str">
        <f>IFERROR(__xludf.DUMMYFUNCTION("""COMPUTED_VALUE"""),"sell home as is")</f>
        <v>sell home as is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8"/>
      <c r="J325" s="13"/>
      <c r="K325" s="13"/>
      <c r="L325" s="13"/>
      <c r="M325" s="15" t="str">
        <f>IFERROR(__xludf.DUMMYFUNCTION("""COMPUTED_VALUE"""),"we buy houses as is")</f>
        <v>we buy houses as is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8"/>
      <c r="J326" s="13"/>
      <c r="K326" s="13"/>
      <c r="L326" s="13"/>
      <c r="M326" s="15" t="str">
        <f>IFERROR(__xludf.DUMMYFUNCTION("""COMPUTED_VALUE"""),"sell house no repairs as is")</f>
        <v>sell house no repairs as is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8"/>
      <c r="J327" s="13"/>
      <c r="K327" s="13"/>
      <c r="L327" s="13"/>
      <c r="M327" s="15" t="str">
        <f>IFERROR(__xludf.DUMMYFUNCTION("""COMPUTED_VALUE"""),"sell house no cleanup as is")</f>
        <v>sell house no cleanup as is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8"/>
      <c r="J328" s="13"/>
      <c r="K328" s="13"/>
      <c r="L328" s="13"/>
      <c r="M328" s="15" t="str">
        <f>IFERROR(__xludf.DUMMYFUNCTION("""COMPUTED_VALUE"""),"sell damaged house as is")</f>
        <v>sell damaged house as is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8"/>
      <c r="J329" s="13"/>
      <c r="K329" s="13"/>
      <c r="L329" s="13"/>
      <c r="M329" s="15" t="str">
        <f>IFERROR(__xludf.DUMMYFUNCTION("""COMPUTED_VALUE"""),"sell fire damaged house as is")</f>
        <v>sell fire damaged house as is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8"/>
      <c r="J330" s="13"/>
      <c r="K330" s="13"/>
      <c r="L330" s="13"/>
      <c r="M330" s="15" t="str">
        <f>IFERROR(__xludf.DUMMYFUNCTION("""COMPUTED_VALUE"""),"sell water damaged house as is")</f>
        <v>sell water damaged house as is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8"/>
      <c r="J331" s="13"/>
      <c r="K331" s="13"/>
      <c r="L331" s="13"/>
      <c r="M331" s="15" t="str">
        <f>IFERROR(__xludf.DUMMYFUNCTION("""COMPUTED_VALUE"""),"sell fixer upper as is")</f>
        <v>sell fixer upper as is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8"/>
      <c r="J332" s="13"/>
      <c r="K332" s="13"/>
      <c r="L332" s="13"/>
      <c r="M332" s="15" t="str">
        <f>IFERROR(__xludf.DUMMYFUNCTION("""COMPUTED_VALUE"""),"sell house in any condition as is")</f>
        <v>sell house in any condition as is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8"/>
      <c r="J333" s="13"/>
      <c r="K333" s="13"/>
      <c r="L333" s="13"/>
      <c r="M333" s="15" t="str">
        <f>IFERROR(__xludf.DUMMYFUNCTION("""COMPUTED_VALUE"""),"")</f>
        <v/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8"/>
      <c r="J334" s="13"/>
      <c r="K334" s="13"/>
      <c r="L334" s="13"/>
      <c r="M334" s="15" t="str">
        <f>IFERROR(__xludf.DUMMYFUNCTION("""COMPUTED_VALUE"""),"")</f>
        <v/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8"/>
      <c r="J335" s="13"/>
      <c r="K335" s="13"/>
      <c r="L335" s="13"/>
      <c r="M335" s="15" t="str">
        <f>IFERROR(__xludf.DUMMYFUNCTION("""COMPUTED_VALUE"""),"")</f>
        <v/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8"/>
      <c r="J336" s="13"/>
      <c r="K336" s="13"/>
      <c r="L336" s="13"/>
      <c r="M336" s="15" t="str">
        <f>IFERROR(__xludf.DUMMYFUNCTION("""COMPUTED_VALUE"""),"")</f>
        <v/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8"/>
      <c r="J337" s="13"/>
      <c r="K337" s="13"/>
      <c r="L337" s="13"/>
      <c r="M337" s="15" t="str">
        <f>IFERROR(__xludf.DUMMYFUNCTION("""COMPUTED_VALUE"""),"")</f>
        <v/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8"/>
      <c r="J338" s="13"/>
      <c r="K338" s="13"/>
      <c r="L338" s="13"/>
      <c r="M338" s="15" t="str">
        <f>IFERROR(__xludf.DUMMYFUNCTION("""COMPUTED_VALUE"""),"")</f>
        <v/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8"/>
      <c r="J339" s="13"/>
      <c r="K339" s="13"/>
      <c r="L339" s="13"/>
      <c r="M339" s="15" t="str">
        <f>IFERROR(__xludf.DUMMYFUNCTION("""COMPUTED_VALUE"""),"")</f>
        <v/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8"/>
      <c r="J340" s="13"/>
      <c r="K340" s="13"/>
      <c r="L340" s="13"/>
      <c r="M340" s="15" t="str">
        <f>IFERROR(__xludf.DUMMYFUNCTION("""COMPUTED_VALUE"""),"")</f>
        <v/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8"/>
      <c r="J341" s="13"/>
      <c r="K341" s="13"/>
      <c r="L341" s="13"/>
      <c r="M341" s="15" t="str">
        <f>IFERROR(__xludf.DUMMYFUNCTION("""COMPUTED_VALUE"""),"")</f>
        <v/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8"/>
      <c r="J342" s="13"/>
      <c r="K342" s="13"/>
      <c r="L342" s="13"/>
      <c r="M342" s="15" t="str">
        <f>IFERROR(__xludf.DUMMYFUNCTION("""COMPUTED_VALUE"""),"")</f>
        <v/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8"/>
      <c r="J343" s="13"/>
      <c r="K343" s="13"/>
      <c r="L343" s="13"/>
      <c r="M343" s="15" t="str">
        <f>IFERROR(__xludf.DUMMYFUNCTION("""COMPUTED_VALUE"""),"")</f>
        <v/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8"/>
      <c r="J344" s="13"/>
      <c r="K344" s="13"/>
      <c r="L344" s="13"/>
      <c r="M344" s="15" t="str">
        <f>IFERROR(__xludf.DUMMYFUNCTION("""COMPUTED_VALUE"""),"")</f>
        <v/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8"/>
      <c r="J345" s="13"/>
      <c r="K345" s="13"/>
      <c r="L345" s="13"/>
      <c r="M345" s="15" t="str">
        <f>IFERROR(__xludf.DUMMYFUNCTION("""COMPUTED_VALUE"""),"")</f>
        <v/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8"/>
      <c r="J346" s="13"/>
      <c r="K346" s="13"/>
      <c r="L346" s="13"/>
      <c r="M346" s="15" t="str">
        <f>IFERROR(__xludf.DUMMYFUNCTION("""COMPUTED_VALUE"""),"")</f>
        <v/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8"/>
      <c r="J347" s="13"/>
      <c r="K347" s="13"/>
      <c r="L347" s="13"/>
      <c r="M347" s="15" t="str">
        <f>IFERROR(__xludf.DUMMYFUNCTION("""COMPUTED_VALUE"""),"")</f>
        <v/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8"/>
      <c r="J348" s="13"/>
      <c r="K348" s="13"/>
      <c r="L348" s="13"/>
      <c r="M348" s="15" t="str">
        <f>IFERROR(__xludf.DUMMYFUNCTION("""COMPUTED_VALUE"""),"")</f>
        <v/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8"/>
      <c r="J349" s="13"/>
      <c r="K349" s="13"/>
      <c r="L349" s="13"/>
      <c r="M349" s="15" t="str">
        <f>IFERROR(__xludf.DUMMYFUNCTION("""COMPUTED_VALUE"""),"")</f>
        <v/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8"/>
      <c r="J350" s="13"/>
      <c r="K350" s="13"/>
      <c r="L350" s="13"/>
      <c r="M350" s="15" t="str">
        <f>IFERROR(__xludf.DUMMYFUNCTION("""COMPUTED_VALUE"""),"")</f>
        <v/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8"/>
      <c r="J351" s="13"/>
      <c r="K351" s="13"/>
      <c r="L351" s="13"/>
      <c r="M351" s="15" t="str">
        <f>IFERROR(__xludf.DUMMYFUNCTION("""COMPUTED_VALUE"""),"")</f>
        <v/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8"/>
      <c r="J352" s="13"/>
      <c r="K352" s="13"/>
      <c r="L352" s="13"/>
      <c r="M352" s="15" t="str">
        <f>IFERROR(__xludf.DUMMYFUNCTION("""COMPUTED_VALUE"""),"")</f>
        <v/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8"/>
      <c r="J353" s="13"/>
      <c r="K353" s="13"/>
      <c r="L353" s="13"/>
      <c r="M353" s="15" t="str">
        <f>IFERROR(__xludf.DUMMYFUNCTION("""COMPUTED_VALUE"""),"sell house as is")</f>
        <v>sell house as is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8"/>
      <c r="J354" s="13"/>
      <c r="K354" s="13"/>
      <c r="L354" s="13"/>
      <c r="M354" s="15" t="str">
        <f>IFERROR(__xludf.DUMMYFUNCTION("""COMPUTED_VALUE"""),"sell home as is")</f>
        <v>sell home as is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8"/>
      <c r="J355" s="13"/>
      <c r="K355" s="13"/>
      <c r="L355" s="13"/>
      <c r="M355" s="15" t="str">
        <f>IFERROR(__xludf.DUMMYFUNCTION("""COMPUTED_VALUE"""),"we buy houses as is")</f>
        <v>we buy houses as is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8"/>
      <c r="J356" s="13"/>
      <c r="K356" s="13"/>
      <c r="L356" s="13"/>
      <c r="M356" s="15" t="str">
        <f>IFERROR(__xludf.DUMMYFUNCTION("""COMPUTED_VALUE"""),"sell house no repairs")</f>
        <v>sell house no repairs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8"/>
      <c r="J357" s="13"/>
      <c r="K357" s="13"/>
      <c r="L357" s="13"/>
      <c r="M357" s="15" t="str">
        <f>IFERROR(__xludf.DUMMYFUNCTION("""COMPUTED_VALUE"""),"sell house no cleanup")</f>
        <v>sell house no cleanup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8"/>
      <c r="J358" s="13"/>
      <c r="K358" s="13"/>
      <c r="L358" s="13"/>
      <c r="M358" s="15" t="str">
        <f>IFERROR(__xludf.DUMMYFUNCTION("""COMPUTED_VALUE"""),"sell damaged house")</f>
        <v>sell damaged house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8"/>
      <c r="J359" s="13"/>
      <c r="K359" s="13"/>
      <c r="L359" s="13"/>
      <c r="M359" s="15" t="str">
        <f>IFERROR(__xludf.DUMMYFUNCTION("""COMPUTED_VALUE"""),"sell fire damaged house")</f>
        <v>sell fire damaged house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8"/>
      <c r="J360" s="13"/>
      <c r="K360" s="13"/>
      <c r="L360" s="13"/>
      <c r="M360" s="15" t="str">
        <f>IFERROR(__xludf.DUMMYFUNCTION("""COMPUTED_VALUE"""),"sell water damaged house")</f>
        <v>sell water damaged house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8"/>
      <c r="J361" s="13"/>
      <c r="K361" s="13"/>
      <c r="L361" s="13"/>
      <c r="M361" s="15" t="str">
        <f>IFERROR(__xludf.DUMMYFUNCTION("""COMPUTED_VALUE"""),"sell fixer upper")</f>
        <v>sell fixer upper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8"/>
      <c r="J362" s="13"/>
      <c r="K362" s="13"/>
      <c r="L362" s="13"/>
      <c r="M362" s="15" t="str">
        <f>IFERROR(__xludf.DUMMYFUNCTION("""COMPUTED_VALUE"""),"sell house in any condition")</f>
        <v>sell house in any condition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8"/>
      <c r="J363" s="13"/>
      <c r="K363" s="13"/>
      <c r="L363" s="13"/>
      <c r="M363" s="15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8"/>
      <c r="J364" s="13"/>
      <c r="K364" s="13"/>
      <c r="L364" s="13"/>
      <c r="M364" s="15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8"/>
      <c r="J365" s="13"/>
      <c r="K365" s="13"/>
      <c r="L365" s="13"/>
      <c r="M365" s="15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8"/>
      <c r="J366" s="13"/>
      <c r="K366" s="13"/>
      <c r="L366" s="13"/>
      <c r="M366" s="15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8"/>
      <c r="J367" s="13"/>
      <c r="K367" s="13"/>
      <c r="L367" s="13"/>
      <c r="M367" s="15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8"/>
      <c r="J368" s="13"/>
      <c r="K368" s="13"/>
      <c r="L368" s="13"/>
      <c r="M368" s="15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8"/>
      <c r="J369" s="13"/>
      <c r="K369" s="13"/>
      <c r="L369" s="13"/>
      <c r="M369" s="15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8"/>
      <c r="J370" s="13"/>
      <c r="K370" s="13"/>
      <c r="L370" s="13"/>
      <c r="M370" s="15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8"/>
      <c r="J371" s="13"/>
      <c r="K371" s="13"/>
      <c r="L371" s="13"/>
      <c r="M371" s="15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8"/>
      <c r="J372" s="13"/>
      <c r="K372" s="13"/>
      <c r="L372" s="13"/>
      <c r="M372" s="15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8"/>
      <c r="J373" s="13"/>
      <c r="K373" s="13"/>
      <c r="L373" s="13"/>
      <c r="M373" s="15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8"/>
      <c r="J374" s="13"/>
      <c r="K374" s="13"/>
      <c r="L374" s="13"/>
      <c r="M374" s="15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8"/>
      <c r="J375" s="13"/>
      <c r="K375" s="13"/>
      <c r="L375" s="13"/>
      <c r="M375" s="15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8"/>
      <c r="J376" s="13"/>
      <c r="K376" s="13"/>
      <c r="L376" s="13"/>
      <c r="M376" s="15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8"/>
      <c r="J377" s="13"/>
      <c r="K377" s="13"/>
      <c r="L377" s="13"/>
      <c r="M377" s="15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8"/>
      <c r="J378" s="13"/>
      <c r="K378" s="13"/>
      <c r="L378" s="13"/>
      <c r="M378" s="15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8"/>
      <c r="J379" s="13"/>
      <c r="K379" s="13"/>
      <c r="L379" s="13"/>
      <c r="M379" s="15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8"/>
      <c r="J380" s="13"/>
      <c r="K380" s="13"/>
      <c r="L380" s="13"/>
      <c r="M380" s="15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8"/>
      <c r="J381" s="13"/>
      <c r="K381" s="13"/>
      <c r="L381" s="13"/>
      <c r="M381" s="15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8"/>
      <c r="J382" s="13"/>
      <c r="K382" s="13"/>
      <c r="L382" s="13"/>
      <c r="M382" s="15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8"/>
      <c r="J383" s="13"/>
      <c r="K383" s="13"/>
      <c r="L383" s="13"/>
      <c r="M383" s="15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8"/>
      <c r="J384" s="13"/>
      <c r="K384" s="13"/>
      <c r="L384" s="13"/>
      <c r="M384" s="15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8"/>
      <c r="J385" s="13"/>
      <c r="K385" s="13"/>
      <c r="L385" s="13"/>
      <c r="M385" s="15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8"/>
      <c r="J386" s="13"/>
      <c r="K386" s="13"/>
      <c r="L386" s="13"/>
      <c r="M386" s="15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8"/>
      <c r="J387" s="13"/>
      <c r="K387" s="13"/>
      <c r="L387" s="13"/>
      <c r="M387" s="15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8"/>
      <c r="J388" s="13"/>
      <c r="K388" s="13"/>
      <c r="L388" s="13"/>
      <c r="M388" s="15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8"/>
      <c r="J389" s="13"/>
      <c r="K389" s="13"/>
      <c r="L389" s="13"/>
      <c r="M389" s="15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8"/>
      <c r="J390" s="13"/>
      <c r="K390" s="13"/>
      <c r="L390" s="13"/>
      <c r="M390" s="15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8"/>
      <c r="J391" s="13"/>
      <c r="K391" s="13"/>
      <c r="L391" s="13"/>
      <c r="M391" s="15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8"/>
      <c r="J392" s="13"/>
      <c r="K392" s="13"/>
      <c r="L392" s="13"/>
      <c r="M392" s="15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8"/>
      <c r="J393" s="13"/>
      <c r="K393" s="13"/>
      <c r="L393" s="13"/>
      <c r="M393" s="15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8"/>
      <c r="J394" s="13"/>
      <c r="K394" s="13"/>
      <c r="L394" s="13"/>
      <c r="M394" s="15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8"/>
      <c r="J395" s="13"/>
      <c r="K395" s="13"/>
      <c r="L395" s="13"/>
      <c r="M395" s="15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8"/>
      <c r="J396" s="13"/>
      <c r="K396" s="13"/>
      <c r="L396" s="13"/>
      <c r="M396" s="15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8"/>
      <c r="J397" s="13"/>
      <c r="K397" s="13"/>
      <c r="L397" s="13"/>
      <c r="M397" s="15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8"/>
      <c r="J398" s="13"/>
      <c r="K398" s="13"/>
      <c r="L398" s="13"/>
      <c r="M398" s="15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8"/>
      <c r="J399" s="13"/>
      <c r="K399" s="13"/>
      <c r="L399" s="13"/>
      <c r="M399" s="15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8"/>
      <c r="J400" s="13"/>
      <c r="K400" s="13"/>
      <c r="L400" s="13"/>
      <c r="M400" s="15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8"/>
      <c r="J401" s="13"/>
      <c r="K401" s="13"/>
      <c r="L401" s="13"/>
      <c r="M401" s="15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8"/>
      <c r="J402" s="13"/>
      <c r="K402" s="13"/>
      <c r="L402" s="13"/>
      <c r="M402" s="15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8"/>
      <c r="J403" s="13"/>
      <c r="K403" s="13"/>
      <c r="L403" s="13"/>
      <c r="M403" s="15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8"/>
      <c r="J404" s="13"/>
      <c r="K404" s="13"/>
      <c r="L404" s="13"/>
      <c r="M404" s="15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8"/>
      <c r="J405" s="13"/>
      <c r="K405" s="13"/>
      <c r="L405" s="13"/>
      <c r="M405" s="15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8"/>
      <c r="J406" s="13"/>
      <c r="K406" s="13"/>
      <c r="L406" s="13"/>
      <c r="M406" s="15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8"/>
      <c r="J407" s="13"/>
      <c r="K407" s="13"/>
      <c r="L407" s="13"/>
      <c r="M407" s="15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8"/>
      <c r="J408" s="13"/>
      <c r="K408" s="13"/>
      <c r="L408" s="13"/>
      <c r="M408" s="15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8"/>
      <c r="J409" s="13"/>
      <c r="K409" s="13"/>
      <c r="L409" s="13"/>
      <c r="M409" s="15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8"/>
      <c r="J410" s="13"/>
      <c r="K410" s="13"/>
      <c r="L410" s="13"/>
      <c r="M410" s="15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8"/>
      <c r="J411" s="13"/>
      <c r="K411" s="13"/>
      <c r="L411" s="13"/>
      <c r="M411" s="15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8"/>
      <c r="J412" s="13"/>
      <c r="K412" s="13"/>
      <c r="L412" s="13"/>
      <c r="M412" s="15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8"/>
      <c r="J413" s="13"/>
      <c r="K413" s="13"/>
      <c r="L413" s="13"/>
      <c r="M413" s="15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8"/>
      <c r="J414" s="13"/>
      <c r="K414" s="13"/>
      <c r="L414" s="13"/>
      <c r="M414" s="15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8"/>
      <c r="J415" s="13"/>
      <c r="K415" s="13"/>
      <c r="L415" s="13"/>
      <c r="M415" s="15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8"/>
      <c r="J416" s="13"/>
      <c r="K416" s="13"/>
      <c r="L416" s="13"/>
      <c r="M416" s="15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8"/>
      <c r="J417" s="13"/>
      <c r="K417" s="13"/>
      <c r="L417" s="13"/>
      <c r="M417" s="15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8"/>
      <c r="J418" s="13"/>
      <c r="K418" s="13"/>
      <c r="L418" s="13"/>
      <c r="M418" s="15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8"/>
      <c r="J419" s="13"/>
      <c r="K419" s="13"/>
      <c r="L419" s="13"/>
      <c r="M419" s="15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8"/>
      <c r="J420" s="13"/>
      <c r="K420" s="13"/>
      <c r="L420" s="13"/>
      <c r="M420" s="15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8"/>
      <c r="J421" s="13"/>
      <c r="K421" s="13"/>
      <c r="L421" s="13"/>
      <c r="M421" s="15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8"/>
      <c r="J422" s="13"/>
      <c r="K422" s="13"/>
      <c r="L422" s="13"/>
      <c r="M422" s="15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8"/>
      <c r="J423" s="13"/>
      <c r="K423" s="13"/>
      <c r="L423" s="13"/>
      <c r="M423" s="15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8"/>
      <c r="J424" s="13"/>
      <c r="K424" s="13"/>
      <c r="L424" s="13"/>
      <c r="M424" s="15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8"/>
      <c r="J425" s="13"/>
      <c r="K425" s="13"/>
      <c r="L425" s="13"/>
      <c r="M425" s="15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8"/>
      <c r="J426" s="13"/>
      <c r="K426" s="13"/>
      <c r="L426" s="13"/>
      <c r="M426" s="15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8"/>
      <c r="J427" s="13"/>
      <c r="K427" s="13"/>
      <c r="L427" s="13"/>
      <c r="M427" s="15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8"/>
      <c r="J428" s="13"/>
      <c r="K428" s="13"/>
      <c r="L428" s="13"/>
      <c r="M428" s="15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8"/>
      <c r="J429" s="13"/>
      <c r="K429" s="13"/>
      <c r="L429" s="13"/>
      <c r="M429" s="15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8"/>
      <c r="J430" s="13"/>
      <c r="K430" s="13"/>
      <c r="L430" s="13"/>
      <c r="M430" s="15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8"/>
      <c r="J431" s="13"/>
      <c r="K431" s="13"/>
      <c r="L431" s="13"/>
      <c r="M431" s="15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8"/>
      <c r="J432" s="13"/>
      <c r="K432" s="13"/>
      <c r="L432" s="13"/>
      <c r="M432" s="15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8"/>
      <c r="J433" s="13"/>
      <c r="K433" s="13"/>
      <c r="L433" s="13"/>
      <c r="M433" s="15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8"/>
      <c r="J434" s="13"/>
      <c r="K434" s="13"/>
      <c r="L434" s="13"/>
      <c r="M434" s="15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8"/>
      <c r="J435" s="13"/>
      <c r="K435" s="13"/>
      <c r="L435" s="13"/>
      <c r="M435" s="15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8"/>
      <c r="J436" s="13"/>
      <c r="K436" s="13"/>
      <c r="L436" s="13"/>
      <c r="M436" s="15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8"/>
      <c r="J437" s="13"/>
      <c r="K437" s="13"/>
      <c r="L437" s="13"/>
      <c r="M437" s="15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8"/>
      <c r="J438" s="13"/>
      <c r="K438" s="13"/>
      <c r="L438" s="13"/>
      <c r="M438" s="15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8"/>
      <c r="J439" s="13"/>
      <c r="K439" s="13"/>
      <c r="L439" s="13"/>
      <c r="M439" s="15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8"/>
      <c r="J440" s="13"/>
      <c r="K440" s="13"/>
      <c r="L440" s="13"/>
      <c r="M440" s="15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8"/>
      <c r="J441" s="13"/>
      <c r="K441" s="13"/>
      <c r="L441" s="13"/>
      <c r="M441" s="15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8"/>
      <c r="J442" s="13"/>
      <c r="K442" s="13"/>
      <c r="L442" s="13"/>
      <c r="M442" s="15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8"/>
      <c r="J443" s="13"/>
      <c r="K443" s="13"/>
      <c r="L443" s="13"/>
      <c r="M443" s="15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8"/>
      <c r="J444" s="13"/>
      <c r="K444" s="13"/>
      <c r="L444" s="13"/>
      <c r="M444" s="15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8"/>
      <c r="J445" s="13"/>
      <c r="K445" s="13"/>
      <c r="L445" s="13"/>
      <c r="M445" s="15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8"/>
      <c r="J446" s="13"/>
      <c r="K446" s="13"/>
      <c r="L446" s="13"/>
      <c r="M446" s="15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8"/>
      <c r="J447" s="13"/>
      <c r="K447" s="13"/>
      <c r="L447" s="13"/>
      <c r="M447" s="15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8"/>
      <c r="J448" s="13"/>
      <c r="K448" s="13"/>
      <c r="L448" s="13"/>
      <c r="M448" s="15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8"/>
      <c r="J449" s="13"/>
      <c r="K449" s="13"/>
      <c r="L449" s="13"/>
      <c r="M449" s="15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8"/>
      <c r="J450" s="13"/>
      <c r="K450" s="13"/>
      <c r="L450" s="13"/>
      <c r="M450" s="15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8"/>
      <c r="J451" s="13"/>
      <c r="K451" s="13"/>
      <c r="L451" s="13"/>
      <c r="M451" s="15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8"/>
      <c r="J452" s="13"/>
      <c r="K452" s="13"/>
      <c r="L452" s="13"/>
      <c r="M452" s="15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8"/>
      <c r="J453" s="13"/>
      <c r="K453" s="13"/>
      <c r="L453" s="13"/>
      <c r="M453" s="15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8"/>
      <c r="J454" s="13"/>
      <c r="K454" s="13"/>
      <c r="L454" s="13"/>
      <c r="M454" s="15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8"/>
      <c r="J455" s="13"/>
      <c r="K455" s="13"/>
      <c r="L455" s="13"/>
      <c r="M455" s="15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8"/>
      <c r="J456" s="13"/>
      <c r="K456" s="13"/>
      <c r="L456" s="13"/>
      <c r="M456" s="15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8"/>
      <c r="J457" s="13"/>
      <c r="K457" s="13"/>
      <c r="L457" s="13"/>
      <c r="M457" s="15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8"/>
      <c r="J458" s="13"/>
      <c r="K458" s="13"/>
      <c r="L458" s="13"/>
      <c r="M458" s="15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8"/>
      <c r="J459" s="13"/>
      <c r="K459" s="13"/>
      <c r="L459" s="13"/>
      <c r="M459" s="15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8"/>
      <c r="J460" s="13"/>
      <c r="K460" s="13"/>
      <c r="L460" s="13"/>
      <c r="M460" s="15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8"/>
      <c r="J461" s="13"/>
      <c r="K461" s="13"/>
      <c r="L461" s="13"/>
      <c r="M461" s="15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8"/>
      <c r="J462" s="13"/>
      <c r="K462" s="13"/>
      <c r="L462" s="13"/>
      <c r="M462" s="15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8"/>
      <c r="J463" s="13"/>
      <c r="K463" s="13"/>
      <c r="L463" s="13"/>
      <c r="M463" s="15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8"/>
      <c r="J464" s="13"/>
      <c r="K464" s="13"/>
      <c r="L464" s="13"/>
      <c r="M464" s="15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8"/>
      <c r="J465" s="13"/>
      <c r="K465" s="13"/>
      <c r="L465" s="13"/>
      <c r="M465" s="15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8"/>
      <c r="J466" s="13"/>
      <c r="K466" s="13"/>
      <c r="L466" s="13"/>
      <c r="M466" s="15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8"/>
      <c r="J467" s="13"/>
      <c r="K467" s="13"/>
      <c r="L467" s="13"/>
      <c r="M467" s="15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8"/>
      <c r="J468" s="13"/>
      <c r="K468" s="13"/>
      <c r="L468" s="13"/>
      <c r="M468" s="15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8"/>
      <c r="J469" s="13"/>
      <c r="K469" s="13"/>
      <c r="L469" s="13"/>
      <c r="M469" s="15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8"/>
      <c r="J470" s="13"/>
      <c r="K470" s="13"/>
      <c r="L470" s="13"/>
      <c r="M470" s="15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8"/>
      <c r="J471" s="13"/>
      <c r="K471" s="13"/>
      <c r="L471" s="13"/>
      <c r="M471" s="15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8"/>
      <c r="J472" s="13"/>
      <c r="K472" s="13"/>
      <c r="L472" s="13"/>
      <c r="M472" s="15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8"/>
      <c r="J473" s="13"/>
      <c r="K473" s="13"/>
      <c r="L473" s="13"/>
      <c r="M473" s="15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8"/>
      <c r="J474" s="13"/>
      <c r="K474" s="13"/>
      <c r="L474" s="13"/>
      <c r="M474" s="15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8"/>
      <c r="J475" s="13"/>
      <c r="K475" s="13"/>
      <c r="L475" s="13"/>
      <c r="M475" s="15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8"/>
      <c r="J476" s="13"/>
      <c r="K476" s="13"/>
      <c r="L476" s="13"/>
      <c r="M476" s="15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8"/>
      <c r="J477" s="13"/>
      <c r="K477" s="13"/>
      <c r="L477" s="13"/>
      <c r="M477" s="15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8"/>
      <c r="J478" s="13"/>
      <c r="K478" s="13"/>
      <c r="L478" s="13"/>
      <c r="M478" s="15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8"/>
      <c r="J479" s="13"/>
      <c r="K479" s="13"/>
      <c r="L479" s="13"/>
      <c r="M479" s="15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8"/>
      <c r="J480" s="13"/>
      <c r="K480" s="13"/>
      <c r="L480" s="13"/>
      <c r="M480" s="15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8"/>
      <c r="J481" s="13"/>
      <c r="K481" s="13"/>
      <c r="L481" s="13"/>
      <c r="M481" s="15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8"/>
      <c r="J482" s="13"/>
      <c r="K482" s="13"/>
      <c r="L482" s="13"/>
      <c r="M482" s="15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8"/>
      <c r="J483" s="13"/>
      <c r="K483" s="13"/>
      <c r="L483" s="13"/>
      <c r="M483" s="15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8"/>
      <c r="J484" s="13"/>
      <c r="K484" s="13"/>
      <c r="L484" s="13"/>
      <c r="M484" s="15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8"/>
      <c r="J485" s="13"/>
      <c r="K485" s="13"/>
      <c r="L485" s="13"/>
      <c r="M485" s="15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8"/>
      <c r="J486" s="13"/>
      <c r="K486" s="13"/>
      <c r="L486" s="13"/>
      <c r="M486" s="15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8"/>
      <c r="J487" s="13"/>
      <c r="K487" s="13"/>
      <c r="L487" s="13"/>
      <c r="M487" s="15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8"/>
      <c r="J488" s="13"/>
      <c r="K488" s="13"/>
      <c r="L488" s="13"/>
      <c r="M488" s="15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8"/>
      <c r="J489" s="13"/>
      <c r="K489" s="13"/>
      <c r="L489" s="13"/>
      <c r="M489" s="15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8"/>
      <c r="J490" s="13"/>
      <c r="K490" s="13"/>
      <c r="L490" s="13"/>
      <c r="M490" s="15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8"/>
      <c r="J491" s="13"/>
      <c r="K491" s="13"/>
      <c r="L491" s="13"/>
      <c r="M491" s="15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8"/>
      <c r="J492" s="13"/>
      <c r="K492" s="13"/>
      <c r="L492" s="13"/>
      <c r="M492" s="15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8"/>
      <c r="J493" s="13"/>
      <c r="K493" s="13"/>
      <c r="L493" s="13"/>
      <c r="M493" s="15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8"/>
      <c r="J494" s="13"/>
      <c r="K494" s="13"/>
      <c r="L494" s="13"/>
      <c r="M494" s="15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8"/>
      <c r="J495" s="13"/>
      <c r="K495" s="13"/>
      <c r="L495" s="13"/>
      <c r="M495" s="15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8"/>
      <c r="J496" s="13"/>
      <c r="K496" s="13"/>
      <c r="L496" s="13"/>
      <c r="M496" s="15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8"/>
      <c r="J497" s="13"/>
      <c r="K497" s="13"/>
      <c r="L497" s="13"/>
      <c r="M497" s="15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8"/>
      <c r="J498" s="13"/>
      <c r="K498" s="13"/>
      <c r="L498" s="13"/>
      <c r="M498" s="15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8"/>
      <c r="J499" s="13"/>
      <c r="K499" s="13"/>
      <c r="L499" s="13"/>
      <c r="M499" s="15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8"/>
      <c r="J500" s="13"/>
      <c r="K500" s="13"/>
      <c r="L500" s="13"/>
      <c r="M500" s="15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8"/>
      <c r="J501" s="13"/>
      <c r="K501" s="13"/>
      <c r="L501" s="13"/>
      <c r="M501" s="15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8"/>
      <c r="J502" s="13"/>
      <c r="K502" s="13"/>
      <c r="L502" s="13"/>
      <c r="M502" s="15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8"/>
      <c r="J503" s="13"/>
      <c r="K503" s="13"/>
      <c r="L503" s="13"/>
      <c r="M503" s="15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8"/>
      <c r="J504" s="13"/>
      <c r="K504" s="13"/>
      <c r="L504" s="13"/>
      <c r="M504" s="15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8"/>
      <c r="J505" s="13"/>
      <c r="K505" s="13"/>
      <c r="L505" s="13"/>
      <c r="M505" s="15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8"/>
      <c r="J506" s="13"/>
      <c r="K506" s="13"/>
      <c r="L506" s="13"/>
      <c r="M506" s="15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8"/>
      <c r="J507" s="13"/>
      <c r="K507" s="13"/>
      <c r="L507" s="13"/>
      <c r="M507" s="15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8"/>
      <c r="J508" s="13"/>
      <c r="K508" s="13"/>
      <c r="L508" s="13"/>
      <c r="M508" s="15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8"/>
      <c r="J509" s="13"/>
      <c r="K509" s="13"/>
      <c r="L509" s="13"/>
      <c r="M509" s="15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8"/>
      <c r="J510" s="13"/>
      <c r="K510" s="13"/>
      <c r="L510" s="13"/>
      <c r="M510" s="15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8"/>
      <c r="J511" s="13"/>
      <c r="K511" s="13"/>
      <c r="L511" s="13"/>
      <c r="M511" s="15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8"/>
      <c r="J512" s="13"/>
      <c r="K512" s="13"/>
      <c r="L512" s="13"/>
      <c r="M512" s="15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8"/>
      <c r="J513" s="13"/>
      <c r="K513" s="13"/>
      <c r="L513" s="13"/>
      <c r="M513" s="15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8"/>
      <c r="J514" s="13"/>
      <c r="K514" s="13"/>
      <c r="L514" s="13"/>
      <c r="M514" s="15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8"/>
      <c r="J515" s="13"/>
      <c r="K515" s="13"/>
      <c r="L515" s="13"/>
      <c r="M515" s="15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8"/>
      <c r="J516" s="13"/>
      <c r="K516" s="13"/>
      <c r="L516" s="13"/>
      <c r="M516" s="15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8"/>
      <c r="J517" s="13"/>
      <c r="K517" s="13"/>
      <c r="L517" s="13"/>
      <c r="M517" s="15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8"/>
      <c r="J518" s="13"/>
      <c r="K518" s="13"/>
      <c r="L518" s="13"/>
      <c r="M518" s="15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8"/>
      <c r="J519" s="13"/>
      <c r="K519" s="13"/>
      <c r="L519" s="13"/>
      <c r="M519" s="15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8"/>
      <c r="J520" s="13"/>
      <c r="K520" s="13"/>
      <c r="L520" s="13"/>
      <c r="M520" s="15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8"/>
      <c r="J521" s="13"/>
      <c r="K521" s="13"/>
      <c r="L521" s="13"/>
      <c r="M521" s="15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8"/>
      <c r="J522" s="13"/>
      <c r="K522" s="13"/>
      <c r="L522" s="13"/>
      <c r="M522" s="15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8"/>
      <c r="J523" s="13"/>
      <c r="K523" s="13"/>
      <c r="L523" s="13"/>
      <c r="M523" s="15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8"/>
      <c r="J524" s="13"/>
      <c r="K524" s="13"/>
      <c r="L524" s="13"/>
      <c r="M524" s="15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8"/>
      <c r="J525" s="13"/>
      <c r="K525" s="13"/>
      <c r="L525" s="13"/>
      <c r="M525" s="15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8"/>
      <c r="J526" s="13"/>
      <c r="K526" s="13"/>
      <c r="L526" s="13"/>
      <c r="M526" s="15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8"/>
      <c r="J527" s="13"/>
      <c r="K527" s="13"/>
      <c r="L527" s="13"/>
      <c r="M527" s="15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8"/>
      <c r="J528" s="13"/>
      <c r="K528" s="13"/>
      <c r="L528" s="13"/>
      <c r="M528" s="15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8"/>
      <c r="J529" s="13"/>
      <c r="K529" s="13"/>
      <c r="L529" s="13"/>
      <c r="M529" s="15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8"/>
      <c r="J530" s="13"/>
      <c r="K530" s="13"/>
      <c r="L530" s="13"/>
      <c r="M530" s="15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8"/>
      <c r="J531" s="13"/>
      <c r="K531" s="13"/>
      <c r="L531" s="13"/>
      <c r="M531" s="15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8"/>
      <c r="J532" s="13"/>
      <c r="K532" s="13"/>
      <c r="L532" s="13"/>
      <c r="M532" s="15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8"/>
      <c r="J533" s="13"/>
      <c r="K533" s="13"/>
      <c r="L533" s="13"/>
      <c r="M533" s="15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8"/>
      <c r="J534" s="13"/>
      <c r="K534" s="13"/>
      <c r="L534" s="13"/>
      <c r="M534" s="15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8"/>
      <c r="J535" s="13"/>
      <c r="K535" s="13"/>
      <c r="L535" s="13"/>
      <c r="M535" s="15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8"/>
      <c r="J536" s="13"/>
      <c r="K536" s="13"/>
      <c r="L536" s="13"/>
      <c r="M536" s="15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8"/>
      <c r="J537" s="13"/>
      <c r="K537" s="13"/>
      <c r="L537" s="13"/>
      <c r="M537" s="15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8"/>
      <c r="J538" s="13"/>
      <c r="K538" s="13"/>
      <c r="L538" s="13"/>
      <c r="M538" s="15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8"/>
      <c r="J539" s="13"/>
      <c r="K539" s="13"/>
      <c r="L539" s="13"/>
      <c r="M539" s="15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8"/>
      <c r="J540" s="13"/>
      <c r="K540" s="13"/>
      <c r="L540" s="13"/>
      <c r="M540" s="15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8"/>
      <c r="J541" s="13"/>
      <c r="K541" s="13"/>
      <c r="L541" s="13"/>
      <c r="M541" s="15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8"/>
      <c r="J542" s="13"/>
      <c r="K542" s="13"/>
      <c r="L542" s="13"/>
      <c r="M542" s="15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8"/>
      <c r="J543" s="13"/>
      <c r="K543" s="13"/>
      <c r="L543" s="13"/>
      <c r="M543" s="15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8"/>
      <c r="J544" s="13"/>
      <c r="K544" s="13"/>
      <c r="L544" s="13"/>
      <c r="M544" s="15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8"/>
      <c r="J545" s="13"/>
      <c r="K545" s="13"/>
      <c r="L545" s="13"/>
      <c r="M545" s="15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8"/>
      <c r="J546" s="13"/>
      <c r="K546" s="13"/>
      <c r="L546" s="13"/>
      <c r="M546" s="15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8"/>
      <c r="J547" s="13"/>
      <c r="K547" s="13"/>
      <c r="L547" s="13"/>
      <c r="M547" s="15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8"/>
      <c r="J548" s="13"/>
      <c r="K548" s="13"/>
      <c r="L548" s="13"/>
      <c r="M548" s="15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8"/>
      <c r="J549" s="13"/>
      <c r="K549" s="13"/>
      <c r="L549" s="13"/>
      <c r="M549" s="15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8"/>
      <c r="J550" s="13"/>
      <c r="K550" s="13"/>
      <c r="L550" s="13"/>
      <c r="M550" s="15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8"/>
      <c r="J551" s="13"/>
      <c r="K551" s="13"/>
      <c r="L551" s="13"/>
      <c r="M551" s="15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8"/>
      <c r="J552" s="13"/>
      <c r="K552" s="13"/>
      <c r="L552" s="13"/>
      <c r="M552" s="15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8"/>
      <c r="J553" s="13"/>
      <c r="K553" s="13"/>
      <c r="L553" s="13"/>
      <c r="M553" s="15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8"/>
      <c r="J554" s="13"/>
      <c r="K554" s="13"/>
      <c r="L554" s="13"/>
      <c r="M554" s="15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8"/>
      <c r="J555" s="13"/>
      <c r="K555" s="13"/>
      <c r="L555" s="13"/>
      <c r="M555" s="15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8"/>
      <c r="J556" s="13"/>
      <c r="K556" s="13"/>
      <c r="L556" s="13"/>
      <c r="M556" s="15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8"/>
      <c r="J557" s="13"/>
      <c r="K557" s="13"/>
      <c r="L557" s="13"/>
      <c r="M557" s="15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8"/>
      <c r="J558" s="13"/>
      <c r="K558" s="13"/>
      <c r="L558" s="13"/>
      <c r="M558" s="15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8"/>
      <c r="J559" s="13"/>
      <c r="K559" s="13"/>
      <c r="L559" s="13"/>
      <c r="M559" s="15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8"/>
      <c r="J560" s="13"/>
      <c r="K560" s="13"/>
      <c r="L560" s="13"/>
      <c r="M560" s="15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8"/>
      <c r="J561" s="13"/>
      <c r="K561" s="13"/>
      <c r="L561" s="13"/>
      <c r="M561" s="15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8"/>
      <c r="J562" s="13"/>
      <c r="K562" s="13"/>
      <c r="L562" s="13"/>
      <c r="M562" s="15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8"/>
      <c r="J563" s="13"/>
      <c r="K563" s="13"/>
      <c r="L563" s="13"/>
      <c r="M563" s="15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8"/>
      <c r="J564" s="13"/>
      <c r="K564" s="13"/>
      <c r="L564" s="13"/>
      <c r="M564" s="15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8"/>
      <c r="J565" s="13"/>
      <c r="K565" s="13"/>
      <c r="L565" s="13"/>
      <c r="M565" s="15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8"/>
      <c r="J566" s="13"/>
      <c r="K566" s="13"/>
      <c r="L566" s="13"/>
      <c r="M566" s="15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8"/>
      <c r="J567" s="13"/>
      <c r="K567" s="13"/>
      <c r="L567" s="13"/>
      <c r="M567" s="15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8"/>
      <c r="J568" s="13"/>
      <c r="K568" s="13"/>
      <c r="L568" s="13"/>
      <c r="M568" s="15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8"/>
      <c r="J569" s="13"/>
      <c r="K569" s="13"/>
      <c r="L569" s="13"/>
      <c r="M569" s="15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8"/>
      <c r="J570" s="13"/>
      <c r="K570" s="13"/>
      <c r="L570" s="13"/>
      <c r="M570" s="15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8"/>
      <c r="J571" s="13"/>
      <c r="K571" s="13"/>
      <c r="L571" s="13"/>
      <c r="M571" s="15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8"/>
      <c r="J572" s="13"/>
      <c r="K572" s="13"/>
      <c r="L572" s="13"/>
      <c r="M572" s="15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8"/>
      <c r="J573" s="13"/>
      <c r="K573" s="13"/>
      <c r="L573" s="13"/>
      <c r="M573" s="15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8"/>
      <c r="J574" s="13"/>
      <c r="K574" s="13"/>
      <c r="L574" s="13"/>
      <c r="M574" s="15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8"/>
      <c r="J575" s="13"/>
      <c r="K575" s="13"/>
      <c r="L575" s="13"/>
      <c r="M575" s="15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8"/>
      <c r="J576" s="13"/>
      <c r="K576" s="13"/>
      <c r="L576" s="13"/>
      <c r="M576" s="15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8"/>
      <c r="J577" s="13"/>
      <c r="K577" s="13"/>
      <c r="L577" s="13"/>
      <c r="M577" s="15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8"/>
      <c r="J578" s="13"/>
      <c r="K578" s="13"/>
      <c r="L578" s="13"/>
      <c r="M578" s="15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8"/>
      <c r="J579" s="13"/>
      <c r="K579" s="13"/>
      <c r="L579" s="13"/>
      <c r="M579" s="15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8"/>
      <c r="J580" s="13"/>
      <c r="K580" s="13"/>
      <c r="L580" s="13"/>
      <c r="M580" s="15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8"/>
      <c r="J581" s="13"/>
      <c r="K581" s="13"/>
      <c r="L581" s="13"/>
      <c r="M581" s="15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8"/>
      <c r="J582" s="13"/>
      <c r="K582" s="13"/>
      <c r="L582" s="13"/>
      <c r="M582" s="15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8"/>
      <c r="J583" s="13"/>
      <c r="K583" s="13"/>
      <c r="L583" s="13"/>
      <c r="M583" s="15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8"/>
      <c r="J584" s="13"/>
      <c r="K584" s="13"/>
      <c r="L584" s="13"/>
      <c r="M584" s="15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8"/>
      <c r="J585" s="13"/>
      <c r="K585" s="13"/>
      <c r="L585" s="13"/>
      <c r="M585" s="15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8"/>
      <c r="J586" s="13"/>
      <c r="K586" s="13"/>
      <c r="L586" s="13"/>
      <c r="M586" s="15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8"/>
      <c r="J587" s="13"/>
      <c r="K587" s="13"/>
      <c r="L587" s="13"/>
      <c r="M587" s="15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8"/>
      <c r="J588" s="13"/>
      <c r="K588" s="13"/>
      <c r="L588" s="13"/>
      <c r="M588" s="15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8"/>
      <c r="J589" s="13"/>
      <c r="K589" s="13"/>
      <c r="L589" s="13"/>
      <c r="M589" s="15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8"/>
      <c r="J590" s="13"/>
      <c r="K590" s="13"/>
      <c r="L590" s="13"/>
      <c r="M590" s="15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8"/>
      <c r="J591" s="13"/>
      <c r="K591" s="13"/>
      <c r="L591" s="13"/>
      <c r="M591" s="15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8"/>
      <c r="J592" s="13"/>
      <c r="K592" s="13"/>
      <c r="L592" s="13"/>
      <c r="M592" s="15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8"/>
      <c r="J593" s="13"/>
      <c r="K593" s="13"/>
      <c r="L593" s="13"/>
      <c r="M593" s="15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8"/>
      <c r="J594" s="13"/>
      <c r="K594" s="13"/>
      <c r="L594" s="13"/>
      <c r="M594" s="15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8"/>
      <c r="J595" s="13"/>
      <c r="K595" s="13"/>
      <c r="L595" s="13"/>
      <c r="M595" s="15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8"/>
      <c r="J596" s="13"/>
      <c r="K596" s="13"/>
      <c r="L596" s="13"/>
      <c r="M596" s="15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8"/>
      <c r="J597" s="13"/>
      <c r="K597" s="13"/>
      <c r="L597" s="13"/>
      <c r="M597" s="15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8"/>
      <c r="J598" s="13"/>
      <c r="K598" s="13"/>
      <c r="L598" s="13"/>
      <c r="M598" s="15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8"/>
      <c r="J599" s="13"/>
      <c r="K599" s="13"/>
      <c r="L599" s="13"/>
      <c r="M599" s="15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8"/>
      <c r="J600" s="13"/>
      <c r="K600" s="13"/>
      <c r="L600" s="13"/>
      <c r="M600" s="15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8"/>
      <c r="J601" s="13"/>
      <c r="K601" s="13"/>
      <c r="L601" s="13"/>
      <c r="M601" s="15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8"/>
      <c r="J602" s="13"/>
      <c r="K602" s="13"/>
      <c r="L602" s="13"/>
      <c r="M602" s="15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8"/>
      <c r="J603" s="13"/>
      <c r="K603" s="13"/>
      <c r="L603" s="13"/>
      <c r="M603" s="15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8"/>
      <c r="J604" s="13"/>
      <c r="K604" s="13"/>
      <c r="L604" s="13"/>
      <c r="M604" s="15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8"/>
      <c r="J605" s="13"/>
      <c r="K605" s="13"/>
      <c r="L605" s="13"/>
      <c r="M605" s="15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8"/>
      <c r="J606" s="13"/>
      <c r="K606" s="13"/>
      <c r="L606" s="13"/>
      <c r="M606" s="15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8"/>
      <c r="J607" s="13"/>
      <c r="K607" s="13"/>
      <c r="L607" s="13"/>
      <c r="M607" s="15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8"/>
      <c r="J608" s="13"/>
      <c r="K608" s="13"/>
      <c r="L608" s="13"/>
      <c r="M608" s="15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8"/>
      <c r="J609" s="13"/>
      <c r="K609" s="13"/>
      <c r="L609" s="13"/>
      <c r="M609" s="15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8"/>
      <c r="J610" s="13"/>
      <c r="K610" s="13"/>
      <c r="L610" s="13"/>
      <c r="M610" s="15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8"/>
      <c r="J611" s="13"/>
      <c r="K611" s="13"/>
      <c r="L611" s="13"/>
      <c r="M611" s="15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8"/>
      <c r="J612" s="13"/>
      <c r="K612" s="13"/>
      <c r="L612" s="13"/>
      <c r="M612" s="15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8"/>
      <c r="J613" s="13"/>
      <c r="K613" s="13"/>
      <c r="L613" s="13"/>
      <c r="M613" s="15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8"/>
      <c r="J614" s="13"/>
      <c r="K614" s="13"/>
      <c r="L614" s="13"/>
      <c r="M614" s="15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8"/>
      <c r="J615" s="13"/>
      <c r="K615" s="13"/>
      <c r="L615" s="13"/>
      <c r="M615" s="15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8"/>
      <c r="J616" s="13"/>
      <c r="K616" s="13"/>
      <c r="L616" s="13"/>
      <c r="M616" s="15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8"/>
      <c r="J617" s="13"/>
      <c r="K617" s="13"/>
      <c r="L617" s="13"/>
      <c r="M617" s="15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8"/>
      <c r="J618" s="13"/>
      <c r="K618" s="13"/>
      <c r="L618" s="13"/>
      <c r="M618" s="15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8"/>
      <c r="J619" s="13"/>
      <c r="K619" s="13"/>
      <c r="L619" s="13"/>
      <c r="M619" s="15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8"/>
      <c r="J620" s="13"/>
      <c r="K620" s="13"/>
      <c r="L620" s="13"/>
      <c r="M620" s="15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8"/>
      <c r="J621" s="13"/>
      <c r="K621" s="13"/>
      <c r="L621" s="13"/>
      <c r="M621" s="15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8"/>
      <c r="J622" s="13"/>
      <c r="K622" s="13"/>
      <c r="L622" s="13"/>
      <c r="M622" s="15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8"/>
      <c r="J623" s="13"/>
      <c r="K623" s="13"/>
      <c r="L623" s="13"/>
      <c r="M623" s="15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8"/>
      <c r="J624" s="13"/>
      <c r="K624" s="13"/>
      <c r="L624" s="13"/>
      <c r="M624" s="15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8"/>
      <c r="J625" s="13"/>
      <c r="K625" s="13"/>
      <c r="L625" s="13"/>
      <c r="M625" s="15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8"/>
      <c r="J626" s="13"/>
      <c r="K626" s="13"/>
      <c r="L626" s="13"/>
      <c r="M626" s="15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8"/>
      <c r="J627" s="13"/>
      <c r="K627" s="13"/>
      <c r="L627" s="13"/>
      <c r="M627" s="15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8"/>
      <c r="J628" s="13"/>
      <c r="K628" s="13"/>
      <c r="L628" s="13"/>
      <c r="M628" s="15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8"/>
      <c r="J629" s="13"/>
      <c r="K629" s="13"/>
      <c r="L629" s="13"/>
      <c r="M629" s="15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8"/>
      <c r="J630" s="13"/>
      <c r="K630" s="13"/>
      <c r="L630" s="13"/>
      <c r="M630" s="15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8"/>
      <c r="J631" s="13"/>
      <c r="K631" s="13"/>
      <c r="L631" s="13"/>
      <c r="M631" s="15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8"/>
      <c r="J632" s="13"/>
      <c r="K632" s="13"/>
      <c r="L632" s="13"/>
      <c r="M632" s="15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8"/>
      <c r="J633" s="13"/>
      <c r="K633" s="13"/>
      <c r="L633" s="13"/>
      <c r="M633" s="15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8"/>
      <c r="J634" s="13"/>
      <c r="K634" s="13"/>
      <c r="L634" s="13"/>
      <c r="M634" s="15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8"/>
      <c r="J635" s="13"/>
      <c r="K635" s="13"/>
      <c r="L635" s="13"/>
      <c r="M635" s="15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8"/>
      <c r="J636" s="13"/>
      <c r="K636" s="13"/>
      <c r="L636" s="13"/>
      <c r="M636" s="15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8"/>
      <c r="J637" s="13"/>
      <c r="K637" s="13"/>
      <c r="L637" s="13"/>
      <c r="M637" s="15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8"/>
      <c r="J638" s="13"/>
      <c r="K638" s="13"/>
      <c r="L638" s="13"/>
      <c r="M638" s="15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8"/>
      <c r="J639" s="13"/>
      <c r="K639" s="13"/>
      <c r="L639" s="13"/>
      <c r="M639" s="15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8"/>
      <c r="J640" s="13"/>
      <c r="K640" s="13"/>
      <c r="L640" s="13"/>
      <c r="M640" s="15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8"/>
      <c r="J641" s="13"/>
      <c r="K641" s="13"/>
      <c r="L641" s="13"/>
      <c r="M641" s="15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8"/>
      <c r="J642" s="13"/>
      <c r="K642" s="13"/>
      <c r="L642" s="13"/>
      <c r="M642" s="15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8"/>
      <c r="J643" s="13"/>
      <c r="K643" s="13"/>
      <c r="L643" s="13"/>
      <c r="M643" s="15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8"/>
      <c r="J644" s="13"/>
      <c r="K644" s="13"/>
      <c r="L644" s="13"/>
      <c r="M644" s="15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8"/>
      <c r="J645" s="13"/>
      <c r="K645" s="13"/>
      <c r="L645" s="13"/>
      <c r="M645" s="15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8"/>
      <c r="J646" s="13"/>
      <c r="K646" s="13"/>
      <c r="L646" s="13"/>
      <c r="M646" s="15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8"/>
      <c r="J647" s="13"/>
      <c r="K647" s="13"/>
      <c r="L647" s="13"/>
      <c r="M647" s="15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8"/>
      <c r="J648" s="13"/>
      <c r="K648" s="13"/>
      <c r="L648" s="13"/>
      <c r="M648" s="15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8"/>
      <c r="J649" s="13"/>
      <c r="K649" s="13"/>
      <c r="L649" s="13"/>
      <c r="M649" s="15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8"/>
      <c r="J650" s="13"/>
      <c r="K650" s="13"/>
      <c r="L650" s="13"/>
      <c r="M650" s="15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8"/>
      <c r="J651" s="13"/>
      <c r="K651" s="13"/>
      <c r="L651" s="13"/>
      <c r="M651" s="15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8"/>
      <c r="J652" s="13"/>
      <c r="K652" s="13"/>
      <c r="L652" s="13"/>
      <c r="M652" s="15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8"/>
      <c r="J653" s="13"/>
      <c r="K653" s="13"/>
      <c r="L653" s="13"/>
      <c r="M653" s="15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8"/>
      <c r="J654" s="13"/>
      <c r="K654" s="13"/>
      <c r="L654" s="13"/>
      <c r="M654" s="15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8"/>
      <c r="J655" s="13"/>
      <c r="K655" s="13"/>
      <c r="L655" s="13"/>
      <c r="M655" s="15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8"/>
      <c r="J656" s="13"/>
      <c r="K656" s="13"/>
      <c r="L656" s="13"/>
      <c r="M656" s="15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8"/>
      <c r="J657" s="13"/>
      <c r="K657" s="13"/>
      <c r="L657" s="13"/>
      <c r="M657" s="15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8"/>
      <c r="J658" s="13"/>
      <c r="K658" s="13"/>
      <c r="L658" s="13"/>
      <c r="M658" s="15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8"/>
      <c r="J659" s="13"/>
      <c r="K659" s="13"/>
      <c r="L659" s="13"/>
      <c r="M659" s="15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8"/>
      <c r="J660" s="13"/>
      <c r="K660" s="13"/>
      <c r="L660" s="13"/>
      <c r="M660" s="15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8"/>
      <c r="J661" s="13"/>
      <c r="K661" s="13"/>
      <c r="L661" s="13"/>
      <c r="M661" s="15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8"/>
      <c r="J662" s="13"/>
      <c r="K662" s="13"/>
      <c r="L662" s="13"/>
      <c r="M662" s="15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8"/>
      <c r="J663" s="13"/>
      <c r="K663" s="13"/>
      <c r="L663" s="13"/>
      <c r="M663" s="15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8"/>
      <c r="J664" s="13"/>
      <c r="K664" s="13"/>
      <c r="L664" s="13"/>
      <c r="M664" s="15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8"/>
      <c r="J665" s="13"/>
      <c r="K665" s="13"/>
      <c r="L665" s="13"/>
      <c r="M665" s="15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8"/>
      <c r="J666" s="13"/>
      <c r="K666" s="13"/>
      <c r="L666" s="13"/>
      <c r="M666" s="15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8"/>
      <c r="J667" s="13"/>
      <c r="K667" s="13"/>
      <c r="L667" s="13"/>
      <c r="M667" s="15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8"/>
      <c r="J668" s="13"/>
      <c r="K668" s="13"/>
      <c r="L668" s="13"/>
      <c r="M668" s="15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8"/>
      <c r="J669" s="13"/>
      <c r="K669" s="13"/>
      <c r="L669" s="13"/>
      <c r="M669" s="15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8"/>
      <c r="J670" s="13"/>
      <c r="K670" s="13"/>
      <c r="L670" s="13"/>
      <c r="M670" s="15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8"/>
      <c r="J671" s="13"/>
      <c r="K671" s="13"/>
      <c r="L671" s="13"/>
      <c r="M671" s="15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8"/>
      <c r="J672" s="13"/>
      <c r="K672" s="13"/>
      <c r="L672" s="13"/>
      <c r="M672" s="15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8"/>
      <c r="J673" s="13"/>
      <c r="K673" s="13"/>
      <c r="L673" s="13"/>
      <c r="M673" s="15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8"/>
      <c r="J674" s="13"/>
      <c r="K674" s="13"/>
      <c r="L674" s="13"/>
      <c r="M674" s="15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8"/>
      <c r="J675" s="13"/>
      <c r="K675" s="13"/>
      <c r="L675" s="13"/>
      <c r="M675" s="15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8"/>
      <c r="J676" s="13"/>
      <c r="K676" s="13"/>
      <c r="L676" s="13"/>
      <c r="M676" s="15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8"/>
      <c r="J677" s="13"/>
      <c r="K677" s="13"/>
      <c r="L677" s="13"/>
      <c r="M677" s="15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8"/>
      <c r="J678" s="13"/>
      <c r="K678" s="13"/>
      <c r="L678" s="13"/>
      <c r="M678" s="15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8"/>
      <c r="J679" s="13"/>
      <c r="K679" s="13"/>
      <c r="L679" s="13"/>
      <c r="M679" s="15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8"/>
      <c r="J680" s="13"/>
      <c r="K680" s="13"/>
      <c r="L680" s="13"/>
      <c r="M680" s="15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8"/>
      <c r="J681" s="13"/>
      <c r="K681" s="13"/>
      <c r="L681" s="13"/>
      <c r="M681" s="15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8"/>
      <c r="J682" s="13"/>
      <c r="K682" s="13"/>
      <c r="L682" s="13"/>
      <c r="M682" s="15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8"/>
      <c r="J683" s="13"/>
      <c r="K683" s="13"/>
      <c r="L683" s="13"/>
      <c r="M683" s="15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8"/>
      <c r="J684" s="13"/>
      <c r="K684" s="13"/>
      <c r="L684" s="13"/>
      <c r="M684" s="15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8"/>
      <c r="J685" s="13"/>
      <c r="K685" s="13"/>
      <c r="L685" s="13"/>
      <c r="M685" s="15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8"/>
      <c r="J686" s="13"/>
      <c r="K686" s="13"/>
      <c r="L686" s="13"/>
      <c r="M686" s="15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8"/>
      <c r="J687" s="13"/>
      <c r="K687" s="13"/>
      <c r="L687" s="13"/>
      <c r="M687" s="15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8"/>
      <c r="J688" s="13"/>
      <c r="K688" s="13"/>
      <c r="L688" s="13"/>
      <c r="M688" s="15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8"/>
      <c r="J689" s="13"/>
      <c r="K689" s="13"/>
      <c r="L689" s="13"/>
      <c r="M689" s="15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8"/>
      <c r="J690" s="13"/>
      <c r="K690" s="13"/>
      <c r="L690" s="13"/>
      <c r="M690" s="15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8"/>
      <c r="J691" s="13"/>
      <c r="K691" s="13"/>
      <c r="L691" s="13"/>
      <c r="M691" s="15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8"/>
      <c r="J692" s="13"/>
      <c r="K692" s="13"/>
      <c r="L692" s="13"/>
      <c r="M692" s="15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8"/>
      <c r="J693" s="13"/>
      <c r="K693" s="13"/>
      <c r="L693" s="13"/>
      <c r="M693" s="15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8"/>
      <c r="J694" s="13"/>
      <c r="K694" s="13"/>
      <c r="L694" s="13"/>
      <c r="M694" s="15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8"/>
      <c r="J695" s="13"/>
      <c r="K695" s="13"/>
      <c r="L695" s="13"/>
      <c r="M695" s="15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8"/>
      <c r="J696" s="13"/>
      <c r="K696" s="13"/>
      <c r="L696" s="13"/>
      <c r="M696" s="15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8"/>
      <c r="J697" s="13"/>
      <c r="K697" s="13"/>
      <c r="L697" s="13"/>
      <c r="M697" s="15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8"/>
      <c r="J698" s="13"/>
      <c r="K698" s="13"/>
      <c r="L698" s="13"/>
      <c r="M698" s="15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8"/>
      <c r="J699" s="13"/>
      <c r="K699" s="13"/>
      <c r="L699" s="13"/>
      <c r="M699" s="15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8"/>
      <c r="J700" s="13"/>
      <c r="K700" s="13"/>
      <c r="L700" s="13"/>
      <c r="M700" s="15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8"/>
      <c r="J701" s="13"/>
      <c r="K701" s="13"/>
      <c r="L701" s="13"/>
      <c r="M701" s="15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8"/>
      <c r="J702" s="13"/>
      <c r="K702" s="13"/>
      <c r="L702" s="13"/>
      <c r="M702" s="15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8"/>
      <c r="J703" s="13"/>
      <c r="K703" s="13"/>
      <c r="L703" s="13"/>
      <c r="M703" s="15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8"/>
      <c r="J704" s="13"/>
      <c r="K704" s="13"/>
      <c r="L704" s="13"/>
      <c r="M704" s="15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8"/>
      <c r="J705" s="13"/>
      <c r="K705" s="13"/>
      <c r="L705" s="13"/>
      <c r="M705" s="15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8"/>
      <c r="J706" s="13"/>
      <c r="K706" s="13"/>
      <c r="L706" s="13"/>
      <c r="M706" s="15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8"/>
      <c r="J707" s="13"/>
      <c r="K707" s="13"/>
      <c r="L707" s="13"/>
      <c r="M707" s="15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8"/>
      <c r="J708" s="13"/>
      <c r="K708" s="13"/>
      <c r="L708" s="13"/>
      <c r="M708" s="15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8"/>
      <c r="J709" s="13"/>
      <c r="K709" s="13"/>
      <c r="L709" s="13"/>
      <c r="M709" s="15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8"/>
      <c r="J710" s="13"/>
      <c r="K710" s="13"/>
      <c r="L710" s="13"/>
      <c r="M710" s="15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8"/>
      <c r="J711" s="13"/>
      <c r="K711" s="13"/>
      <c r="L711" s="13"/>
      <c r="M711" s="15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8"/>
      <c r="J712" s="13"/>
      <c r="K712" s="13"/>
      <c r="L712" s="13"/>
      <c r="M712" s="15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8"/>
      <c r="J713" s="13"/>
      <c r="K713" s="13"/>
      <c r="L713" s="13"/>
      <c r="M713" s="15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8"/>
      <c r="J714" s="13"/>
      <c r="K714" s="13"/>
      <c r="L714" s="13"/>
      <c r="M714" s="15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8"/>
      <c r="J715" s="13"/>
      <c r="K715" s="13"/>
      <c r="L715" s="13"/>
      <c r="M715" s="15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8"/>
      <c r="J716" s="13"/>
      <c r="K716" s="13"/>
      <c r="L716" s="13"/>
      <c r="M716" s="15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8"/>
      <c r="J717" s="13"/>
      <c r="K717" s="13"/>
      <c r="L717" s="13"/>
      <c r="M717" s="15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8"/>
      <c r="J718" s="13"/>
      <c r="K718" s="13"/>
      <c r="L718" s="13"/>
      <c r="M718" s="15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8"/>
      <c r="J719" s="13"/>
      <c r="K719" s="13"/>
      <c r="L719" s="13"/>
      <c r="M719" s="15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8"/>
      <c r="J720" s="13"/>
      <c r="K720" s="13"/>
      <c r="L720" s="13"/>
      <c r="M720" s="15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8"/>
      <c r="J721" s="13"/>
      <c r="K721" s="13"/>
      <c r="L721" s="13"/>
      <c r="M721" s="15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8"/>
      <c r="J722" s="13"/>
      <c r="K722" s="13"/>
      <c r="L722" s="13"/>
      <c r="M722" s="15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8"/>
      <c r="J723" s="13"/>
      <c r="K723" s="13"/>
      <c r="L723" s="13"/>
      <c r="M723" s="15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8"/>
      <c r="J724" s="13"/>
      <c r="K724" s="13"/>
      <c r="L724" s="13"/>
      <c r="M724" s="15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8"/>
      <c r="J725" s="13"/>
      <c r="K725" s="13"/>
      <c r="L725" s="13"/>
      <c r="M725" s="15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8"/>
      <c r="J726" s="13"/>
      <c r="K726" s="13"/>
      <c r="L726" s="13"/>
      <c r="M726" s="15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8"/>
      <c r="J727" s="13"/>
      <c r="K727" s="13"/>
      <c r="L727" s="13"/>
      <c r="M727" s="15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8"/>
      <c r="J728" s="13"/>
      <c r="K728" s="13"/>
      <c r="L728" s="13"/>
      <c r="M728" s="15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8"/>
      <c r="J729" s="13"/>
      <c r="K729" s="13"/>
      <c r="L729" s="13"/>
      <c r="M729" s="15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8"/>
      <c r="J730" s="13"/>
      <c r="K730" s="13"/>
      <c r="L730" s="13"/>
      <c r="M730" s="15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8"/>
      <c r="J731" s="13"/>
      <c r="K731" s="13"/>
      <c r="L731" s="13"/>
      <c r="M731" s="15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8"/>
      <c r="J732" s="13"/>
      <c r="K732" s="13"/>
      <c r="L732" s="13"/>
      <c r="M732" s="15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8"/>
      <c r="J733" s="13"/>
      <c r="K733" s="13"/>
      <c r="L733" s="13"/>
      <c r="M733" s="15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8"/>
      <c r="J734" s="13"/>
      <c r="K734" s="13"/>
      <c r="L734" s="13"/>
      <c r="M734" s="15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8"/>
      <c r="J735" s="13"/>
      <c r="K735" s="13"/>
      <c r="L735" s="13"/>
      <c r="M735" s="15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8"/>
      <c r="J736" s="13"/>
      <c r="K736" s="13"/>
      <c r="L736" s="13"/>
      <c r="M736" s="15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8"/>
      <c r="J737" s="13"/>
      <c r="K737" s="13"/>
      <c r="L737" s="13"/>
      <c r="M737" s="15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8"/>
      <c r="J738" s="13"/>
      <c r="K738" s="13"/>
      <c r="L738" s="13"/>
      <c r="M738" s="15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8"/>
      <c r="J739" s="13"/>
      <c r="K739" s="13"/>
      <c r="L739" s="13"/>
      <c r="M739" s="15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8"/>
      <c r="J740" s="13"/>
      <c r="K740" s="13"/>
      <c r="L740" s="13"/>
      <c r="M740" s="15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8"/>
      <c r="J741" s="13"/>
      <c r="K741" s="13"/>
      <c r="L741" s="13"/>
      <c r="M741" s="15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8"/>
      <c r="J742" s="13"/>
      <c r="K742" s="13"/>
      <c r="L742" s="13"/>
      <c r="M742" s="15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8"/>
      <c r="J743" s="13"/>
      <c r="K743" s="13"/>
      <c r="L743" s="13"/>
      <c r="M743" s="15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8"/>
      <c r="J744" s="13"/>
      <c r="K744" s="13"/>
      <c r="L744" s="13"/>
      <c r="M744" s="15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8"/>
      <c r="J745" s="13"/>
      <c r="K745" s="13"/>
      <c r="L745" s="13"/>
      <c r="M745" s="15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8"/>
      <c r="J746" s="13"/>
      <c r="K746" s="13"/>
      <c r="L746" s="13"/>
      <c r="M746" s="15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8"/>
      <c r="J747" s="13"/>
      <c r="K747" s="13"/>
      <c r="L747" s="13"/>
      <c r="M747" s="15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8"/>
      <c r="J748" s="13"/>
      <c r="K748" s="13"/>
      <c r="L748" s="13"/>
      <c r="M748" s="15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8"/>
      <c r="J749" s="13"/>
      <c r="K749" s="13"/>
      <c r="L749" s="13"/>
      <c r="M749" s="15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8"/>
      <c r="J750" s="13"/>
      <c r="K750" s="13"/>
      <c r="L750" s="13"/>
      <c r="M750" s="15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8"/>
      <c r="J751" s="13"/>
      <c r="K751" s="13"/>
      <c r="L751" s="13"/>
      <c r="M751" s="15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8"/>
      <c r="J752" s="13"/>
      <c r="K752" s="13"/>
      <c r="L752" s="13"/>
      <c r="M752" s="15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8"/>
      <c r="J753" s="13"/>
      <c r="K753" s="13"/>
      <c r="L753" s="13"/>
      <c r="M753" s="15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8"/>
      <c r="J754" s="13"/>
      <c r="K754" s="13"/>
      <c r="L754" s="13"/>
      <c r="M754" s="15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8"/>
      <c r="J755" s="13"/>
      <c r="K755" s="13"/>
      <c r="L755" s="13"/>
      <c r="M755" s="15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8"/>
      <c r="J756" s="13"/>
      <c r="K756" s="13"/>
      <c r="L756" s="13"/>
      <c r="M756" s="15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8"/>
      <c r="J757" s="13"/>
      <c r="K757" s="13"/>
      <c r="L757" s="13"/>
      <c r="M757" s="15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8"/>
      <c r="J758" s="13"/>
      <c r="K758" s="13"/>
      <c r="L758" s="13"/>
      <c r="M758" s="15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8"/>
      <c r="J759" s="13"/>
      <c r="K759" s="13"/>
      <c r="L759" s="13"/>
      <c r="M759" s="15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8"/>
      <c r="J760" s="13"/>
      <c r="K760" s="13"/>
      <c r="L760" s="13"/>
      <c r="M760" s="15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8"/>
      <c r="J761" s="13"/>
      <c r="K761" s="13"/>
      <c r="L761" s="13"/>
      <c r="M761" s="15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8"/>
      <c r="J762" s="13"/>
      <c r="K762" s="13"/>
      <c r="L762" s="13"/>
      <c r="M762" s="15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8"/>
      <c r="J763" s="13"/>
      <c r="K763" s="13"/>
      <c r="L763" s="13"/>
      <c r="M763" s="15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8"/>
      <c r="J764" s="13"/>
      <c r="K764" s="13"/>
      <c r="L764" s="13"/>
      <c r="M764" s="15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8"/>
      <c r="J765" s="13"/>
      <c r="K765" s="13"/>
      <c r="L765" s="13"/>
      <c r="M765" s="15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8"/>
      <c r="J766" s="13"/>
      <c r="K766" s="13"/>
      <c r="L766" s="13"/>
      <c r="M766" s="15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8"/>
      <c r="J767" s="13"/>
      <c r="K767" s="13"/>
      <c r="L767" s="13"/>
      <c r="M767" s="15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8"/>
      <c r="J768" s="13"/>
      <c r="K768" s="13"/>
      <c r="L768" s="13"/>
      <c r="M768" s="15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8"/>
      <c r="J769" s="13"/>
      <c r="K769" s="13"/>
      <c r="L769" s="13"/>
      <c r="M769" s="15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8"/>
      <c r="J770" s="13"/>
      <c r="K770" s="13"/>
      <c r="L770" s="13"/>
      <c r="M770" s="15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8"/>
      <c r="J771" s="13"/>
      <c r="K771" s="13"/>
      <c r="L771" s="13"/>
      <c r="M771" s="15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8"/>
      <c r="J772" s="13"/>
      <c r="K772" s="13"/>
      <c r="L772" s="13"/>
      <c r="M772" s="15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8"/>
      <c r="J773" s="13"/>
      <c r="K773" s="13"/>
      <c r="L773" s="13"/>
      <c r="M773" s="15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8"/>
      <c r="J774" s="13"/>
      <c r="K774" s="13"/>
      <c r="L774" s="13"/>
      <c r="M774" s="15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8"/>
      <c r="J775" s="13"/>
      <c r="K775" s="13"/>
      <c r="L775" s="13"/>
      <c r="M775" s="15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8"/>
      <c r="J776" s="13"/>
      <c r="K776" s="13"/>
      <c r="L776" s="13"/>
      <c r="M776" s="15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8"/>
      <c r="J777" s="13"/>
      <c r="K777" s="13"/>
      <c r="L777" s="13"/>
      <c r="M777" s="15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8"/>
      <c r="J778" s="13"/>
      <c r="K778" s="13"/>
      <c r="L778" s="13"/>
      <c r="M778" s="15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8"/>
      <c r="J779" s="13"/>
      <c r="K779" s="13"/>
      <c r="L779" s="13"/>
      <c r="M779" s="15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8"/>
      <c r="J780" s="13"/>
      <c r="K780" s="13"/>
      <c r="L780" s="13"/>
      <c r="M780" s="15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8"/>
      <c r="J781" s="13"/>
      <c r="K781" s="13"/>
      <c r="L781" s="13"/>
      <c r="M781" s="15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8"/>
      <c r="J782" s="13"/>
      <c r="K782" s="13"/>
      <c r="L782" s="13"/>
      <c r="M782" s="15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8"/>
      <c r="J783" s="13"/>
      <c r="K783" s="13"/>
      <c r="L783" s="13"/>
      <c r="M783" s="15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8"/>
      <c r="J784" s="13"/>
      <c r="K784" s="13"/>
      <c r="L784" s="13"/>
      <c r="M784" s="15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8"/>
      <c r="J785" s="13"/>
      <c r="K785" s="13"/>
      <c r="L785" s="13"/>
      <c r="M785" s="15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8"/>
      <c r="J786" s="13"/>
      <c r="K786" s="13"/>
      <c r="L786" s="13"/>
      <c r="M786" s="15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8"/>
      <c r="J787" s="13"/>
      <c r="K787" s="13"/>
      <c r="L787" s="13"/>
      <c r="M787" s="15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8"/>
      <c r="J788" s="13"/>
      <c r="K788" s="13"/>
      <c r="L788" s="13"/>
      <c r="M788" s="15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8"/>
      <c r="J789" s="13"/>
      <c r="K789" s="13"/>
      <c r="L789" s="13"/>
      <c r="M789" s="15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8"/>
      <c r="J790" s="13"/>
      <c r="K790" s="13"/>
      <c r="L790" s="13"/>
      <c r="M790" s="15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8"/>
      <c r="J791" s="13"/>
      <c r="K791" s="13"/>
      <c r="L791" s="13"/>
      <c r="M791" s="15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8"/>
      <c r="J792" s="13"/>
      <c r="K792" s="13"/>
      <c r="L792" s="13"/>
      <c r="M792" s="15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8"/>
      <c r="J793" s="13"/>
      <c r="K793" s="13"/>
      <c r="L793" s="13"/>
      <c r="M793" s="15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8"/>
      <c r="J794" s="13"/>
      <c r="K794" s="13"/>
      <c r="L794" s="13"/>
      <c r="M794" s="15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8"/>
      <c r="J795" s="13"/>
      <c r="K795" s="13"/>
      <c r="L795" s="13"/>
      <c r="M795" s="15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8"/>
      <c r="J796" s="13"/>
      <c r="K796" s="13"/>
      <c r="L796" s="13"/>
      <c r="M796" s="15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8"/>
      <c r="J797" s="13"/>
      <c r="K797" s="13"/>
      <c r="L797" s="13"/>
      <c r="M797" s="15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8"/>
      <c r="J798" s="13"/>
      <c r="K798" s="13"/>
      <c r="L798" s="13"/>
      <c r="M798" s="15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8"/>
      <c r="J799" s="13"/>
      <c r="K799" s="13"/>
      <c r="L799" s="13"/>
      <c r="M799" s="15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8"/>
      <c r="J800" s="13"/>
      <c r="K800" s="13"/>
      <c r="L800" s="13"/>
      <c r="M800" s="15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8"/>
      <c r="J801" s="13"/>
      <c r="K801" s="13"/>
      <c r="L801" s="13"/>
      <c r="M801" s="15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8"/>
      <c r="J802" s="13"/>
      <c r="K802" s="13"/>
      <c r="L802" s="13"/>
      <c r="M802" s="15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8"/>
      <c r="J803" s="13"/>
      <c r="K803" s="13"/>
      <c r="L803" s="13"/>
      <c r="M803" s="15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8"/>
      <c r="J804" s="13"/>
      <c r="K804" s="13"/>
      <c r="L804" s="13"/>
      <c r="M804" s="15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8"/>
      <c r="J805" s="13"/>
      <c r="K805" s="13"/>
      <c r="L805" s="13"/>
      <c r="M805" s="15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8"/>
      <c r="J806" s="13"/>
      <c r="K806" s="13"/>
      <c r="L806" s="13"/>
      <c r="M806" s="15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8"/>
      <c r="J807" s="13"/>
      <c r="K807" s="13"/>
      <c r="L807" s="13"/>
      <c r="M807" s="15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8"/>
      <c r="J808" s="13"/>
      <c r="K808" s="13"/>
      <c r="L808" s="13"/>
      <c r="M808" s="15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8"/>
      <c r="J809" s="13"/>
      <c r="K809" s="13"/>
      <c r="L809" s="13"/>
      <c r="M809" s="15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8"/>
      <c r="J810" s="13"/>
      <c r="K810" s="13"/>
      <c r="L810" s="13"/>
      <c r="M810" s="15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8"/>
      <c r="J811" s="13"/>
      <c r="K811" s="13"/>
      <c r="L811" s="13"/>
      <c r="M811" s="15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8"/>
      <c r="J812" s="13"/>
      <c r="K812" s="13"/>
      <c r="L812" s="13"/>
      <c r="M812" s="15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8"/>
      <c r="J813" s="13"/>
      <c r="K813" s="13"/>
      <c r="L813" s="13"/>
      <c r="M813" s="15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8"/>
      <c r="J814" s="13"/>
      <c r="K814" s="13"/>
      <c r="L814" s="13"/>
      <c r="M814" s="15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8"/>
      <c r="J815" s="13"/>
      <c r="K815" s="13"/>
      <c r="L815" s="13"/>
      <c r="M815" s="15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8"/>
      <c r="J816" s="13"/>
      <c r="K816" s="13"/>
      <c r="L816" s="13"/>
      <c r="M816" s="15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8"/>
      <c r="J817" s="13"/>
      <c r="K817" s="13"/>
      <c r="L817" s="13"/>
      <c r="M817" s="15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8"/>
      <c r="J818" s="13"/>
      <c r="K818" s="13"/>
      <c r="L818" s="13"/>
      <c r="M818" s="15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8"/>
      <c r="J819" s="13"/>
      <c r="K819" s="13"/>
      <c r="L819" s="13"/>
      <c r="M819" s="15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8"/>
      <c r="J820" s="13"/>
      <c r="K820" s="13"/>
      <c r="L820" s="13"/>
      <c r="M820" s="15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8"/>
      <c r="J821" s="13"/>
      <c r="K821" s="13"/>
      <c r="L821" s="13"/>
      <c r="M821" s="15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8"/>
      <c r="J822" s="13"/>
      <c r="K822" s="13"/>
      <c r="L822" s="13"/>
      <c r="M822" s="15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8"/>
      <c r="J823" s="13"/>
      <c r="K823" s="13"/>
      <c r="L823" s="13"/>
      <c r="M823" s="15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8"/>
      <c r="J824" s="13"/>
      <c r="K824" s="13"/>
      <c r="L824" s="13"/>
      <c r="M824" s="15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8"/>
      <c r="J825" s="13"/>
      <c r="K825" s="13"/>
      <c r="L825" s="13"/>
      <c r="M825" s="15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8"/>
      <c r="J826" s="13"/>
      <c r="K826" s="13"/>
      <c r="L826" s="13"/>
      <c r="M826" s="15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8"/>
      <c r="J827" s="13"/>
      <c r="K827" s="13"/>
      <c r="L827" s="13"/>
      <c r="M827" s="15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8"/>
      <c r="J828" s="13"/>
      <c r="K828" s="13"/>
      <c r="L828" s="13"/>
      <c r="M828" s="15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8"/>
      <c r="J829" s="13"/>
      <c r="K829" s="13"/>
      <c r="L829" s="13"/>
      <c r="M829" s="15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8"/>
      <c r="J830" s="13"/>
      <c r="K830" s="13"/>
      <c r="L830" s="13"/>
      <c r="M830" s="15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8"/>
      <c r="J831" s="13"/>
      <c r="K831" s="13"/>
      <c r="L831" s="13"/>
      <c r="M831" s="15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8"/>
      <c r="J832" s="13"/>
      <c r="K832" s="13"/>
      <c r="L832" s="13"/>
      <c r="M832" s="15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8"/>
      <c r="J833" s="13"/>
      <c r="K833" s="13"/>
      <c r="L833" s="13"/>
      <c r="M833" s="15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8"/>
      <c r="J834" s="13"/>
      <c r="K834" s="13"/>
      <c r="L834" s="13"/>
      <c r="M834" s="15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8"/>
      <c r="J835" s="13"/>
      <c r="K835" s="13"/>
      <c r="L835" s="13"/>
      <c r="M835" s="15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8"/>
      <c r="J836" s="13"/>
      <c r="K836" s="13"/>
      <c r="L836" s="13"/>
      <c r="M836" s="15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8"/>
      <c r="J837" s="13"/>
      <c r="K837" s="13"/>
      <c r="L837" s="13"/>
      <c r="M837" s="15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8"/>
      <c r="J838" s="13"/>
      <c r="K838" s="13"/>
      <c r="L838" s="13"/>
      <c r="M838" s="15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8"/>
      <c r="J839" s="13"/>
      <c r="K839" s="13"/>
      <c r="L839" s="13"/>
      <c r="M839" s="15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8"/>
      <c r="J840" s="13"/>
      <c r="K840" s="13"/>
      <c r="L840" s="13"/>
      <c r="M840" s="15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8"/>
      <c r="J841" s="13"/>
      <c r="K841" s="13"/>
      <c r="L841" s="13"/>
      <c r="M841" s="15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8"/>
      <c r="J842" s="13"/>
      <c r="K842" s="13"/>
      <c r="L842" s="13"/>
      <c r="M842" s="15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8"/>
      <c r="J843" s="13"/>
      <c r="K843" s="13"/>
      <c r="L843" s="13"/>
      <c r="M843" s="15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8"/>
      <c r="J844" s="13"/>
      <c r="K844" s="13"/>
      <c r="L844" s="13"/>
      <c r="M844" s="15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8"/>
      <c r="J845" s="13"/>
      <c r="K845" s="13"/>
      <c r="L845" s="13"/>
      <c r="M845" s="15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8"/>
      <c r="J846" s="13"/>
      <c r="K846" s="13"/>
      <c r="L846" s="13"/>
      <c r="M846" s="15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8"/>
      <c r="J847" s="13"/>
      <c r="K847" s="13"/>
      <c r="L847" s="13"/>
      <c r="M847" s="15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8"/>
      <c r="J848" s="13"/>
      <c r="K848" s="13"/>
      <c r="L848" s="13"/>
      <c r="M848" s="15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8"/>
      <c r="J849" s="13"/>
      <c r="K849" s="13"/>
      <c r="L849" s="13"/>
      <c r="M849" s="15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8"/>
      <c r="J850" s="13"/>
      <c r="K850" s="13"/>
      <c r="L850" s="13"/>
      <c r="M850" s="15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8"/>
      <c r="J851" s="13"/>
      <c r="K851" s="13"/>
      <c r="L851" s="13"/>
      <c r="M851" s="15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8"/>
      <c r="J852" s="13"/>
      <c r="K852" s="13"/>
      <c r="L852" s="13"/>
      <c r="M852" s="15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8"/>
      <c r="J853" s="13"/>
      <c r="K853" s="13"/>
      <c r="L853" s="13"/>
      <c r="M853" s="15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8"/>
      <c r="J854" s="13"/>
      <c r="K854" s="13"/>
      <c r="L854" s="13"/>
      <c r="M854" s="15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8"/>
      <c r="J855" s="13"/>
      <c r="K855" s="13"/>
      <c r="L855" s="13"/>
      <c r="M855" s="15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8"/>
      <c r="J856" s="13"/>
      <c r="K856" s="13"/>
      <c r="L856" s="13"/>
      <c r="M856" s="15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8"/>
      <c r="J857" s="13"/>
      <c r="K857" s="13"/>
      <c r="L857" s="13"/>
      <c r="M857" s="15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8"/>
      <c r="J858" s="13"/>
      <c r="K858" s="13"/>
      <c r="L858" s="13"/>
      <c r="M858" s="15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8"/>
      <c r="J859" s="13"/>
      <c r="K859" s="13"/>
      <c r="L859" s="13"/>
      <c r="M859" s="15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8"/>
      <c r="J860" s="13"/>
      <c r="K860" s="13"/>
      <c r="L860" s="13"/>
      <c r="M860" s="15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8"/>
      <c r="J861" s="13"/>
      <c r="K861" s="13"/>
      <c r="L861" s="13"/>
      <c r="M861" s="15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8"/>
      <c r="J862" s="13"/>
      <c r="K862" s="13"/>
      <c r="L862" s="13"/>
      <c r="M862" s="15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8"/>
      <c r="J863" s="13"/>
      <c r="K863" s="13"/>
      <c r="L863" s="13"/>
      <c r="M863" s="15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8"/>
      <c r="J864" s="13"/>
      <c r="K864" s="13"/>
      <c r="L864" s="13"/>
      <c r="M864" s="15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8"/>
      <c r="J865" s="13"/>
      <c r="K865" s="13"/>
      <c r="L865" s="13"/>
      <c r="M865" s="15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8"/>
      <c r="J866" s="13"/>
      <c r="K866" s="13"/>
      <c r="L866" s="13"/>
      <c r="M866" s="15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8"/>
      <c r="J867" s="13"/>
      <c r="K867" s="13"/>
      <c r="L867" s="13"/>
      <c r="M867" s="15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8"/>
      <c r="J868" s="13"/>
      <c r="K868" s="13"/>
      <c r="L868" s="13"/>
      <c r="M868" s="15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8"/>
      <c r="J869" s="13"/>
      <c r="K869" s="13"/>
      <c r="L869" s="13"/>
      <c r="M869" s="15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8"/>
      <c r="J870" s="13"/>
      <c r="K870" s="13"/>
      <c r="L870" s="13"/>
      <c r="M870" s="15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8"/>
      <c r="J871" s="13"/>
      <c r="K871" s="13"/>
      <c r="L871" s="13"/>
      <c r="M871" s="15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8"/>
      <c r="J872" s="13"/>
      <c r="K872" s="13"/>
      <c r="L872" s="13"/>
      <c r="M872" s="15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8"/>
      <c r="J873" s="13"/>
      <c r="K873" s="13"/>
      <c r="L873" s="13"/>
      <c r="M873" s="15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8"/>
      <c r="J874" s="13"/>
      <c r="K874" s="13"/>
      <c r="L874" s="13"/>
      <c r="M874" s="15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8"/>
      <c r="J875" s="13"/>
      <c r="K875" s="13"/>
      <c r="L875" s="13"/>
      <c r="M875" s="15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8"/>
      <c r="J876" s="13"/>
      <c r="K876" s="13"/>
      <c r="L876" s="13"/>
      <c r="M876" s="15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8"/>
      <c r="J877" s="13"/>
      <c r="K877" s="13"/>
      <c r="L877" s="13"/>
      <c r="M877" s="15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8"/>
      <c r="J878" s="13"/>
      <c r="K878" s="13"/>
      <c r="L878" s="13"/>
      <c r="M878" s="15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8"/>
      <c r="J879" s="13"/>
      <c r="K879" s="13"/>
      <c r="L879" s="13"/>
      <c r="M879" s="15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8"/>
      <c r="J880" s="13"/>
      <c r="K880" s="13"/>
      <c r="L880" s="13"/>
      <c r="M880" s="15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8"/>
      <c r="J881" s="13"/>
      <c r="K881" s="13"/>
      <c r="L881" s="13"/>
      <c r="M881" s="15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8"/>
      <c r="J882" s="13"/>
      <c r="K882" s="13"/>
      <c r="L882" s="13"/>
      <c r="M882" s="15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8"/>
      <c r="J883" s="13"/>
      <c r="K883" s="13"/>
      <c r="L883" s="13"/>
      <c r="M883" s="15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8"/>
      <c r="J884" s="13"/>
      <c r="K884" s="13"/>
      <c r="L884" s="13"/>
      <c r="M884" s="15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8"/>
      <c r="J885" s="13"/>
      <c r="K885" s="13"/>
      <c r="L885" s="13"/>
      <c r="M885" s="15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8"/>
      <c r="J886" s="13"/>
      <c r="K886" s="13"/>
      <c r="L886" s="13"/>
      <c r="M886" s="15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8"/>
      <c r="J887" s="13"/>
      <c r="K887" s="13"/>
      <c r="L887" s="13"/>
      <c r="M887" s="15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8"/>
      <c r="J888" s="13"/>
      <c r="K888" s="13"/>
      <c r="L888" s="13"/>
      <c r="M888" s="15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8"/>
      <c r="J889" s="13"/>
      <c r="K889" s="13"/>
      <c r="L889" s="13"/>
      <c r="M889" s="15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8"/>
      <c r="J890" s="13"/>
      <c r="K890" s="13"/>
      <c r="L890" s="13"/>
      <c r="M890" s="15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8"/>
      <c r="J891" s="13"/>
      <c r="K891" s="13"/>
      <c r="L891" s="13"/>
      <c r="M891" s="15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8"/>
      <c r="J892" s="13"/>
      <c r="K892" s="13"/>
      <c r="L892" s="13"/>
      <c r="M892" s="15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8"/>
      <c r="J893" s="13"/>
      <c r="K893" s="13"/>
      <c r="L893" s="13"/>
      <c r="M893" s="15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8"/>
      <c r="J894" s="13"/>
      <c r="K894" s="13"/>
      <c r="L894" s="13"/>
      <c r="M894" s="15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8"/>
      <c r="J895" s="13"/>
      <c r="K895" s="13"/>
      <c r="L895" s="13"/>
      <c r="M895" s="15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8"/>
      <c r="J896" s="13"/>
      <c r="K896" s="13"/>
      <c r="L896" s="13"/>
      <c r="M896" s="15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8"/>
      <c r="J897" s="13"/>
      <c r="K897" s="13"/>
      <c r="L897" s="13"/>
      <c r="M897" s="15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8"/>
      <c r="J898" s="13"/>
      <c r="K898" s="13"/>
      <c r="L898" s="13"/>
      <c r="M898" s="15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8"/>
      <c r="J899" s="13"/>
      <c r="K899" s="13"/>
      <c r="L899" s="13"/>
      <c r="M899" s="15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8"/>
      <c r="J900" s="13"/>
      <c r="K900" s="13"/>
      <c r="L900" s="13"/>
      <c r="M900" s="15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8"/>
      <c r="J901" s="13"/>
      <c r="K901" s="13"/>
      <c r="L901" s="13"/>
      <c r="M901" s="15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8"/>
      <c r="J902" s="13"/>
      <c r="K902" s="13"/>
      <c r="L902" s="13"/>
      <c r="M902" s="15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8"/>
      <c r="J903" s="13"/>
      <c r="K903" s="13"/>
      <c r="L903" s="13"/>
      <c r="M903" s="15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8"/>
      <c r="J904" s="13"/>
      <c r="K904" s="13"/>
      <c r="L904" s="13"/>
      <c r="M904" s="15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8"/>
      <c r="J905" s="13"/>
      <c r="K905" s="13"/>
      <c r="L905" s="13"/>
      <c r="M905" s="15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8"/>
      <c r="J906" s="13"/>
      <c r="K906" s="13"/>
      <c r="L906" s="13"/>
      <c r="M906" s="15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8"/>
      <c r="J907" s="13"/>
      <c r="K907" s="13"/>
      <c r="L907" s="13"/>
      <c r="M907" s="15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8"/>
      <c r="J908" s="13"/>
      <c r="K908" s="13"/>
      <c r="L908" s="13"/>
      <c r="M908" s="15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8"/>
      <c r="J909" s="13"/>
      <c r="K909" s="13"/>
      <c r="L909" s="13"/>
      <c r="M909" s="15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8"/>
      <c r="J910" s="13"/>
      <c r="K910" s="13"/>
      <c r="L910" s="13"/>
      <c r="M910" s="15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8"/>
      <c r="J911" s="13"/>
      <c r="K911" s="13"/>
      <c r="L911" s="13"/>
      <c r="M911" s="15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8"/>
      <c r="J912" s="13"/>
      <c r="K912" s="13"/>
      <c r="L912" s="13"/>
      <c r="M912" s="15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8"/>
      <c r="J913" s="13"/>
      <c r="K913" s="13"/>
      <c r="L913" s="13"/>
      <c r="M913" s="15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8"/>
      <c r="J914" s="13"/>
      <c r="K914" s="13"/>
      <c r="L914" s="13"/>
      <c r="M914" s="15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8"/>
      <c r="J915" s="13"/>
      <c r="K915" s="13"/>
      <c r="L915" s="13"/>
      <c r="M915" s="15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8"/>
      <c r="J916" s="13"/>
      <c r="K916" s="13"/>
      <c r="L916" s="13"/>
      <c r="M916" s="15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8"/>
      <c r="J917" s="13"/>
      <c r="K917" s="13"/>
      <c r="L917" s="13"/>
      <c r="M917" s="15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8"/>
      <c r="J918" s="13"/>
      <c r="K918" s="13"/>
      <c r="L918" s="13"/>
      <c r="M918" s="15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8"/>
      <c r="J919" s="13"/>
      <c r="K919" s="13"/>
      <c r="L919" s="13"/>
      <c r="M919" s="15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8"/>
      <c r="J920" s="13"/>
      <c r="K920" s="13"/>
      <c r="L920" s="13"/>
      <c r="M920" s="15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8"/>
      <c r="J921" s="13"/>
      <c r="K921" s="13"/>
      <c r="L921" s="13"/>
      <c r="M921" s="15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8"/>
      <c r="J922" s="13"/>
      <c r="K922" s="13"/>
      <c r="L922" s="13"/>
      <c r="M922" s="15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8"/>
      <c r="J923" s="13"/>
      <c r="K923" s="13"/>
      <c r="L923" s="13"/>
      <c r="M923" s="15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8"/>
      <c r="J924" s="13"/>
      <c r="K924" s="13"/>
      <c r="L924" s="13"/>
      <c r="M924" s="15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8"/>
      <c r="J925" s="13"/>
      <c r="K925" s="13"/>
      <c r="L925" s="13"/>
      <c r="M925" s="15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8"/>
      <c r="J926" s="13"/>
      <c r="K926" s="13"/>
      <c r="L926" s="13"/>
      <c r="M926" s="15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8"/>
      <c r="J927" s="13"/>
      <c r="K927" s="13"/>
      <c r="L927" s="13"/>
      <c r="M927" s="15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8"/>
      <c r="J928" s="13"/>
      <c r="K928" s="13"/>
      <c r="L928" s="13"/>
      <c r="M928" s="15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8"/>
      <c r="J929" s="13"/>
      <c r="K929" s="13"/>
      <c r="L929" s="13"/>
      <c r="M929" s="15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8"/>
      <c r="J930" s="13"/>
      <c r="K930" s="13"/>
      <c r="L930" s="13"/>
      <c r="M930" s="15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8"/>
      <c r="J931" s="13"/>
      <c r="K931" s="13"/>
      <c r="L931" s="13"/>
      <c r="M931" s="15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8"/>
      <c r="J932" s="13"/>
      <c r="K932" s="13"/>
      <c r="L932" s="13"/>
      <c r="M932" s="15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8"/>
      <c r="J933" s="13"/>
      <c r="K933" s="13"/>
      <c r="L933" s="13"/>
      <c r="M933" s="15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8"/>
      <c r="J934" s="13"/>
      <c r="K934" s="13"/>
      <c r="L934" s="13"/>
      <c r="M934" s="15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8"/>
      <c r="J935" s="13"/>
      <c r="K935" s="13"/>
      <c r="L935" s="13"/>
      <c r="M935" s="15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8"/>
      <c r="J936" s="13"/>
      <c r="K936" s="13"/>
      <c r="L936" s="13"/>
      <c r="M936" s="15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8"/>
      <c r="J937" s="13"/>
      <c r="K937" s="13"/>
      <c r="L937" s="13"/>
      <c r="M937" s="15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8"/>
      <c r="J938" s="13"/>
      <c r="K938" s="13"/>
      <c r="L938" s="13"/>
      <c r="M938" s="15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8"/>
      <c r="J939" s="13"/>
      <c r="K939" s="13"/>
      <c r="L939" s="13"/>
      <c r="M939" s="15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8"/>
      <c r="J940" s="13"/>
      <c r="K940" s="13"/>
      <c r="L940" s="13"/>
      <c r="M940" s="15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8"/>
      <c r="J941" s="13"/>
      <c r="K941" s="13"/>
      <c r="L941" s="13"/>
      <c r="M941" s="15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8"/>
      <c r="J942" s="13"/>
      <c r="K942" s="13"/>
      <c r="L942" s="13"/>
      <c r="M942" s="15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8"/>
      <c r="J943" s="13"/>
      <c r="K943" s="13"/>
      <c r="L943" s="13"/>
      <c r="M943" s="15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8"/>
      <c r="J944" s="13"/>
      <c r="K944" s="13"/>
      <c r="L944" s="13"/>
      <c r="M944" s="15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8"/>
      <c r="J945" s="13"/>
      <c r="K945" s="13"/>
      <c r="L945" s="13"/>
      <c r="M945" s="15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8"/>
      <c r="J946" s="13"/>
      <c r="K946" s="13"/>
      <c r="L946" s="13"/>
      <c r="M946" s="15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8"/>
      <c r="J947" s="13"/>
      <c r="K947" s="13"/>
      <c r="L947" s="13"/>
      <c r="M947" s="15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8"/>
      <c r="J948" s="13"/>
      <c r="K948" s="13"/>
      <c r="L948" s="13"/>
      <c r="M948" s="15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8"/>
      <c r="J949" s="13"/>
      <c r="K949" s="13"/>
      <c r="L949" s="13"/>
      <c r="M949" s="15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8"/>
      <c r="J950" s="13"/>
      <c r="K950" s="13"/>
      <c r="L950" s="13"/>
      <c r="M950" s="15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8"/>
      <c r="J951" s="13"/>
      <c r="K951" s="13"/>
      <c r="L951" s="13"/>
      <c r="M951" s="15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8"/>
      <c r="J952" s="13"/>
      <c r="K952" s="13"/>
      <c r="L952" s="13"/>
      <c r="M952" s="15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8"/>
      <c r="J953" s="13"/>
      <c r="K953" s="13"/>
      <c r="L953" s="13"/>
      <c r="M953" s="15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8"/>
      <c r="J954" s="13"/>
      <c r="K954" s="13"/>
      <c r="L954" s="13"/>
      <c r="M954" s="15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8"/>
      <c r="J955" s="13"/>
      <c r="K955" s="13"/>
      <c r="L955" s="13"/>
      <c r="M955" s="15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8"/>
      <c r="J956" s="13"/>
      <c r="K956" s="13"/>
      <c r="L956" s="13"/>
      <c r="M956" s="15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8"/>
      <c r="J957" s="13"/>
      <c r="K957" s="13"/>
      <c r="L957" s="13"/>
      <c r="M957" s="15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8"/>
      <c r="J958" s="13"/>
      <c r="K958" s="13"/>
      <c r="L958" s="13"/>
      <c r="M958" s="15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8"/>
      <c r="J959" s="13"/>
      <c r="K959" s="13"/>
      <c r="L959" s="13"/>
      <c r="M959" s="15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8"/>
      <c r="J960" s="13"/>
      <c r="K960" s="13"/>
      <c r="L960" s="13"/>
      <c r="M960" s="15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8"/>
      <c r="J961" s="13"/>
      <c r="K961" s="13"/>
      <c r="L961" s="13"/>
      <c r="M961" s="15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8"/>
      <c r="J962" s="13"/>
      <c r="K962" s="13"/>
      <c r="L962" s="13"/>
      <c r="M962" s="15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8"/>
      <c r="J963" s="13"/>
      <c r="K963" s="13"/>
      <c r="L963" s="13"/>
      <c r="M963" s="15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8"/>
      <c r="J964" s="13"/>
      <c r="K964" s="13"/>
      <c r="L964" s="13"/>
      <c r="M964" s="15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8"/>
      <c r="J965" s="13"/>
      <c r="K965" s="13"/>
      <c r="L965" s="13"/>
      <c r="M965" s="15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8"/>
      <c r="J966" s="13"/>
      <c r="K966" s="13"/>
      <c r="L966" s="13"/>
      <c r="M966" s="15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8"/>
      <c r="J967" s="13"/>
      <c r="K967" s="13"/>
      <c r="L967" s="13"/>
      <c r="M967" s="15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8"/>
      <c r="J968" s="13"/>
      <c r="K968" s="13"/>
      <c r="L968" s="13"/>
      <c r="M968" s="15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8"/>
      <c r="J969" s="13"/>
      <c r="K969" s="13"/>
      <c r="L969" s="13"/>
      <c r="M969" s="15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8"/>
      <c r="J970" s="13"/>
      <c r="K970" s="13"/>
      <c r="L970" s="13"/>
      <c r="M970" s="15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8"/>
      <c r="J971" s="13"/>
      <c r="K971" s="13"/>
      <c r="L971" s="13"/>
      <c r="M971" s="15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8"/>
      <c r="J972" s="13"/>
      <c r="K972" s="13"/>
      <c r="L972" s="13"/>
      <c r="M972" s="15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8"/>
      <c r="J973" s="13"/>
      <c r="K973" s="13"/>
      <c r="L973" s="13"/>
      <c r="M973" s="15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8"/>
      <c r="J974" s="13"/>
      <c r="K974" s="13"/>
      <c r="L974" s="13"/>
      <c r="M974" s="15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8"/>
      <c r="J975" s="13"/>
      <c r="K975" s="13"/>
      <c r="L975" s="13"/>
      <c r="M975" s="15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8"/>
      <c r="J976" s="13"/>
      <c r="K976" s="13"/>
      <c r="L976" s="13"/>
      <c r="M976" s="15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8"/>
      <c r="J977" s="13"/>
      <c r="K977" s="13"/>
      <c r="L977" s="13"/>
      <c r="M977" s="15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8"/>
      <c r="J978" s="13"/>
      <c r="K978" s="13"/>
      <c r="L978" s="13"/>
      <c r="M978" s="15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8"/>
      <c r="J979" s="13"/>
      <c r="K979" s="13"/>
      <c r="L979" s="13"/>
      <c r="M979" s="15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8"/>
      <c r="J980" s="13"/>
      <c r="K980" s="13"/>
      <c r="L980" s="13"/>
      <c r="M980" s="15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8"/>
      <c r="J981" s="13"/>
      <c r="K981" s="13"/>
      <c r="L981" s="13"/>
      <c r="M981" s="15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8"/>
      <c r="J982" s="13"/>
      <c r="K982" s="13"/>
      <c r="L982" s="13"/>
      <c r="M982" s="15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8"/>
      <c r="J983" s="13"/>
      <c r="K983" s="13"/>
      <c r="L983" s="13"/>
      <c r="M983" s="15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8"/>
      <c r="J984" s="13"/>
      <c r="K984" s="13"/>
      <c r="L984" s="13"/>
      <c r="M984" s="15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8"/>
      <c r="J985" s="13"/>
      <c r="K985" s="13"/>
      <c r="L985" s="13"/>
      <c r="M985" s="15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8"/>
      <c r="J986" s="13"/>
      <c r="K986" s="13"/>
      <c r="L986" s="13"/>
      <c r="M986" s="15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8"/>
      <c r="J987" s="13"/>
      <c r="K987" s="13"/>
      <c r="L987" s="13"/>
      <c r="M987" s="15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8"/>
      <c r="J988" s="13"/>
      <c r="K988" s="13"/>
      <c r="L988" s="13"/>
      <c r="M988" s="15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8"/>
      <c r="J989" s="13"/>
      <c r="K989" s="13"/>
      <c r="L989" s="13"/>
      <c r="M989" s="15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8"/>
      <c r="J990" s="13"/>
      <c r="K990" s="13"/>
      <c r="L990" s="13"/>
      <c r="M990" s="15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8"/>
      <c r="J991" s="13"/>
      <c r="K991" s="13"/>
      <c r="L991" s="13"/>
      <c r="M991" s="15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8"/>
      <c r="J992" s="13"/>
      <c r="K992" s="13"/>
      <c r="L992" s="13"/>
      <c r="M992" s="15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8"/>
      <c r="J993" s="13"/>
      <c r="K993" s="13"/>
      <c r="L993" s="13"/>
      <c r="M993" s="15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8"/>
      <c r="J994" s="13"/>
      <c r="K994" s="13"/>
      <c r="L994" s="13"/>
      <c r="M994" s="15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8"/>
      <c r="J995" s="13"/>
      <c r="K995" s="13"/>
      <c r="L995" s="13"/>
      <c r="M995" s="15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8"/>
      <c r="J996" s="13"/>
      <c r="K996" s="13"/>
      <c r="L996" s="13"/>
      <c r="M996" s="15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8"/>
      <c r="J997" s="13"/>
      <c r="K997" s="13"/>
      <c r="L997" s="13"/>
      <c r="M997" s="15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8"/>
      <c r="J998" s="13"/>
      <c r="K998" s="13"/>
      <c r="L998" s="13"/>
      <c r="M998" s="15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8"/>
      <c r="J999" s="13"/>
      <c r="K999" s="13"/>
      <c r="L999" s="13"/>
      <c r="M999" s="15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8"/>
      <c r="J1000" s="13"/>
      <c r="K1000" s="13"/>
      <c r="L1000" s="13"/>
      <c r="M1000" s="15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8"/>
      <c r="J1001" s="13"/>
      <c r="K1001" s="13"/>
      <c r="L1001" s="13"/>
      <c r="M1001" s="15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8"/>
      <c r="J1002" s="13"/>
      <c r="K1002" s="13"/>
      <c r="L1002" s="13"/>
      <c r="M1002" s="15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8"/>
      <c r="J1003" s="13"/>
      <c r="K1003" s="13"/>
      <c r="L1003" s="13"/>
      <c r="M1003" s="15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8"/>
      <c r="J1004" s="13"/>
      <c r="K1004" s="13"/>
      <c r="L1004" s="13"/>
      <c r="M1004" s="15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8"/>
      <c r="J1005" s="13"/>
      <c r="K1005" s="13"/>
      <c r="L1005" s="13"/>
      <c r="M1005" s="15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8"/>
      <c r="J1006" s="13"/>
      <c r="K1006" s="13"/>
      <c r="L1006" s="13"/>
      <c r="M1006" s="15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8"/>
      <c r="J1007" s="13"/>
      <c r="K1007" s="13"/>
      <c r="L1007" s="13"/>
      <c r="M1007" s="15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8"/>
      <c r="J1008" s="13"/>
      <c r="K1008" s="13"/>
      <c r="L1008" s="13"/>
      <c r="M1008" s="15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8"/>
      <c r="J1009" s="13"/>
      <c r="K1009" s="13"/>
      <c r="L1009" s="13"/>
      <c r="M1009" s="15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8"/>
      <c r="J1010" s="13"/>
      <c r="K1010" s="13"/>
      <c r="L1010" s="13"/>
      <c r="M1010" s="15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8"/>
      <c r="J1011" s="13"/>
      <c r="K1011" s="13"/>
      <c r="L1011" s="13"/>
      <c r="M1011" s="15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8"/>
      <c r="J1012" s="13"/>
      <c r="K1012" s="13"/>
      <c r="L1012" s="13"/>
      <c r="M1012" s="15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8"/>
      <c r="J1013" s="13"/>
      <c r="K1013" s="13"/>
      <c r="L1013" s="13"/>
      <c r="M1013" s="15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8"/>
      <c r="J1014" s="13"/>
      <c r="K1014" s="13"/>
      <c r="L1014" s="13"/>
      <c r="M1014" s="15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8"/>
      <c r="J1015" s="13"/>
      <c r="K1015" s="13"/>
      <c r="L1015" s="13"/>
      <c r="M1015" s="15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8"/>
      <c r="J1016" s="13"/>
      <c r="K1016" s="13"/>
      <c r="L1016" s="13"/>
      <c r="M1016" s="15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8"/>
      <c r="J1017" s="13"/>
      <c r="K1017" s="13"/>
      <c r="L1017" s="13"/>
      <c r="M1017" s="15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8"/>
      <c r="J1018" s="13"/>
      <c r="K1018" s="13"/>
      <c r="L1018" s="13"/>
      <c r="M1018" s="15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8"/>
      <c r="J1019" s="13"/>
      <c r="K1019" s="13"/>
      <c r="L1019" s="13"/>
      <c r="M1019" s="15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8"/>
      <c r="J1020" s="13"/>
      <c r="K1020" s="13"/>
      <c r="L1020" s="13"/>
      <c r="M1020" s="15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8"/>
      <c r="J1021" s="13"/>
      <c r="K1021" s="13"/>
      <c r="L1021" s="13"/>
      <c r="M1021" s="15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8"/>
      <c r="J1022" s="13"/>
      <c r="K1022" s="13"/>
      <c r="L1022" s="13"/>
      <c r="M1022" s="15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8"/>
      <c r="J1023" s="13"/>
      <c r="K1023" s="13"/>
      <c r="L1023" s="13"/>
      <c r="M1023" s="15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8"/>
      <c r="J1024" s="13"/>
      <c r="K1024" s="13"/>
      <c r="L1024" s="13"/>
      <c r="M1024" s="15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8"/>
      <c r="J1025" s="13"/>
      <c r="K1025" s="13"/>
      <c r="L1025" s="13"/>
      <c r="M1025" s="15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8"/>
      <c r="J1026" s="13"/>
      <c r="K1026" s="13"/>
      <c r="L1026" s="13"/>
      <c r="M1026" s="15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8"/>
      <c r="J1027" s="13"/>
      <c r="K1027" s="13"/>
      <c r="L1027" s="13"/>
      <c r="M1027" s="15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8"/>
      <c r="J1028" s="13"/>
      <c r="K1028" s="13"/>
      <c r="L1028" s="13"/>
      <c r="M1028" s="15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8"/>
      <c r="J1029" s="13"/>
      <c r="K1029" s="13"/>
      <c r="L1029" s="13"/>
      <c r="M1029" s="15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8"/>
      <c r="J1030" s="13"/>
      <c r="K1030" s="13"/>
      <c r="L1030" s="13"/>
      <c r="M1030" s="15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8"/>
      <c r="J1031" s="13"/>
      <c r="K1031" s="13"/>
      <c r="L1031" s="13"/>
      <c r="M1031" s="15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8"/>
      <c r="J1032" s="13"/>
      <c r="K1032" s="13"/>
      <c r="L1032" s="13"/>
      <c r="M1032" s="15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8"/>
      <c r="J1033" s="13"/>
      <c r="K1033" s="13"/>
      <c r="L1033" s="13"/>
      <c r="M1033" s="15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8"/>
      <c r="J1034" s="13"/>
      <c r="K1034" s="13"/>
      <c r="L1034" s="13"/>
      <c r="M1034" s="15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8"/>
      <c r="J1035" s="13"/>
      <c r="K1035" s="13"/>
      <c r="L1035" s="13"/>
      <c r="M1035" s="15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8"/>
      <c r="J1036" s="13"/>
      <c r="K1036" s="13"/>
      <c r="L1036" s="13"/>
      <c r="M1036" s="15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8"/>
      <c r="J1037" s="13"/>
      <c r="K1037" s="13"/>
      <c r="L1037" s="13"/>
      <c r="M1037" s="15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8"/>
      <c r="J1038" s="13"/>
      <c r="K1038" s="13"/>
      <c r="L1038" s="13"/>
      <c r="M1038" s="15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8"/>
      <c r="J1039" s="13"/>
      <c r="K1039" s="13"/>
      <c r="L1039" s="13"/>
      <c r="M1039" s="15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8"/>
      <c r="J1040" s="13"/>
      <c r="K1040" s="13"/>
      <c r="L1040" s="13"/>
      <c r="M1040" s="15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8"/>
      <c r="J1041" s="13"/>
      <c r="K1041" s="13"/>
      <c r="L1041" s="13"/>
      <c r="M1041" s="15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8"/>
      <c r="J1042" s="13"/>
      <c r="K1042" s="13"/>
      <c r="L1042" s="13"/>
      <c r="M1042" s="15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8"/>
      <c r="J1043" s="13"/>
      <c r="K1043" s="13"/>
      <c r="L1043" s="13"/>
      <c r="M1043" s="15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8"/>
      <c r="J1044" s="13"/>
      <c r="K1044" s="13"/>
      <c r="L1044" s="13"/>
      <c r="M1044" s="15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8"/>
      <c r="J1045" s="13"/>
      <c r="K1045" s="13"/>
      <c r="L1045" s="13"/>
      <c r="M1045" s="15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8"/>
      <c r="J1046" s="13"/>
      <c r="K1046" s="13"/>
      <c r="L1046" s="13"/>
      <c r="M1046" s="15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8"/>
      <c r="J1047" s="13"/>
      <c r="K1047" s="13"/>
      <c r="L1047" s="13"/>
      <c r="M1047" s="15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8"/>
      <c r="J1048" s="13"/>
      <c r="K1048" s="13"/>
      <c r="L1048" s="13"/>
      <c r="M1048" s="15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8"/>
      <c r="J1049" s="13"/>
      <c r="K1049" s="13"/>
      <c r="L1049" s="13"/>
      <c r="M1049" s="15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8"/>
      <c r="J1050" s="13"/>
      <c r="K1050" s="13"/>
      <c r="L1050" s="13"/>
      <c r="M1050" s="15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8"/>
      <c r="J1051" s="13"/>
      <c r="K1051" s="13"/>
      <c r="L1051" s="13"/>
      <c r="M1051" s="15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8"/>
      <c r="J1052" s="13"/>
      <c r="K1052" s="13"/>
      <c r="L1052" s="13"/>
      <c r="M1052" s="15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8"/>
      <c r="J1053" s="13"/>
      <c r="K1053" s="13"/>
      <c r="L1053" s="13"/>
      <c r="M1053" s="15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8"/>
      <c r="J1054" s="13"/>
      <c r="K1054" s="13"/>
      <c r="L1054" s="13"/>
      <c r="M1054" s="15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8"/>
      <c r="J1055" s="13"/>
      <c r="K1055" s="13"/>
      <c r="L1055" s="13"/>
      <c r="M1055" s="15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8"/>
      <c r="J1056" s="13"/>
      <c r="K1056" s="13"/>
      <c r="L1056" s="13"/>
      <c r="M1056" s="15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8"/>
      <c r="J1057" s="13"/>
      <c r="K1057" s="13"/>
      <c r="L1057" s="13"/>
      <c r="M1057" s="15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8"/>
      <c r="J1058" s="13"/>
      <c r="K1058" s="13"/>
      <c r="L1058" s="13"/>
      <c r="M1058" s="15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8"/>
      <c r="J1059" s="13"/>
      <c r="K1059" s="13"/>
      <c r="L1059" s="13"/>
      <c r="M1059" s="15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8"/>
      <c r="J1060" s="13"/>
      <c r="K1060" s="13"/>
      <c r="L1060" s="13"/>
      <c r="M1060" s="15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8"/>
      <c r="J1061" s="13"/>
      <c r="K1061" s="13"/>
      <c r="L1061" s="13"/>
      <c r="M1061" s="15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8"/>
      <c r="J1062" s="13"/>
      <c r="K1062" s="13"/>
      <c r="L1062" s="13"/>
      <c r="M1062" s="15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8"/>
      <c r="J1063" s="13"/>
      <c r="K1063" s="13"/>
      <c r="L1063" s="13"/>
      <c r="M1063" s="15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8"/>
      <c r="J1064" s="13"/>
      <c r="K1064" s="13"/>
      <c r="L1064" s="13"/>
      <c r="M1064" s="15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8"/>
      <c r="J1065" s="13"/>
      <c r="K1065" s="13"/>
      <c r="L1065" s="13"/>
      <c r="M1065" s="15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8"/>
      <c r="J1066" s="13"/>
      <c r="K1066" s="13"/>
      <c r="L1066" s="13"/>
      <c r="M1066" s="15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8"/>
      <c r="J1067" s="13"/>
      <c r="K1067" s="13"/>
      <c r="L1067" s="13"/>
      <c r="M1067" s="15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8"/>
      <c r="J1068" s="13"/>
      <c r="K1068" s="13"/>
      <c r="L1068" s="13"/>
      <c r="M1068" s="15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8"/>
      <c r="J1069" s="13"/>
      <c r="K1069" s="13"/>
      <c r="L1069" s="13"/>
      <c r="M1069" s="15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8"/>
      <c r="J1070" s="13"/>
      <c r="K1070" s="13"/>
      <c r="L1070" s="13"/>
      <c r="M1070" s="15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8"/>
      <c r="J1071" s="13"/>
      <c r="K1071" s="13"/>
      <c r="L1071" s="13"/>
      <c r="M1071" s="15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8"/>
      <c r="J1072" s="13"/>
      <c r="K1072" s="13"/>
      <c r="L1072" s="13"/>
      <c r="M1072" s="15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8"/>
      <c r="J1073" s="13"/>
      <c r="K1073" s="13"/>
      <c r="L1073" s="13"/>
      <c r="M1073" s="15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8"/>
      <c r="J1074" s="13"/>
      <c r="K1074" s="13"/>
      <c r="L1074" s="13"/>
      <c r="M1074" s="15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8"/>
      <c r="J1075" s="13"/>
      <c r="K1075" s="13"/>
      <c r="L1075" s="13"/>
      <c r="M1075" s="15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8"/>
      <c r="J1076" s="13"/>
      <c r="K1076" s="13"/>
      <c r="L1076" s="13"/>
      <c r="M1076" s="15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8"/>
      <c r="J1077" s="13"/>
      <c r="K1077" s="13"/>
      <c r="L1077" s="13"/>
      <c r="M1077" s="15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8"/>
      <c r="J1078" s="13"/>
      <c r="K1078" s="13"/>
      <c r="L1078" s="13"/>
      <c r="M1078" s="15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8"/>
      <c r="J1079" s="13"/>
      <c r="K1079" s="13"/>
      <c r="L1079" s="13"/>
      <c r="M1079" s="15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8"/>
      <c r="J1080" s="13"/>
      <c r="K1080" s="13"/>
      <c r="L1080" s="13"/>
      <c r="M1080" s="15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8"/>
      <c r="J1081" s="13"/>
      <c r="K1081" s="13"/>
      <c r="L1081" s="13"/>
      <c r="M1081" s="15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8"/>
      <c r="J1082" s="13"/>
      <c r="K1082" s="13"/>
      <c r="L1082" s="13"/>
      <c r="M1082" s="15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8"/>
      <c r="J1083" s="13"/>
      <c r="K1083" s="13"/>
      <c r="L1083" s="13"/>
      <c r="M1083" s="15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8"/>
      <c r="J1084" s="13"/>
      <c r="K1084" s="13"/>
      <c r="L1084" s="13"/>
      <c r="M1084" s="15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8"/>
      <c r="J1085" s="13"/>
      <c r="K1085" s="13"/>
      <c r="L1085" s="13"/>
      <c r="M1085" s="15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8"/>
      <c r="J1086" s="13"/>
      <c r="K1086" s="13"/>
      <c r="L1086" s="13"/>
      <c r="M1086" s="15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8"/>
      <c r="J1087" s="13"/>
      <c r="K1087" s="13"/>
      <c r="L1087" s="13"/>
      <c r="M1087" s="15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8"/>
      <c r="J1088" s="13"/>
      <c r="K1088" s="13"/>
      <c r="L1088" s="13"/>
      <c r="M1088" s="15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8"/>
      <c r="J1089" s="13"/>
      <c r="K1089" s="13"/>
      <c r="L1089" s="13"/>
      <c r="M1089" s="15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8"/>
      <c r="J1090" s="13"/>
      <c r="K1090" s="13"/>
      <c r="L1090" s="13"/>
      <c r="M1090" s="15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8"/>
      <c r="J1091" s="13"/>
      <c r="K1091" s="13"/>
      <c r="L1091" s="13"/>
      <c r="M1091" s="15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8"/>
      <c r="J1092" s="13"/>
      <c r="K1092" s="13"/>
      <c r="L1092" s="13"/>
      <c r="M1092" s="15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8"/>
      <c r="J1093" s="13"/>
      <c r="K1093" s="13"/>
      <c r="L1093" s="13"/>
      <c r="M1093" s="15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8"/>
      <c r="J1094" s="13"/>
      <c r="K1094" s="13"/>
      <c r="L1094" s="13"/>
      <c r="M1094" s="15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8"/>
      <c r="J1095" s="13"/>
      <c r="K1095" s="13"/>
      <c r="L1095" s="13"/>
      <c r="M1095" s="15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8"/>
      <c r="J1096" s="13"/>
      <c r="K1096" s="13"/>
      <c r="L1096" s="13"/>
      <c r="M1096" s="15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8"/>
      <c r="J1097" s="13"/>
      <c r="K1097" s="13"/>
      <c r="L1097" s="13"/>
      <c r="M1097" s="15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8"/>
      <c r="J1098" s="13"/>
      <c r="K1098" s="13"/>
      <c r="L1098" s="13"/>
      <c r="M1098" s="15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8"/>
      <c r="J1099" s="13"/>
      <c r="K1099" s="13"/>
      <c r="L1099" s="13"/>
      <c r="M1099" s="15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8"/>
      <c r="J1100" s="13"/>
      <c r="K1100" s="13"/>
      <c r="L1100" s="13"/>
      <c r="M1100" s="15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8"/>
      <c r="J1101" s="13"/>
      <c r="K1101" s="13"/>
      <c r="L1101" s="13"/>
      <c r="M1101" s="15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8"/>
      <c r="J1102" s="13"/>
      <c r="K1102" s="13"/>
      <c r="L1102" s="13"/>
      <c r="M1102" s="15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8"/>
      <c r="J1103" s="13"/>
      <c r="K1103" s="13"/>
      <c r="L1103" s="13"/>
      <c r="M1103" s="15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8"/>
      <c r="J1104" s="13"/>
      <c r="K1104" s="13"/>
      <c r="L1104" s="13"/>
      <c r="M1104" s="15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8"/>
      <c r="J1105" s="13"/>
      <c r="K1105" s="13"/>
      <c r="L1105" s="13"/>
      <c r="M1105" s="15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8"/>
      <c r="J1106" s="13"/>
      <c r="K1106" s="13"/>
      <c r="L1106" s="13"/>
      <c r="M1106" s="15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8"/>
      <c r="J1107" s="13"/>
      <c r="K1107" s="13"/>
      <c r="L1107" s="13"/>
      <c r="M1107" s="15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8"/>
      <c r="J1108" s="13"/>
      <c r="K1108" s="13"/>
      <c r="L1108" s="13"/>
      <c r="M1108" s="15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8"/>
      <c r="J1109" s="13"/>
      <c r="K1109" s="13"/>
      <c r="L1109" s="13"/>
      <c r="M1109" s="15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8"/>
      <c r="J1110" s="13"/>
      <c r="K1110" s="13"/>
      <c r="L1110" s="13"/>
      <c r="M1110" s="15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8"/>
      <c r="J1111" s="13"/>
      <c r="K1111" s="13"/>
      <c r="L1111" s="13"/>
      <c r="M1111" s="15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8"/>
      <c r="J1112" s="13"/>
      <c r="K1112" s="13"/>
      <c r="L1112" s="13"/>
      <c r="M1112" s="15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8"/>
      <c r="J1113" s="13"/>
      <c r="K1113" s="13"/>
      <c r="L1113" s="13"/>
      <c r="M1113" s="15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8"/>
      <c r="J1114" s="13"/>
      <c r="K1114" s="13"/>
      <c r="L1114" s="13"/>
      <c r="M1114" s="15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8"/>
      <c r="J1115" s="13"/>
      <c r="K1115" s="13"/>
      <c r="L1115" s="13"/>
      <c r="M1115" s="15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8"/>
      <c r="J1116" s="13"/>
      <c r="K1116" s="13"/>
      <c r="L1116" s="13"/>
      <c r="M1116" s="15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8"/>
      <c r="J1117" s="13"/>
      <c r="K1117" s="13"/>
      <c r="L1117" s="13"/>
      <c r="M1117" s="15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8"/>
      <c r="J1118" s="13"/>
      <c r="K1118" s="13"/>
      <c r="L1118" s="13"/>
      <c r="M1118" s="15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8"/>
      <c r="J1119" s="13"/>
      <c r="K1119" s="13"/>
      <c r="L1119" s="13"/>
      <c r="M1119" s="15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8"/>
      <c r="J1120" s="13"/>
      <c r="K1120" s="13"/>
      <c r="L1120" s="13"/>
      <c r="M1120" s="15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8"/>
      <c r="J1121" s="13"/>
      <c r="K1121" s="13"/>
      <c r="L1121" s="13"/>
      <c r="M1121" s="15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8"/>
      <c r="J1122" s="13"/>
      <c r="K1122" s="13"/>
      <c r="L1122" s="13"/>
      <c r="M1122" s="15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8"/>
      <c r="J1123" s="13"/>
      <c r="K1123" s="13"/>
      <c r="L1123" s="13"/>
      <c r="M1123" s="15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8"/>
      <c r="J1124" s="13"/>
      <c r="K1124" s="13"/>
      <c r="L1124" s="13"/>
      <c r="M1124" s="15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8"/>
      <c r="J1125" s="13"/>
      <c r="K1125" s="13"/>
      <c r="L1125" s="13"/>
      <c r="M1125" s="15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8"/>
      <c r="J1126" s="13"/>
      <c r="K1126" s="13"/>
      <c r="L1126" s="13"/>
      <c r="M1126" s="15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8"/>
      <c r="J1127" s="13"/>
      <c r="K1127" s="13"/>
      <c r="L1127" s="13"/>
      <c r="M1127" s="15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8"/>
      <c r="J1128" s="13"/>
      <c r="K1128" s="13"/>
      <c r="L1128" s="13"/>
      <c r="M1128" s="15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8"/>
      <c r="J1129" s="13"/>
      <c r="K1129" s="13"/>
      <c r="L1129" s="13"/>
      <c r="M1129" s="15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8"/>
      <c r="J1130" s="13"/>
      <c r="K1130" s="13"/>
      <c r="L1130" s="13"/>
      <c r="M1130" s="15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8"/>
      <c r="J1131" s="13"/>
      <c r="K1131" s="13"/>
      <c r="L1131" s="13"/>
      <c r="M1131" s="15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8"/>
      <c r="J1132" s="13"/>
      <c r="K1132" s="13"/>
      <c r="L1132" s="13"/>
      <c r="M1132" s="15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8"/>
      <c r="J1133" s="13"/>
      <c r="K1133" s="13"/>
      <c r="L1133" s="13"/>
      <c r="M1133" s="15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8"/>
      <c r="J1134" s="13"/>
      <c r="K1134" s="13"/>
      <c r="L1134" s="13"/>
      <c r="M1134" s="15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8"/>
      <c r="J1135" s="13"/>
      <c r="K1135" s="13"/>
      <c r="L1135" s="13"/>
      <c r="M1135" s="15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8"/>
      <c r="J1136" s="13"/>
      <c r="K1136" s="13"/>
      <c r="L1136" s="13"/>
      <c r="M1136" s="15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8"/>
      <c r="J1137" s="13"/>
      <c r="K1137" s="13"/>
      <c r="L1137" s="13"/>
      <c r="M1137" s="15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8"/>
      <c r="J1138" s="13"/>
      <c r="K1138" s="13"/>
      <c r="L1138" s="13"/>
      <c r="M1138" s="15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8"/>
      <c r="J1139" s="13"/>
      <c r="K1139" s="13"/>
      <c r="L1139" s="13"/>
      <c r="M1139" s="15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8"/>
      <c r="J1140" s="13"/>
      <c r="K1140" s="13"/>
      <c r="L1140" s="13"/>
      <c r="M1140" s="15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8"/>
      <c r="J1141" s="13"/>
      <c r="K1141" s="13"/>
      <c r="L1141" s="13"/>
      <c r="M1141" s="15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8"/>
      <c r="J1142" s="13"/>
      <c r="K1142" s="13"/>
      <c r="L1142" s="13"/>
      <c r="M1142" s="15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8"/>
      <c r="J1143" s="13"/>
      <c r="K1143" s="13"/>
      <c r="L1143" s="13"/>
      <c r="M1143" s="15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8"/>
      <c r="J1144" s="13"/>
      <c r="K1144" s="13"/>
      <c r="L1144" s="13"/>
      <c r="M1144" s="15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8"/>
      <c r="J1145" s="13"/>
      <c r="K1145" s="13"/>
      <c r="L1145" s="13"/>
      <c r="M1145" s="15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8"/>
      <c r="J1146" s="13"/>
      <c r="K1146" s="13"/>
      <c r="L1146" s="13"/>
      <c r="M1146" s="15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8"/>
      <c r="J1147" s="13"/>
      <c r="K1147" s="13"/>
      <c r="L1147" s="13"/>
      <c r="M1147" s="15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8"/>
      <c r="J1148" s="13"/>
      <c r="K1148" s="13"/>
      <c r="L1148" s="13"/>
      <c r="M1148" s="15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8"/>
      <c r="J1149" s="13"/>
      <c r="K1149" s="13"/>
      <c r="L1149" s="13"/>
      <c r="M1149" s="15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8"/>
      <c r="J1150" s="13"/>
      <c r="K1150" s="13"/>
      <c r="L1150" s="13"/>
      <c r="M1150" s="15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8"/>
      <c r="J1151" s="13"/>
      <c r="K1151" s="13"/>
      <c r="L1151" s="13"/>
      <c r="M1151" s="15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8"/>
      <c r="J1152" s="13"/>
      <c r="K1152" s="13"/>
      <c r="L1152" s="13"/>
      <c r="M1152" s="15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8"/>
      <c r="J1153" s="13"/>
      <c r="K1153" s="13"/>
      <c r="L1153" s="13"/>
      <c r="M1153" s="15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8"/>
      <c r="J1154" s="13"/>
      <c r="K1154" s="13"/>
      <c r="L1154" s="13"/>
      <c r="M1154" s="15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8"/>
      <c r="J1155" s="13"/>
      <c r="K1155" s="13"/>
      <c r="L1155" s="13"/>
      <c r="M1155" s="15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8"/>
      <c r="J1156" s="13"/>
      <c r="K1156" s="13"/>
      <c r="L1156" s="13"/>
      <c r="M1156" s="15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8"/>
      <c r="J1157" s="13"/>
      <c r="K1157" s="13"/>
      <c r="L1157" s="13"/>
      <c r="M1157" s="15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8"/>
      <c r="J1158" s="13"/>
      <c r="K1158" s="13"/>
      <c r="L1158" s="13"/>
      <c r="M1158" s="15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8"/>
      <c r="J1159" s="13"/>
      <c r="K1159" s="13"/>
      <c r="L1159" s="13"/>
      <c r="M1159" s="15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8"/>
      <c r="J1160" s="13"/>
      <c r="K1160" s="13"/>
      <c r="L1160" s="13"/>
      <c r="M1160" s="15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8"/>
      <c r="J1161" s="13"/>
      <c r="K1161" s="13"/>
      <c r="L1161" s="13"/>
      <c r="M1161" s="15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8"/>
      <c r="J1162" s="13"/>
      <c r="K1162" s="13"/>
      <c r="L1162" s="13"/>
      <c r="M1162" s="15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8"/>
      <c r="J1163" s="13"/>
      <c r="K1163" s="13"/>
      <c r="L1163" s="13"/>
      <c r="M1163" s="15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8"/>
      <c r="J1164" s="13"/>
      <c r="K1164" s="13"/>
      <c r="L1164" s="13"/>
      <c r="M1164" s="15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8"/>
      <c r="J1165" s="13"/>
      <c r="K1165" s="13"/>
      <c r="L1165" s="13"/>
      <c r="M1165" s="15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8"/>
      <c r="J1166" s="13"/>
      <c r="K1166" s="13"/>
      <c r="L1166" s="13"/>
      <c r="M1166" s="15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8"/>
      <c r="J1167" s="13"/>
      <c r="K1167" s="13"/>
      <c r="L1167" s="13"/>
      <c r="M1167" s="15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8"/>
      <c r="J1168" s="13"/>
      <c r="K1168" s="13"/>
      <c r="L1168" s="13"/>
      <c r="M1168" s="15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8"/>
      <c r="J1169" s="13"/>
      <c r="K1169" s="13"/>
      <c r="L1169" s="13"/>
      <c r="M1169" s="15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8"/>
      <c r="J1170" s="13"/>
      <c r="K1170" s="13"/>
      <c r="L1170" s="13"/>
      <c r="M1170" s="15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8"/>
      <c r="J1171" s="13"/>
      <c r="K1171" s="13"/>
      <c r="L1171" s="13"/>
      <c r="M1171" s="15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8"/>
      <c r="J1172" s="13"/>
      <c r="K1172" s="13"/>
      <c r="L1172" s="13"/>
      <c r="M1172" s="15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8"/>
      <c r="J1173" s="13"/>
      <c r="K1173" s="13"/>
      <c r="L1173" s="13"/>
      <c r="M1173" s="15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8"/>
      <c r="J1174" s="13"/>
      <c r="K1174" s="13"/>
      <c r="L1174" s="13"/>
      <c r="M1174" s="15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8"/>
      <c r="J1175" s="13"/>
      <c r="K1175" s="13"/>
      <c r="L1175" s="13"/>
      <c r="M1175" s="15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8"/>
      <c r="J1176" s="13"/>
      <c r="K1176" s="13"/>
      <c r="L1176" s="13"/>
      <c r="M1176" s="15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8"/>
      <c r="J1177" s="13"/>
      <c r="K1177" s="13"/>
      <c r="L1177" s="13"/>
      <c r="M1177" s="15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8"/>
      <c r="J1178" s="13"/>
      <c r="K1178" s="13"/>
      <c r="L1178" s="13"/>
      <c r="M1178" s="15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8"/>
      <c r="J1179" s="13"/>
      <c r="K1179" s="13"/>
      <c r="L1179" s="13"/>
      <c r="M1179" s="15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8"/>
      <c r="J1180" s="13"/>
      <c r="K1180" s="13"/>
      <c r="L1180" s="13"/>
      <c r="M1180" s="15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8"/>
      <c r="J1181" s="13"/>
      <c r="K1181" s="13"/>
      <c r="L1181" s="13"/>
      <c r="M1181" s="15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8"/>
      <c r="J1182" s="13"/>
      <c r="K1182" s="13"/>
      <c r="L1182" s="13"/>
      <c r="M1182" s="15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8"/>
      <c r="J1183" s="13"/>
      <c r="K1183" s="13"/>
      <c r="L1183" s="13"/>
      <c r="M1183" s="15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8"/>
      <c r="J1184" s="13"/>
      <c r="K1184" s="13"/>
      <c r="L1184" s="13"/>
      <c r="M1184" s="15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8"/>
      <c r="J1185" s="13"/>
      <c r="K1185" s="13"/>
      <c r="L1185" s="13"/>
      <c r="M1185" s="15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8"/>
      <c r="J1186" s="13"/>
      <c r="K1186" s="13"/>
      <c r="L1186" s="13"/>
      <c r="M1186" s="15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8"/>
      <c r="J1187" s="13"/>
      <c r="K1187" s="13"/>
      <c r="L1187" s="13"/>
      <c r="M1187" s="15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8"/>
      <c r="J1188" s="13"/>
      <c r="K1188" s="13"/>
      <c r="L1188" s="13"/>
      <c r="M1188" s="15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8"/>
      <c r="J1189" s="13"/>
      <c r="K1189" s="13"/>
      <c r="L1189" s="13"/>
      <c r="M1189" s="15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8"/>
      <c r="J1190" s="13"/>
      <c r="K1190" s="13"/>
      <c r="L1190" s="13"/>
      <c r="M1190" s="15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8"/>
      <c r="J1191" s="13"/>
      <c r="K1191" s="13"/>
      <c r="L1191" s="13"/>
      <c r="M1191" s="15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8"/>
      <c r="J1192" s="13"/>
      <c r="K1192" s="13"/>
      <c r="L1192" s="13"/>
      <c r="M1192" s="15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8"/>
      <c r="J1193" s="13"/>
      <c r="K1193" s="13"/>
      <c r="L1193" s="13"/>
      <c r="M1193" s="15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8"/>
      <c r="J1194" s="13"/>
      <c r="K1194" s="13"/>
      <c r="L1194" s="13"/>
      <c r="M1194" s="15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8"/>
      <c r="J1195" s="13"/>
      <c r="K1195" s="13"/>
      <c r="L1195" s="13"/>
      <c r="M1195" s="15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8"/>
      <c r="J1196" s="13"/>
      <c r="K1196" s="13"/>
      <c r="L1196" s="13"/>
      <c r="M1196" s="15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8"/>
      <c r="J1197" s="13"/>
      <c r="K1197" s="13"/>
      <c r="L1197" s="13"/>
      <c r="M1197" s="15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8"/>
      <c r="J1198" s="13"/>
      <c r="K1198" s="13"/>
      <c r="L1198" s="13"/>
      <c r="M1198" s="15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8"/>
      <c r="J1199" s="13"/>
      <c r="K1199" s="13"/>
      <c r="L1199" s="13"/>
      <c r="M1199" s="15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8"/>
      <c r="J1200" s="13"/>
      <c r="K1200" s="13"/>
      <c r="L1200" s="13"/>
      <c r="M1200" s="15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8"/>
      <c r="J1201" s="13"/>
      <c r="K1201" s="13"/>
      <c r="L1201" s="13"/>
      <c r="M1201" s="15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8"/>
      <c r="J1202" s="13"/>
      <c r="K1202" s="13"/>
      <c r="L1202" s="13"/>
      <c r="M1202" s="15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8"/>
      <c r="J1203" s="13"/>
      <c r="K1203" s="13"/>
      <c r="L1203" s="13"/>
      <c r="M1203" s="15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8"/>
      <c r="J1204" s="13"/>
      <c r="K1204" s="13"/>
      <c r="L1204" s="13"/>
      <c r="M1204" s="15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8"/>
      <c r="J1205" s="13"/>
      <c r="K1205" s="13"/>
      <c r="L1205" s="13"/>
      <c r="M1205" s="15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8"/>
      <c r="J1206" s="13"/>
      <c r="K1206" s="13"/>
      <c r="L1206" s="13"/>
      <c r="M1206" s="15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8"/>
      <c r="J1207" s="13"/>
      <c r="K1207" s="13"/>
      <c r="L1207" s="13"/>
      <c r="M1207" s="15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8"/>
      <c r="J1208" s="13"/>
      <c r="K1208" s="13"/>
      <c r="L1208" s="13"/>
      <c r="M1208" s="15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8"/>
      <c r="J1209" s="13"/>
      <c r="K1209" s="13"/>
      <c r="L1209" s="13"/>
      <c r="M1209" s="15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8"/>
      <c r="J1210" s="13"/>
      <c r="K1210" s="13"/>
      <c r="L1210" s="13"/>
      <c r="M1210" s="15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8"/>
      <c r="J1211" s="13"/>
      <c r="K1211" s="13"/>
      <c r="L1211" s="13"/>
      <c r="M1211" s="15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8"/>
      <c r="J1212" s="13"/>
      <c r="K1212" s="13"/>
      <c r="L1212" s="13"/>
      <c r="M1212" s="15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8"/>
      <c r="J1213" s="13"/>
      <c r="K1213" s="13"/>
      <c r="L1213" s="13"/>
      <c r="M1213" s="15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8"/>
      <c r="J1214" s="13"/>
      <c r="K1214" s="13"/>
      <c r="L1214" s="13"/>
      <c r="M1214" s="15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8"/>
      <c r="J1215" s="13"/>
      <c r="K1215" s="13"/>
      <c r="L1215" s="13"/>
      <c r="M1215" s="15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8"/>
      <c r="J1216" s="13"/>
      <c r="K1216" s="13"/>
      <c r="L1216" s="13"/>
      <c r="M1216" s="15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8"/>
      <c r="J1217" s="13"/>
      <c r="K1217" s="13"/>
      <c r="L1217" s="13"/>
      <c r="M1217" s="15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8"/>
      <c r="J1218" s="13"/>
      <c r="K1218" s="13"/>
      <c r="L1218" s="13"/>
      <c r="M1218" s="15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8"/>
      <c r="J1219" s="13"/>
      <c r="K1219" s="13"/>
      <c r="L1219" s="13"/>
      <c r="M1219" s="15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8"/>
      <c r="J1220" s="13"/>
      <c r="K1220" s="13"/>
      <c r="L1220" s="13"/>
      <c r="M1220" s="15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8"/>
      <c r="J1221" s="13"/>
      <c r="K1221" s="13"/>
      <c r="L1221" s="13"/>
      <c r="M1221" s="15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8"/>
      <c r="J1222" s="13"/>
      <c r="K1222" s="13"/>
      <c r="L1222" s="13"/>
      <c r="M1222" s="15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8"/>
      <c r="J1223" s="13"/>
      <c r="K1223" s="13"/>
      <c r="L1223" s="13"/>
      <c r="M1223" s="15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8"/>
      <c r="J1224" s="13"/>
      <c r="K1224" s="13"/>
      <c r="L1224" s="13"/>
      <c r="M1224" s="15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8"/>
      <c r="J1225" s="13"/>
      <c r="K1225" s="13"/>
      <c r="L1225" s="13"/>
      <c r="M1225" s="15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8"/>
      <c r="J1226" s="13"/>
      <c r="K1226" s="13"/>
      <c r="L1226" s="13"/>
      <c r="M1226" s="15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8"/>
      <c r="J1227" s="13"/>
      <c r="K1227" s="13"/>
      <c r="L1227" s="13"/>
      <c r="M1227" s="15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8"/>
      <c r="J1228" s="13"/>
      <c r="K1228" s="13"/>
      <c r="L1228" s="13"/>
      <c r="M1228" s="15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8"/>
      <c r="J1229" s="13"/>
      <c r="K1229" s="13"/>
      <c r="L1229" s="13"/>
      <c r="M1229" s="15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8"/>
      <c r="J1230" s="13"/>
      <c r="K1230" s="13"/>
      <c r="L1230" s="13"/>
      <c r="M1230" s="15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8"/>
      <c r="J1231" s="13"/>
      <c r="K1231" s="13"/>
      <c r="L1231" s="13"/>
      <c r="M1231" s="15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8"/>
      <c r="J1232" s="13"/>
      <c r="K1232" s="13"/>
      <c r="L1232" s="13"/>
      <c r="M1232" s="15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8"/>
      <c r="J1233" s="13"/>
      <c r="K1233" s="13"/>
      <c r="L1233" s="13"/>
      <c r="M1233" s="15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8"/>
      <c r="J1234" s="13"/>
      <c r="K1234" s="13"/>
      <c r="L1234" s="13"/>
      <c r="M1234" s="15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8"/>
      <c r="J1235" s="13"/>
      <c r="K1235" s="13"/>
      <c r="L1235" s="13"/>
      <c r="M1235" s="15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8"/>
      <c r="J1236" s="13"/>
      <c r="K1236" s="13"/>
      <c r="L1236" s="13"/>
      <c r="M1236" s="15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8"/>
      <c r="J1237" s="13"/>
      <c r="K1237" s="13"/>
      <c r="L1237" s="13"/>
      <c r="M1237" s="15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8"/>
      <c r="J1238" s="13"/>
      <c r="K1238" s="13"/>
      <c r="L1238" s="13"/>
      <c r="M1238" s="15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8"/>
      <c r="J1239" s="13"/>
      <c r="K1239" s="13"/>
      <c r="L1239" s="13"/>
      <c r="M1239" s="15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8"/>
      <c r="J1240" s="13"/>
      <c r="K1240" s="13"/>
      <c r="L1240" s="13"/>
      <c r="M1240" s="15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8"/>
      <c r="J1241" s="13"/>
      <c r="K1241" s="13"/>
      <c r="L1241" s="13"/>
      <c r="M1241" s="15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8"/>
      <c r="J1242" s="13"/>
      <c r="K1242" s="13"/>
      <c r="L1242" s="13"/>
      <c r="M1242" s="15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8"/>
      <c r="J1243" s="13"/>
      <c r="K1243" s="13"/>
      <c r="L1243" s="13"/>
      <c r="M1243" s="15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8"/>
      <c r="J1244" s="13"/>
      <c r="K1244" s="13"/>
      <c r="L1244" s="13"/>
      <c r="M1244" s="15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8"/>
      <c r="J1245" s="13"/>
      <c r="K1245" s="13"/>
      <c r="L1245" s="13"/>
      <c r="M1245" s="15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8"/>
      <c r="J1246" s="13"/>
      <c r="K1246" s="13"/>
      <c r="L1246" s="13"/>
      <c r="M1246" s="15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8"/>
      <c r="J1247" s="13"/>
      <c r="K1247" s="13"/>
      <c r="L1247" s="13"/>
      <c r="M1247" s="15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8"/>
      <c r="J1248" s="13"/>
      <c r="K1248" s="13"/>
      <c r="L1248" s="13"/>
      <c r="M1248" s="15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8"/>
      <c r="J1249" s="13"/>
      <c r="K1249" s="13"/>
      <c r="L1249" s="13"/>
      <c r="M1249" s="15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8"/>
      <c r="J1250" s="13"/>
      <c r="K1250" s="13"/>
      <c r="L1250" s="13"/>
      <c r="M1250" s="15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8"/>
      <c r="J1251" s="13"/>
      <c r="K1251" s="13"/>
      <c r="L1251" s="13"/>
      <c r="M1251" s="15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8"/>
      <c r="J1252" s="13"/>
      <c r="K1252" s="13"/>
      <c r="L1252" s="13"/>
      <c r="M1252" s="15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8"/>
      <c r="J1253" s="13"/>
      <c r="K1253" s="13"/>
      <c r="L1253" s="13"/>
      <c r="M1253" s="15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8"/>
      <c r="J1254" s="13"/>
      <c r="K1254" s="13"/>
      <c r="L1254" s="13"/>
      <c r="M1254" s="15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8"/>
      <c r="J1255" s="13"/>
      <c r="K1255" s="13"/>
      <c r="L1255" s="13"/>
      <c r="M1255" s="15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8"/>
      <c r="J1256" s="13"/>
      <c r="K1256" s="13"/>
      <c r="L1256" s="13"/>
      <c r="M1256" s="15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8"/>
      <c r="J1257" s="13"/>
      <c r="K1257" s="13"/>
      <c r="L1257" s="13"/>
      <c r="M1257" s="15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8"/>
      <c r="J1258" s="13"/>
      <c r="K1258" s="13"/>
      <c r="L1258" s="13"/>
      <c r="M1258" s="15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8"/>
      <c r="J1259" s="13"/>
      <c r="K1259" s="13"/>
      <c r="L1259" s="13"/>
      <c r="M1259" s="15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8"/>
      <c r="J1260" s="13"/>
      <c r="K1260" s="13"/>
      <c r="L1260" s="13"/>
      <c r="M1260" s="15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8"/>
      <c r="J1261" s="13"/>
      <c r="K1261" s="13"/>
      <c r="L1261" s="13"/>
      <c r="M1261" s="15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8"/>
      <c r="J1262" s="13"/>
      <c r="K1262" s="13"/>
      <c r="L1262" s="13"/>
      <c r="M1262" s="15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8"/>
      <c r="J1263" s="13"/>
      <c r="K1263" s="13"/>
      <c r="L1263" s="13"/>
      <c r="M1263" s="15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8"/>
      <c r="J1264" s="13"/>
      <c r="K1264" s="13"/>
      <c r="L1264" s="13"/>
      <c r="M1264" s="15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8"/>
      <c r="J1265" s="13"/>
      <c r="K1265" s="13"/>
      <c r="L1265" s="13"/>
      <c r="M1265" s="15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8"/>
      <c r="J1266" s="13"/>
      <c r="K1266" s="13"/>
      <c r="L1266" s="13"/>
      <c r="M1266" s="15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8"/>
      <c r="J1267" s="13"/>
      <c r="K1267" s="13"/>
      <c r="L1267" s="13"/>
      <c r="M1267" s="15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8"/>
      <c r="J1268" s="13"/>
      <c r="K1268" s="13"/>
      <c r="L1268" s="13"/>
      <c r="M1268" s="15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8"/>
      <c r="J1269" s="13"/>
      <c r="K1269" s="13"/>
      <c r="L1269" s="13"/>
      <c r="M1269" s="15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8"/>
      <c r="J1270" s="13"/>
      <c r="K1270" s="13"/>
      <c r="L1270" s="13"/>
      <c r="M1270" s="15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8"/>
      <c r="J1271" s="13"/>
      <c r="K1271" s="13"/>
      <c r="L1271" s="13"/>
      <c r="M1271" s="15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8"/>
      <c r="J1272" s="13"/>
      <c r="K1272" s="13"/>
      <c r="L1272" s="13"/>
      <c r="M1272" s="15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8"/>
      <c r="J1273" s="13"/>
      <c r="K1273" s="13"/>
      <c r="L1273" s="13"/>
      <c r="M1273" s="15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8"/>
      <c r="J1274" s="13"/>
      <c r="K1274" s="13"/>
      <c r="L1274" s="13"/>
      <c r="M1274" s="15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8"/>
      <c r="J1275" s="13"/>
      <c r="K1275" s="13"/>
      <c r="L1275" s="13"/>
      <c r="M1275" s="15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8"/>
      <c r="J1276" s="13"/>
      <c r="K1276" s="13"/>
      <c r="L1276" s="13"/>
      <c r="M1276" s="15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8"/>
      <c r="J1277" s="13"/>
      <c r="K1277" s="13"/>
      <c r="L1277" s="13"/>
      <c r="M1277" s="15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8"/>
      <c r="J1278" s="13"/>
      <c r="K1278" s="13"/>
      <c r="L1278" s="13"/>
      <c r="M1278" s="15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8"/>
      <c r="J1279" s="13"/>
      <c r="K1279" s="13"/>
      <c r="L1279" s="13"/>
      <c r="M1279" s="15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8"/>
      <c r="J1280" s="13"/>
      <c r="K1280" s="13"/>
      <c r="L1280" s="13"/>
      <c r="M1280" s="15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8"/>
      <c r="J1281" s="13"/>
      <c r="K1281" s="13"/>
      <c r="L1281" s="13"/>
      <c r="M1281" s="15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8"/>
      <c r="J1282" s="13"/>
      <c r="K1282" s="13"/>
      <c r="L1282" s="13"/>
      <c r="M1282" s="15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8"/>
      <c r="J1283" s="13"/>
      <c r="K1283" s="13"/>
      <c r="L1283" s="13"/>
      <c r="M1283" s="15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8"/>
      <c r="J1284" s="13"/>
      <c r="K1284" s="13"/>
      <c r="L1284" s="13"/>
      <c r="M1284" s="15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8"/>
      <c r="J1285" s="13"/>
      <c r="K1285" s="13"/>
      <c r="L1285" s="13"/>
      <c r="M1285" s="15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8"/>
      <c r="J1286" s="13"/>
      <c r="K1286" s="13"/>
      <c r="L1286" s="13"/>
      <c r="M1286" s="15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8"/>
      <c r="J1287" s="13"/>
      <c r="K1287" s="13"/>
      <c r="L1287" s="13"/>
      <c r="M1287" s="15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8"/>
      <c r="J1288" s="13"/>
      <c r="K1288" s="13"/>
      <c r="L1288" s="13"/>
      <c r="M1288" s="15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8"/>
      <c r="J1289" s="13"/>
      <c r="K1289" s="13"/>
      <c r="L1289" s="13"/>
      <c r="M1289" s="15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8"/>
      <c r="J1290" s="13"/>
      <c r="K1290" s="13"/>
      <c r="L1290" s="13"/>
      <c r="M1290" s="15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8"/>
      <c r="J1291" s="13"/>
      <c r="K1291" s="13"/>
      <c r="L1291" s="13"/>
      <c r="M1291" s="15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8"/>
      <c r="J1292" s="13"/>
      <c r="K1292" s="13"/>
      <c r="L1292" s="13"/>
      <c r="M1292" s="15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8"/>
      <c r="J1293" s="13"/>
      <c r="K1293" s="13"/>
      <c r="L1293" s="13"/>
      <c r="M1293" s="15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8"/>
      <c r="J1294" s="13"/>
      <c r="K1294" s="13"/>
      <c r="L1294" s="13"/>
      <c r="M1294" s="15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8"/>
      <c r="J1295" s="13"/>
      <c r="K1295" s="13"/>
      <c r="L1295" s="13"/>
      <c r="M1295" s="15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8"/>
      <c r="J1296" s="13"/>
      <c r="K1296" s="13"/>
      <c r="L1296" s="13"/>
      <c r="M1296" s="15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8"/>
      <c r="J1297" s="13"/>
      <c r="K1297" s="13"/>
      <c r="L1297" s="13"/>
      <c r="M1297" s="15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8"/>
      <c r="J1298" s="13"/>
      <c r="K1298" s="13"/>
      <c r="L1298" s="13"/>
      <c r="M1298" s="15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8"/>
      <c r="J1299" s="13"/>
      <c r="K1299" s="13"/>
      <c r="L1299" s="13"/>
      <c r="M1299" s="15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8"/>
      <c r="J1300" s="13"/>
      <c r="K1300" s="13"/>
      <c r="L1300" s="13"/>
      <c r="M1300" s="15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8"/>
      <c r="J1301" s="13"/>
      <c r="K1301" s="13"/>
      <c r="L1301" s="13"/>
      <c r="M1301" s="15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8"/>
      <c r="J1302" s="13"/>
      <c r="K1302" s="13"/>
      <c r="L1302" s="13"/>
      <c r="M1302" s="15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8"/>
      <c r="J1303" s="13"/>
      <c r="K1303" s="13"/>
      <c r="L1303" s="13"/>
      <c r="M1303" s="15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8"/>
      <c r="J1304" s="13"/>
      <c r="K1304" s="13"/>
      <c r="L1304" s="13"/>
      <c r="M1304" s="15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8"/>
      <c r="J1305" s="13"/>
      <c r="K1305" s="13"/>
      <c r="L1305" s="13"/>
      <c r="M1305" s="15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8"/>
      <c r="J1306" s="13"/>
      <c r="K1306" s="13"/>
      <c r="L1306" s="13"/>
      <c r="M1306" s="15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8"/>
      <c r="J1307" s="13"/>
      <c r="K1307" s="13"/>
      <c r="L1307" s="13"/>
      <c r="M1307" s="15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8"/>
      <c r="J1308" s="13"/>
      <c r="K1308" s="13"/>
      <c r="L1308" s="13"/>
      <c r="M1308" s="15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8"/>
      <c r="J1309" s="13"/>
      <c r="K1309" s="13"/>
      <c r="L1309" s="13"/>
      <c r="M1309" s="15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8"/>
      <c r="J1310" s="13"/>
      <c r="K1310" s="13"/>
      <c r="L1310" s="13"/>
      <c r="M1310" s="15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8"/>
      <c r="J1311" s="13"/>
      <c r="K1311" s="13"/>
      <c r="L1311" s="13"/>
      <c r="M1311" s="15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8"/>
      <c r="J1312" s="13"/>
      <c r="K1312" s="13"/>
      <c r="L1312" s="13"/>
      <c r="M1312" s="15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8"/>
      <c r="J1313" s="13"/>
      <c r="K1313" s="13"/>
      <c r="L1313" s="13"/>
      <c r="M1313" s="15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8"/>
      <c r="J1314" s="13"/>
      <c r="K1314" s="13"/>
      <c r="L1314" s="13"/>
      <c r="M1314" s="15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8"/>
      <c r="J1315" s="13"/>
      <c r="K1315" s="13"/>
      <c r="L1315" s="13"/>
      <c r="M1315" s="15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8"/>
      <c r="J1316" s="13"/>
      <c r="K1316" s="13"/>
      <c r="L1316" s="13"/>
      <c r="M1316" s="15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8"/>
      <c r="J1317" s="13"/>
      <c r="K1317" s="13"/>
      <c r="L1317" s="13"/>
      <c r="M1317" s="15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8"/>
      <c r="J1318" s="13"/>
      <c r="K1318" s="13"/>
      <c r="L1318" s="13"/>
      <c r="M1318" s="15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8"/>
      <c r="J1319" s="13"/>
      <c r="K1319" s="13"/>
      <c r="L1319" s="13"/>
      <c r="M1319" s="15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8"/>
      <c r="J1320" s="13"/>
      <c r="K1320" s="13"/>
      <c r="L1320" s="13"/>
      <c r="M1320" s="15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8"/>
      <c r="J1321" s="13"/>
      <c r="K1321" s="13"/>
      <c r="L1321" s="13"/>
      <c r="M1321" s="15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8"/>
      <c r="J1322" s="13"/>
      <c r="K1322" s="13"/>
      <c r="L1322" s="13"/>
      <c r="M1322" s="15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8"/>
      <c r="J1323" s="13"/>
      <c r="K1323" s="13"/>
      <c r="L1323" s="13"/>
      <c r="M1323" s="15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8"/>
      <c r="J1324" s="13"/>
      <c r="K1324" s="13"/>
      <c r="L1324" s="13"/>
      <c r="M1324" s="15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8"/>
      <c r="J1325" s="13"/>
      <c r="K1325" s="13"/>
      <c r="L1325" s="13"/>
      <c r="M1325" s="15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8"/>
      <c r="J1326" s="13"/>
      <c r="K1326" s="13"/>
      <c r="L1326" s="13"/>
      <c r="M1326" s="15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8"/>
      <c r="J1327" s="13"/>
      <c r="K1327" s="13"/>
      <c r="L1327" s="13"/>
      <c r="M1327" s="15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8"/>
      <c r="J1328" s="13"/>
      <c r="K1328" s="13"/>
      <c r="L1328" s="13"/>
      <c r="M1328" s="15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8"/>
      <c r="J1329" s="13"/>
      <c r="K1329" s="13"/>
      <c r="L1329" s="13"/>
      <c r="M1329" s="15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8"/>
      <c r="J1330" s="13"/>
      <c r="K1330" s="13"/>
      <c r="L1330" s="13"/>
      <c r="M1330" s="15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8"/>
      <c r="J1331" s="13"/>
      <c r="K1331" s="13"/>
      <c r="L1331" s="13"/>
      <c r="M1331" s="15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8"/>
      <c r="J1332" s="13"/>
      <c r="K1332" s="13"/>
      <c r="L1332" s="13"/>
      <c r="M1332" s="15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8"/>
      <c r="J1333" s="13"/>
      <c r="K1333" s="13"/>
      <c r="L1333" s="13"/>
      <c r="M1333" s="15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8"/>
      <c r="J1334" s="13"/>
      <c r="K1334" s="13"/>
      <c r="L1334" s="13"/>
      <c r="M1334" s="15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8"/>
      <c r="J1335" s="13"/>
      <c r="K1335" s="13"/>
      <c r="L1335" s="13"/>
      <c r="M1335" s="15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8"/>
      <c r="J1336" s="13"/>
      <c r="K1336" s="13"/>
      <c r="L1336" s="13"/>
      <c r="M1336" s="15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8"/>
      <c r="J1337" s="13"/>
      <c r="K1337" s="13"/>
      <c r="L1337" s="13"/>
      <c r="M1337" s="15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8"/>
      <c r="J1338" s="13"/>
      <c r="K1338" s="13"/>
      <c r="L1338" s="13"/>
      <c r="M1338" s="15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8"/>
      <c r="J1339" s="13"/>
      <c r="K1339" s="13"/>
      <c r="L1339" s="13"/>
      <c r="M1339" s="15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8"/>
      <c r="J1340" s="13"/>
      <c r="K1340" s="13"/>
      <c r="L1340" s="13"/>
      <c r="M1340" s="15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8"/>
      <c r="J1341" s="13"/>
      <c r="K1341" s="13"/>
      <c r="L1341" s="13"/>
      <c r="M1341" s="15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8"/>
      <c r="J1342" s="13"/>
      <c r="K1342" s="13"/>
      <c r="L1342" s="13"/>
      <c r="M1342" s="15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8"/>
      <c r="J1343" s="13"/>
      <c r="K1343" s="13"/>
      <c r="L1343" s="13"/>
      <c r="M1343" s="15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8"/>
      <c r="J1344" s="13"/>
      <c r="K1344" s="13"/>
      <c r="L1344" s="13"/>
      <c r="M1344" s="15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8"/>
      <c r="J1345" s="13"/>
      <c r="K1345" s="13"/>
      <c r="L1345" s="13"/>
      <c r="M1345" s="15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8"/>
      <c r="J1346" s="13"/>
      <c r="K1346" s="13"/>
      <c r="L1346" s="13"/>
      <c r="M1346" s="15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8"/>
      <c r="J1347" s="13"/>
      <c r="K1347" s="13"/>
      <c r="L1347" s="13"/>
      <c r="M1347" s="15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8"/>
      <c r="J1348" s="13"/>
      <c r="K1348" s="13"/>
      <c r="L1348" s="13"/>
      <c r="M1348" s="15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8"/>
      <c r="J1349" s="13"/>
      <c r="K1349" s="13"/>
      <c r="L1349" s="13"/>
      <c r="M1349" s="15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8"/>
      <c r="J1350" s="13"/>
      <c r="K1350" s="13"/>
      <c r="L1350" s="13"/>
      <c r="M1350" s="15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8"/>
      <c r="J1351" s="13"/>
      <c r="K1351" s="13"/>
      <c r="L1351" s="13"/>
      <c r="M1351" s="15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8"/>
      <c r="J1352" s="13"/>
      <c r="K1352" s="13"/>
      <c r="L1352" s="13"/>
      <c r="M1352" s="15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8"/>
      <c r="J1353" s="13"/>
      <c r="K1353" s="13"/>
      <c r="L1353" s="13"/>
      <c r="M1353" s="15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8"/>
      <c r="J1354" s="13"/>
      <c r="K1354" s="13"/>
      <c r="L1354" s="13"/>
      <c r="M1354" s="15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8"/>
      <c r="J1355" s="13"/>
      <c r="K1355" s="13"/>
      <c r="L1355" s="13"/>
      <c r="M1355" s="15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8"/>
      <c r="J1356" s="13"/>
      <c r="K1356" s="13"/>
      <c r="L1356" s="13"/>
      <c r="M1356" s="15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8"/>
      <c r="J1357" s="13"/>
      <c r="K1357" s="13"/>
      <c r="L1357" s="13"/>
      <c r="M1357" s="15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8"/>
      <c r="J1358" s="13"/>
      <c r="K1358" s="13"/>
      <c r="L1358" s="13"/>
      <c r="M1358" s="15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8"/>
      <c r="J1359" s="13"/>
      <c r="K1359" s="13"/>
      <c r="L1359" s="13"/>
      <c r="M1359" s="15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8"/>
      <c r="J1360" s="13"/>
      <c r="K1360" s="13"/>
      <c r="L1360" s="13"/>
      <c r="M1360" s="15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8"/>
      <c r="J1361" s="13"/>
      <c r="K1361" s="13"/>
      <c r="L1361" s="13"/>
      <c r="M1361" s="15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8"/>
      <c r="J1362" s="13"/>
      <c r="K1362" s="13"/>
      <c r="L1362" s="13"/>
      <c r="M1362" s="15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8"/>
      <c r="J1363" s="13"/>
      <c r="K1363" s="13"/>
      <c r="L1363" s="13"/>
      <c r="M1363" s="15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8"/>
      <c r="J1364" s="13"/>
      <c r="K1364" s="13"/>
      <c r="L1364" s="13"/>
      <c r="M1364" s="15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8"/>
      <c r="J1365" s="13"/>
      <c r="K1365" s="13"/>
      <c r="L1365" s="13"/>
      <c r="M1365" s="15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8"/>
      <c r="J1366" s="13"/>
      <c r="K1366" s="13"/>
      <c r="L1366" s="13"/>
      <c r="M1366" s="15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8"/>
      <c r="J1367" s="13"/>
      <c r="K1367" s="13"/>
      <c r="L1367" s="13"/>
      <c r="M1367" s="15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8"/>
      <c r="J1368" s="13"/>
      <c r="K1368" s="13"/>
      <c r="L1368" s="13"/>
      <c r="M1368" s="15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8"/>
      <c r="J1369" s="13"/>
      <c r="K1369" s="13"/>
      <c r="L1369" s="13"/>
      <c r="M1369" s="15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8"/>
      <c r="J1370" s="13"/>
      <c r="K1370" s="13"/>
      <c r="L1370" s="13"/>
      <c r="M1370" s="15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8"/>
      <c r="J1371" s="13"/>
      <c r="K1371" s="13"/>
      <c r="L1371" s="13"/>
      <c r="M1371" s="15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8"/>
      <c r="J1372" s="13"/>
      <c r="K1372" s="13"/>
      <c r="L1372" s="13"/>
      <c r="M1372" s="15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8"/>
      <c r="J1373" s="13"/>
      <c r="K1373" s="13"/>
      <c r="L1373" s="13"/>
      <c r="M1373" s="15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8"/>
      <c r="J1374" s="13"/>
      <c r="K1374" s="13"/>
      <c r="L1374" s="13"/>
      <c r="M1374" s="15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8"/>
      <c r="J1375" s="13"/>
      <c r="K1375" s="13"/>
      <c r="L1375" s="13"/>
      <c r="M1375" s="15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8"/>
      <c r="J1376" s="13"/>
      <c r="K1376" s="13"/>
      <c r="L1376" s="13"/>
      <c r="M1376" s="15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8"/>
      <c r="J1377" s="13"/>
      <c r="K1377" s="13"/>
      <c r="L1377" s="13"/>
      <c r="M1377" s="15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8"/>
      <c r="J1378" s="13"/>
      <c r="K1378" s="13"/>
      <c r="L1378" s="13"/>
      <c r="M1378" s="15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8"/>
      <c r="J1379" s="13"/>
      <c r="K1379" s="13"/>
      <c r="L1379" s="13"/>
      <c r="M1379" s="15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8"/>
      <c r="J1380" s="13"/>
      <c r="K1380" s="13"/>
      <c r="L1380" s="13"/>
      <c r="M1380" s="15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8"/>
      <c r="J1381" s="13"/>
      <c r="K1381" s="13"/>
      <c r="L1381" s="13"/>
      <c r="M1381" s="15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8"/>
      <c r="J1382" s="13"/>
      <c r="K1382" s="13"/>
      <c r="L1382" s="13"/>
      <c r="M1382" s="15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8"/>
      <c r="J1383" s="13"/>
      <c r="K1383" s="13"/>
      <c r="L1383" s="13"/>
      <c r="M1383" s="15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8"/>
      <c r="J1384" s="13"/>
      <c r="K1384" s="13"/>
      <c r="L1384" s="13"/>
      <c r="M1384" s="15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8"/>
      <c r="J1385" s="13"/>
      <c r="K1385" s="13"/>
      <c r="L1385" s="13"/>
      <c r="M1385" s="15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8"/>
      <c r="J1386" s="13"/>
      <c r="K1386" s="13"/>
      <c r="L1386" s="13"/>
      <c r="M1386" s="15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8"/>
      <c r="J1387" s="13"/>
      <c r="K1387" s="13"/>
      <c r="L1387" s="13"/>
      <c r="M1387" s="15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8"/>
      <c r="J1388" s="13"/>
      <c r="K1388" s="13"/>
      <c r="L1388" s="13"/>
      <c r="M1388" s="15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8"/>
      <c r="J1389" s="13"/>
      <c r="K1389" s="13"/>
      <c r="L1389" s="13"/>
      <c r="M1389" s="15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8"/>
      <c r="J1390" s="13"/>
      <c r="K1390" s="13"/>
      <c r="L1390" s="13"/>
      <c r="M1390" s="15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8"/>
      <c r="J1391" s="13"/>
      <c r="K1391" s="13"/>
      <c r="L1391" s="13"/>
      <c r="M1391" s="15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8"/>
      <c r="J1392" s="13"/>
      <c r="K1392" s="13"/>
      <c r="L1392" s="13"/>
      <c r="M1392" s="15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8"/>
      <c r="J1393" s="13"/>
      <c r="K1393" s="13"/>
      <c r="L1393" s="13"/>
      <c r="M1393" s="15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8"/>
      <c r="J1394" s="13"/>
      <c r="K1394" s="13"/>
      <c r="L1394" s="13"/>
      <c r="M1394" s="15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8"/>
      <c r="J1395" s="13"/>
      <c r="K1395" s="13"/>
      <c r="L1395" s="13"/>
      <c r="M1395" s="15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8"/>
      <c r="J1396" s="13"/>
      <c r="K1396" s="13"/>
      <c r="L1396" s="13"/>
      <c r="M1396" s="15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8"/>
      <c r="J1397" s="13"/>
      <c r="K1397" s="13"/>
      <c r="L1397" s="13"/>
      <c r="M1397" s="15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8"/>
      <c r="J1398" s="13"/>
      <c r="K1398" s="13"/>
      <c r="L1398" s="13"/>
      <c r="M1398" s="15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8"/>
      <c r="J1399" s="13"/>
      <c r="K1399" s="13"/>
      <c r="L1399" s="13"/>
      <c r="M1399" s="15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8"/>
      <c r="J1400" s="13"/>
      <c r="K1400" s="13"/>
      <c r="L1400" s="13"/>
      <c r="M1400" s="15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8"/>
      <c r="J1401" s="13"/>
      <c r="K1401" s="13"/>
      <c r="L1401" s="13"/>
      <c r="M1401" s="15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8"/>
      <c r="J1402" s="13"/>
      <c r="K1402" s="13"/>
      <c r="L1402" s="13"/>
      <c r="M1402" s="15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8"/>
      <c r="J1403" s="13"/>
      <c r="K1403" s="13"/>
      <c r="L1403" s="13"/>
      <c r="M1403" s="15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8"/>
      <c r="J1404" s="13"/>
      <c r="K1404" s="13"/>
      <c r="L1404" s="13"/>
      <c r="M1404" s="15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8"/>
      <c r="J1405" s="13"/>
      <c r="K1405" s="13"/>
      <c r="L1405" s="13"/>
      <c r="M1405" s="15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8"/>
      <c r="J1406" s="13"/>
      <c r="K1406" s="13"/>
      <c r="L1406" s="13"/>
      <c r="M1406" s="15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8"/>
      <c r="J1407" s="13"/>
      <c r="K1407" s="13"/>
      <c r="L1407" s="13"/>
      <c r="M1407" s="15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8"/>
      <c r="J1408" s="13"/>
      <c r="K1408" s="13"/>
      <c r="L1408" s="13"/>
      <c r="M1408" s="15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8"/>
      <c r="J1409" s="13"/>
      <c r="K1409" s="13"/>
      <c r="L1409" s="13"/>
      <c r="M1409" s="15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8"/>
      <c r="J1410" s="13"/>
      <c r="K1410" s="13"/>
      <c r="L1410" s="13"/>
      <c r="M1410" s="15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8"/>
      <c r="J1411" s="13"/>
      <c r="K1411" s="13"/>
      <c r="L1411" s="13"/>
      <c r="M1411" s="15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8"/>
      <c r="J1412" s="13"/>
      <c r="K1412" s="13"/>
      <c r="L1412" s="13"/>
      <c r="M1412" s="15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8"/>
      <c r="J1413" s="13"/>
      <c r="K1413" s="13"/>
      <c r="L1413" s="13"/>
      <c r="M1413" s="15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8"/>
      <c r="J1414" s="13"/>
      <c r="K1414" s="13"/>
      <c r="L1414" s="13"/>
      <c r="M1414" s="15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8"/>
      <c r="J1415" s="13"/>
      <c r="K1415" s="13"/>
      <c r="L1415" s="13"/>
      <c r="M1415" s="15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8"/>
      <c r="J1416" s="13"/>
      <c r="K1416" s="13"/>
      <c r="L1416" s="13"/>
      <c r="M1416" s="15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8"/>
      <c r="J1417" s="13"/>
      <c r="K1417" s="13"/>
      <c r="L1417" s="13"/>
      <c r="M1417" s="15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8"/>
      <c r="J1418" s="13"/>
      <c r="K1418" s="13"/>
      <c r="L1418" s="13"/>
      <c r="M1418" s="15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8"/>
      <c r="J1419" s="13"/>
      <c r="K1419" s="13"/>
      <c r="L1419" s="13"/>
      <c r="M1419" s="15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8"/>
      <c r="J1420" s="13"/>
      <c r="K1420" s="13"/>
      <c r="L1420" s="13"/>
      <c r="M1420" s="15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8"/>
      <c r="J1421" s="13"/>
      <c r="K1421" s="13"/>
      <c r="L1421" s="13"/>
      <c r="M1421" s="15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8"/>
      <c r="J1422" s="13"/>
      <c r="K1422" s="13"/>
      <c r="L1422" s="13"/>
      <c r="M1422" s="15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8"/>
      <c r="J1423" s="13"/>
      <c r="K1423" s="13"/>
      <c r="L1423" s="13"/>
      <c r="M1423" s="15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8"/>
      <c r="J1424" s="13"/>
      <c r="K1424" s="13"/>
      <c r="L1424" s="13"/>
      <c r="M1424" s="15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8"/>
      <c r="J1425" s="13"/>
      <c r="K1425" s="13"/>
      <c r="L1425" s="13"/>
      <c r="M1425" s="15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8"/>
      <c r="J1426" s="13"/>
      <c r="K1426" s="13"/>
      <c r="L1426" s="13"/>
      <c r="M1426" s="15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8"/>
      <c r="J1427" s="13"/>
      <c r="K1427" s="13"/>
      <c r="L1427" s="13"/>
      <c r="M1427" s="15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8"/>
      <c r="J1428" s="13"/>
      <c r="K1428" s="13"/>
      <c r="L1428" s="13"/>
      <c r="M1428" s="15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8"/>
      <c r="J1429" s="13"/>
      <c r="K1429" s="13"/>
      <c r="L1429" s="13"/>
      <c r="M1429" s="15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8"/>
      <c r="J1430" s="13"/>
      <c r="K1430" s="13"/>
      <c r="L1430" s="13"/>
      <c r="M1430" s="15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8"/>
      <c r="J1431" s="13"/>
      <c r="K1431" s="13"/>
      <c r="L1431" s="13"/>
      <c r="M1431" s="15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8"/>
      <c r="J1432" s="13"/>
      <c r="K1432" s="13"/>
      <c r="L1432" s="13"/>
      <c r="M1432" s="15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8"/>
      <c r="J1433" s="13"/>
      <c r="K1433" s="13"/>
      <c r="L1433" s="13"/>
      <c r="M1433" s="15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8"/>
      <c r="J1434" s="13"/>
      <c r="K1434" s="13"/>
      <c r="L1434" s="13"/>
      <c r="M1434" s="15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8"/>
      <c r="J1435" s="13"/>
      <c r="K1435" s="13"/>
      <c r="L1435" s="13"/>
      <c r="M1435" s="15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8"/>
      <c r="J1436" s="13"/>
      <c r="K1436" s="13"/>
      <c r="L1436" s="13"/>
      <c r="M1436" s="15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8"/>
      <c r="J1437" s="13"/>
      <c r="K1437" s="13"/>
      <c r="L1437" s="13"/>
      <c r="M1437" s="15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8"/>
      <c r="J1438" s="13"/>
      <c r="K1438" s="13"/>
      <c r="L1438" s="13"/>
      <c r="M1438" s="15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8"/>
      <c r="J1439" s="13"/>
      <c r="K1439" s="13"/>
      <c r="L1439" s="13"/>
      <c r="M1439" s="15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8"/>
      <c r="J1440" s="13"/>
      <c r="K1440" s="13"/>
      <c r="L1440" s="13"/>
      <c r="M1440" s="15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8"/>
      <c r="J1441" s="13"/>
      <c r="K1441" s="13"/>
      <c r="L1441" s="13"/>
      <c r="M1441" s="15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8"/>
      <c r="J1442" s="13"/>
      <c r="K1442" s="13"/>
      <c r="L1442" s="13"/>
      <c r="M1442" s="15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8"/>
      <c r="J1443" s="13"/>
      <c r="K1443" s="13"/>
      <c r="L1443" s="13"/>
      <c r="M1443" s="15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8"/>
      <c r="J1444" s="13"/>
      <c r="K1444" s="13"/>
      <c r="L1444" s="13"/>
      <c r="M1444" s="15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8"/>
      <c r="J1445" s="13"/>
      <c r="K1445" s="13"/>
      <c r="L1445" s="13"/>
      <c r="M1445" s="15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8"/>
      <c r="J1446" s="13"/>
      <c r="K1446" s="13"/>
      <c r="L1446" s="13"/>
      <c r="M1446" s="15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8"/>
      <c r="J1447" s="13"/>
      <c r="K1447" s="13"/>
      <c r="L1447" s="13"/>
      <c r="M1447" s="15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8"/>
      <c r="J1448" s="13"/>
      <c r="K1448" s="13"/>
      <c r="L1448" s="13"/>
      <c r="M1448" s="15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8"/>
      <c r="J1449" s="13"/>
      <c r="K1449" s="13"/>
      <c r="L1449" s="13"/>
      <c r="M1449" s="15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8"/>
      <c r="J1450" s="13"/>
      <c r="K1450" s="13"/>
      <c r="L1450" s="13"/>
      <c r="M1450" s="15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8"/>
      <c r="J1451" s="13"/>
      <c r="K1451" s="13"/>
      <c r="L1451" s="13"/>
      <c r="M1451" s="15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8"/>
      <c r="J1452" s="13"/>
      <c r="K1452" s="13"/>
      <c r="L1452" s="13"/>
      <c r="M1452" s="15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8"/>
      <c r="J1453" s="13"/>
      <c r="K1453" s="13"/>
      <c r="L1453" s="13"/>
      <c r="M1453" s="15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8"/>
      <c r="J1454" s="13"/>
      <c r="K1454" s="13"/>
      <c r="L1454" s="13"/>
      <c r="M1454" s="15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8"/>
      <c r="J1455" s="13"/>
      <c r="K1455" s="13"/>
      <c r="L1455" s="13"/>
      <c r="M1455" s="15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8"/>
      <c r="J1456" s="13"/>
      <c r="K1456" s="13"/>
      <c r="L1456" s="13"/>
      <c r="M1456" s="15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8"/>
      <c r="J1457" s="13"/>
      <c r="K1457" s="13"/>
      <c r="L1457" s="13"/>
      <c r="M1457" s="15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8"/>
      <c r="J1458" s="13"/>
      <c r="K1458" s="13"/>
      <c r="L1458" s="13"/>
      <c r="M1458" s="15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8"/>
      <c r="J1459" s="13"/>
      <c r="K1459" s="13"/>
      <c r="L1459" s="13"/>
      <c r="M1459" s="15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8"/>
      <c r="J1460" s="13"/>
      <c r="K1460" s="13"/>
      <c r="L1460" s="13"/>
      <c r="M1460" s="15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8"/>
      <c r="J1461" s="13"/>
      <c r="K1461" s="13"/>
      <c r="L1461" s="13"/>
      <c r="M1461" s="15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8"/>
      <c r="J1462" s="13"/>
      <c r="K1462" s="13"/>
      <c r="L1462" s="13"/>
      <c r="M1462" s="15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8"/>
      <c r="J1463" s="13"/>
      <c r="K1463" s="13"/>
      <c r="L1463" s="13"/>
      <c r="M1463" s="15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8"/>
      <c r="J1464" s="13"/>
      <c r="K1464" s="13"/>
      <c r="L1464" s="13"/>
      <c r="M1464" s="15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8"/>
      <c r="J1465" s="13"/>
      <c r="K1465" s="13"/>
      <c r="L1465" s="13"/>
      <c r="M1465" s="15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8"/>
      <c r="J1466" s="13"/>
      <c r="K1466" s="13"/>
      <c r="L1466" s="13"/>
      <c r="M1466" s="15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8"/>
      <c r="J1467" s="13"/>
      <c r="K1467" s="13"/>
      <c r="L1467" s="13"/>
      <c r="M1467" s="15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8"/>
      <c r="J1468" s="13"/>
      <c r="K1468" s="13"/>
      <c r="L1468" s="13"/>
      <c r="M1468" s="15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8"/>
      <c r="J1469" s="13"/>
      <c r="K1469" s="13"/>
      <c r="L1469" s="13"/>
      <c r="M1469" s="15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8"/>
      <c r="J1470" s="13"/>
      <c r="K1470" s="13"/>
      <c r="L1470" s="13"/>
      <c r="M1470" s="15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8"/>
      <c r="J1471" s="13"/>
      <c r="K1471" s="13"/>
      <c r="L1471" s="13"/>
      <c r="M1471" s="15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8"/>
      <c r="J1472" s="13"/>
      <c r="K1472" s="13"/>
      <c r="L1472" s="13"/>
      <c r="M1472" s="15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8"/>
      <c r="J1473" s="13"/>
      <c r="K1473" s="13"/>
      <c r="L1473" s="13"/>
      <c r="M1473" s="15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8"/>
      <c r="J1474" s="13"/>
      <c r="K1474" s="13"/>
      <c r="L1474" s="13"/>
      <c r="M1474" s="15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8"/>
      <c r="J1475" s="13"/>
      <c r="K1475" s="13"/>
      <c r="L1475" s="13"/>
      <c r="M1475" s="15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8"/>
      <c r="J1476" s="13"/>
      <c r="K1476" s="13"/>
      <c r="L1476" s="13"/>
      <c r="M1476" s="15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8"/>
      <c r="J1477" s="13"/>
      <c r="K1477" s="13"/>
      <c r="L1477" s="13"/>
      <c r="M1477" s="15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8"/>
      <c r="J1478" s="13"/>
      <c r="K1478" s="13"/>
      <c r="L1478" s="13"/>
      <c r="M1478" s="15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8"/>
      <c r="J1479" s="13"/>
      <c r="K1479" s="13"/>
      <c r="L1479" s="13"/>
      <c r="M1479" s="15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8"/>
      <c r="J1480" s="13"/>
      <c r="K1480" s="13"/>
      <c r="L1480" s="13"/>
      <c r="M1480" s="15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8"/>
      <c r="J1481" s="13"/>
      <c r="K1481" s="13"/>
      <c r="L1481" s="13"/>
      <c r="M1481" s="15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8"/>
      <c r="J1482" s="13"/>
      <c r="K1482" s="13"/>
      <c r="L1482" s="13"/>
      <c r="M1482" s="15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8"/>
      <c r="J1483" s="13"/>
      <c r="K1483" s="13"/>
      <c r="L1483" s="13"/>
      <c r="M1483" s="15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8"/>
      <c r="J1484" s="13"/>
      <c r="K1484" s="13"/>
      <c r="L1484" s="13"/>
      <c r="M1484" s="15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8"/>
      <c r="J1485" s="13"/>
      <c r="K1485" s="13"/>
      <c r="L1485" s="13"/>
      <c r="M1485" s="15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8"/>
      <c r="J1486" s="13"/>
      <c r="K1486" s="13"/>
      <c r="L1486" s="13"/>
      <c r="M1486" s="15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8"/>
      <c r="J1487" s="13"/>
      <c r="K1487" s="13"/>
      <c r="L1487" s="13"/>
      <c r="M1487" s="15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8"/>
      <c r="J1488" s="13"/>
      <c r="K1488" s="13"/>
      <c r="L1488" s="13"/>
      <c r="M1488" s="15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8"/>
      <c r="J1489" s="13"/>
      <c r="K1489" s="13"/>
      <c r="L1489" s="13"/>
      <c r="M1489" s="15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8"/>
      <c r="J1490" s="13"/>
      <c r="K1490" s="13"/>
      <c r="L1490" s="13"/>
      <c r="M1490" s="15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8"/>
      <c r="J1491" s="13"/>
      <c r="K1491" s="13"/>
      <c r="L1491" s="13"/>
      <c r="M1491" s="15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8"/>
      <c r="J1492" s="13"/>
      <c r="K1492" s="13"/>
      <c r="L1492" s="13"/>
      <c r="M1492" s="15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8"/>
      <c r="J1493" s="13"/>
      <c r="K1493" s="13"/>
      <c r="L1493" s="13"/>
      <c r="M1493" s="15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8"/>
      <c r="J1494" s="13"/>
      <c r="K1494" s="13"/>
      <c r="L1494" s="13"/>
      <c r="M1494" s="15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8"/>
      <c r="J1495" s="13"/>
      <c r="K1495" s="13"/>
      <c r="L1495" s="13"/>
      <c r="M1495" s="15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8"/>
      <c r="J1496" s="13"/>
      <c r="K1496" s="13"/>
      <c r="L1496" s="13"/>
      <c r="M1496" s="15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8"/>
      <c r="J1497" s="13"/>
      <c r="K1497" s="13"/>
      <c r="L1497" s="13"/>
      <c r="M1497" s="15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8"/>
      <c r="J1498" s="13"/>
      <c r="K1498" s="13"/>
      <c r="L1498" s="13"/>
      <c r="M1498" s="15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8"/>
      <c r="J1499" s="13"/>
      <c r="K1499" s="13"/>
      <c r="L1499" s="13"/>
      <c r="M1499" s="15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8"/>
      <c r="J1500" s="13"/>
      <c r="K1500" s="13"/>
      <c r="L1500" s="13"/>
      <c r="M1500" s="15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8"/>
      <c r="J1501" s="13"/>
      <c r="K1501" s="13"/>
      <c r="L1501" s="13"/>
      <c r="M1501" s="15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8"/>
      <c r="J1502" s="13"/>
      <c r="K1502" s="13"/>
      <c r="L1502" s="13"/>
      <c r="M1502" s="15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8"/>
      <c r="J1503" s="13"/>
      <c r="K1503" s="13"/>
      <c r="L1503" s="13"/>
      <c r="M1503" s="15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8"/>
      <c r="J1504" s="13"/>
      <c r="K1504" s="13"/>
      <c r="L1504" s="13"/>
      <c r="M1504" s="15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8"/>
      <c r="J1505" s="13"/>
      <c r="K1505" s="13"/>
      <c r="L1505" s="13"/>
      <c r="M1505" s="15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8"/>
      <c r="J1506" s="13"/>
      <c r="K1506" s="13"/>
      <c r="L1506" s="13"/>
      <c r="M1506" s="15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8"/>
      <c r="J1507" s="13"/>
      <c r="K1507" s="13"/>
      <c r="L1507" s="13"/>
      <c r="M1507" s="15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8"/>
      <c r="J1508" s="13"/>
      <c r="K1508" s="13"/>
      <c r="L1508" s="13"/>
      <c r="M1508" s="15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8"/>
      <c r="J1509" s="13"/>
      <c r="K1509" s="13"/>
      <c r="L1509" s="13"/>
      <c r="M1509" s="15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8"/>
      <c r="J1510" s="13"/>
      <c r="K1510" s="13"/>
      <c r="L1510" s="13"/>
      <c r="M1510" s="15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8"/>
      <c r="J1511" s="13"/>
      <c r="K1511" s="13"/>
      <c r="L1511" s="13"/>
      <c r="M1511" s="15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8"/>
      <c r="J1512" s="13"/>
      <c r="K1512" s="13"/>
      <c r="L1512" s="13"/>
      <c r="M1512" s="15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8"/>
      <c r="J1513" s="13"/>
      <c r="K1513" s="13"/>
      <c r="L1513" s="13"/>
      <c r="M1513" s="15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8"/>
      <c r="J1514" s="13"/>
      <c r="K1514" s="13"/>
      <c r="L1514" s="13"/>
      <c r="M1514" s="15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8"/>
      <c r="J1515" s="13"/>
      <c r="K1515" s="13"/>
      <c r="L1515" s="13"/>
      <c r="M1515" s="15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8"/>
      <c r="J1516" s="13"/>
      <c r="K1516" s="13"/>
      <c r="L1516" s="13"/>
      <c r="M1516" s="15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8"/>
      <c r="J1517" s="13"/>
      <c r="K1517" s="13"/>
      <c r="L1517" s="13"/>
      <c r="M1517" s="15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8"/>
      <c r="J1518" s="13"/>
      <c r="K1518" s="13"/>
      <c r="L1518" s="13"/>
      <c r="M1518" s="15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8"/>
      <c r="J1519" s="13"/>
      <c r="K1519" s="13"/>
      <c r="L1519" s="13"/>
      <c r="M1519" s="15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8"/>
      <c r="J1520" s="13"/>
      <c r="K1520" s="13"/>
      <c r="L1520" s="13"/>
      <c r="M1520" s="15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8"/>
      <c r="J1521" s="13"/>
      <c r="K1521" s="13"/>
      <c r="L1521" s="13"/>
      <c r="M1521" s="15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8"/>
      <c r="J1522" s="13"/>
      <c r="K1522" s="13"/>
      <c r="L1522" s="13"/>
      <c r="M1522" s="15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8"/>
      <c r="J1523" s="13"/>
      <c r="K1523" s="13"/>
      <c r="L1523" s="13"/>
      <c r="M1523" s="15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8"/>
      <c r="J1524" s="13"/>
      <c r="K1524" s="13"/>
      <c r="L1524" s="13"/>
      <c r="M1524" s="15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8"/>
      <c r="J1525" s="13"/>
      <c r="K1525" s="13"/>
      <c r="L1525" s="13"/>
      <c r="M1525" s="15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8"/>
      <c r="J1526" s="13"/>
      <c r="K1526" s="13"/>
      <c r="L1526" s="13"/>
      <c r="M1526" s="15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8"/>
      <c r="J1527" s="13"/>
      <c r="K1527" s="13"/>
      <c r="L1527" s="13"/>
      <c r="M1527" s="15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8"/>
      <c r="J1528" s="13"/>
      <c r="K1528" s="13"/>
      <c r="L1528" s="13"/>
      <c r="M1528" s="15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8"/>
      <c r="J1529" s="13"/>
      <c r="K1529" s="13"/>
      <c r="L1529" s="13"/>
      <c r="M1529" s="15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8"/>
      <c r="J1530" s="13"/>
      <c r="K1530" s="13"/>
      <c r="L1530" s="13"/>
      <c r="M1530" s="15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8"/>
      <c r="J1531" s="13"/>
      <c r="K1531" s="13"/>
      <c r="L1531" s="13"/>
      <c r="M1531" s="15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8"/>
      <c r="J1532" s="13"/>
      <c r="K1532" s="13"/>
      <c r="L1532" s="13"/>
      <c r="M1532" s="15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8"/>
      <c r="J1533" s="13"/>
      <c r="K1533" s="13"/>
      <c r="L1533" s="13"/>
      <c r="M1533" s="15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8"/>
      <c r="J1534" s="13"/>
      <c r="K1534" s="13"/>
      <c r="L1534" s="13"/>
      <c r="M1534" s="15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8"/>
      <c r="J1535" s="13"/>
      <c r="K1535" s="13"/>
      <c r="L1535" s="13"/>
      <c r="M1535" s="15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8"/>
      <c r="J1536" s="13"/>
      <c r="K1536" s="13"/>
      <c r="L1536" s="13"/>
      <c r="M1536" s="15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8"/>
      <c r="J1537" s="13"/>
      <c r="K1537" s="13"/>
      <c r="L1537" s="13"/>
      <c r="M1537" s="15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8"/>
      <c r="J1538" s="13"/>
      <c r="K1538" s="13"/>
      <c r="L1538" s="13"/>
      <c r="M1538" s="15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8"/>
      <c r="J1539" s="13"/>
      <c r="K1539" s="13"/>
      <c r="L1539" s="13"/>
      <c r="M1539" s="15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8"/>
      <c r="J1540" s="13"/>
      <c r="K1540" s="13"/>
      <c r="L1540" s="13"/>
      <c r="M1540" s="15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8"/>
      <c r="J1541" s="13"/>
      <c r="K1541" s="13"/>
      <c r="L1541" s="13"/>
      <c r="M1541" s="15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8"/>
      <c r="J1542" s="13"/>
      <c r="K1542" s="13"/>
      <c r="L1542" s="13"/>
      <c r="M1542" s="15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8"/>
      <c r="J1543" s="13"/>
      <c r="K1543" s="13"/>
      <c r="L1543" s="13"/>
      <c r="M1543" s="15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8"/>
      <c r="J1544" s="13"/>
      <c r="K1544" s="13"/>
      <c r="L1544" s="13"/>
      <c r="M1544" s="15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8"/>
      <c r="J1545" s="13"/>
      <c r="K1545" s="13"/>
      <c r="L1545" s="13"/>
      <c r="M1545" s="15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8"/>
      <c r="J1546" s="13"/>
      <c r="K1546" s="13"/>
      <c r="L1546" s="13"/>
      <c r="M1546" s="15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8"/>
      <c r="J1547" s="13"/>
      <c r="K1547" s="13"/>
      <c r="L1547" s="13"/>
      <c r="M1547" s="15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8"/>
      <c r="J1548" s="13"/>
      <c r="K1548" s="13"/>
      <c r="L1548" s="13"/>
      <c r="M1548" s="15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8"/>
      <c r="J1549" s="13"/>
      <c r="K1549" s="13"/>
      <c r="L1549" s="13"/>
      <c r="M1549" s="15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8"/>
      <c r="J1550" s="13"/>
      <c r="K1550" s="13"/>
      <c r="L1550" s="13"/>
      <c r="M1550" s="15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8"/>
      <c r="J1551" s="13"/>
      <c r="K1551" s="13"/>
      <c r="L1551" s="13"/>
      <c r="M1551" s="15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8"/>
      <c r="J1552" s="13"/>
      <c r="K1552" s="13"/>
      <c r="L1552" s="13"/>
      <c r="M1552" s="15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8"/>
      <c r="J1553" s="13"/>
      <c r="K1553" s="13"/>
      <c r="L1553" s="13"/>
      <c r="M1553" s="15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8"/>
      <c r="J1554" s="13"/>
      <c r="K1554" s="13"/>
      <c r="L1554" s="13"/>
      <c r="M1554" s="15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8"/>
      <c r="J1555" s="13"/>
      <c r="K1555" s="13"/>
      <c r="L1555" s="13"/>
      <c r="M1555" s="15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8"/>
      <c r="J1556" s="13"/>
      <c r="K1556" s="13"/>
      <c r="L1556" s="13"/>
      <c r="M1556" s="15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8"/>
      <c r="J1557" s="13"/>
      <c r="K1557" s="13"/>
      <c r="L1557" s="13"/>
      <c r="M1557" s="15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8"/>
      <c r="J1558" s="13"/>
      <c r="K1558" s="13"/>
      <c r="L1558" s="13"/>
      <c r="M1558" s="15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8"/>
      <c r="J1559" s="13"/>
      <c r="K1559" s="13"/>
      <c r="L1559" s="13"/>
      <c r="M1559" s="15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8"/>
      <c r="J1560" s="13"/>
      <c r="K1560" s="13"/>
      <c r="L1560" s="13"/>
      <c r="M1560" s="15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8"/>
      <c r="J1561" s="13"/>
      <c r="K1561" s="13"/>
      <c r="L1561" s="13"/>
      <c r="M1561" s="15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8"/>
      <c r="J1562" s="13"/>
      <c r="K1562" s="13"/>
      <c r="L1562" s="13"/>
      <c r="M1562" s="15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8"/>
      <c r="J1563" s="13"/>
      <c r="K1563" s="13"/>
      <c r="L1563" s="13"/>
      <c r="M1563" s="15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8"/>
      <c r="J1564" s="13"/>
      <c r="K1564" s="13"/>
      <c r="L1564" s="13"/>
      <c r="M1564" s="15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8"/>
      <c r="J1565" s="13"/>
      <c r="K1565" s="13"/>
      <c r="L1565" s="13"/>
      <c r="M1565" s="15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8"/>
      <c r="J1566" s="13"/>
      <c r="K1566" s="13"/>
      <c r="L1566" s="13"/>
      <c r="M1566" s="15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8"/>
      <c r="J1567" s="13"/>
      <c r="K1567" s="13"/>
      <c r="L1567" s="13"/>
      <c r="M1567" s="15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8"/>
      <c r="J1568" s="13"/>
      <c r="K1568" s="13"/>
      <c r="L1568" s="13"/>
      <c r="M1568" s="15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8"/>
      <c r="J1569" s="13"/>
      <c r="K1569" s="13"/>
      <c r="L1569" s="13"/>
      <c r="M1569" s="15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8"/>
      <c r="J1570" s="13"/>
      <c r="K1570" s="13"/>
      <c r="L1570" s="13"/>
      <c r="M1570" s="15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8"/>
      <c r="J1571" s="13"/>
      <c r="K1571" s="13"/>
      <c r="L1571" s="13"/>
      <c r="M1571" s="15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8"/>
      <c r="J1572" s="13"/>
      <c r="K1572" s="13"/>
      <c r="L1572" s="13"/>
      <c r="M1572" s="15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8"/>
      <c r="J1573" s="13"/>
      <c r="K1573" s="13"/>
      <c r="L1573" s="13"/>
      <c r="M1573" s="15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8"/>
      <c r="J1574" s="13"/>
      <c r="K1574" s="13"/>
      <c r="L1574" s="13"/>
      <c r="M1574" s="15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8"/>
      <c r="J1575" s="13"/>
      <c r="K1575" s="13"/>
      <c r="L1575" s="13"/>
      <c r="M1575" s="15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8"/>
      <c r="J1576" s="13"/>
      <c r="K1576" s="13"/>
      <c r="L1576" s="13"/>
      <c r="M1576" s="15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8"/>
      <c r="J1577" s="13"/>
      <c r="K1577" s="13"/>
      <c r="L1577" s="13"/>
      <c r="M1577" s="15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8"/>
      <c r="J1578" s="13"/>
      <c r="K1578" s="13"/>
      <c r="L1578" s="13"/>
      <c r="M1578" s="15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8"/>
      <c r="J1579" s="13"/>
      <c r="K1579" s="13"/>
      <c r="L1579" s="13"/>
      <c r="M1579" s="15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8"/>
      <c r="J1580" s="13"/>
      <c r="K1580" s="13"/>
      <c r="L1580" s="13"/>
      <c r="M1580" s="15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8"/>
      <c r="J1581" s="13"/>
      <c r="K1581" s="13"/>
      <c r="L1581" s="13"/>
      <c r="M1581" s="15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8"/>
      <c r="J1582" s="13"/>
      <c r="K1582" s="13"/>
      <c r="L1582" s="13"/>
      <c r="M1582" s="15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8"/>
      <c r="J1583" s="13"/>
      <c r="K1583" s="13"/>
      <c r="L1583" s="13"/>
      <c r="M1583" s="15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8"/>
      <c r="J1584" s="13"/>
      <c r="K1584" s="13"/>
      <c r="L1584" s="13"/>
      <c r="M1584" s="15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8"/>
      <c r="J1585" s="13"/>
      <c r="K1585" s="13"/>
      <c r="L1585" s="13"/>
      <c r="M1585" s="15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8"/>
      <c r="J1586" s="13"/>
      <c r="K1586" s="13"/>
      <c r="L1586" s="13"/>
      <c r="M1586" s="15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8"/>
      <c r="J1587" s="13"/>
      <c r="K1587" s="13"/>
      <c r="L1587" s="13"/>
      <c r="M1587" s="15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8"/>
      <c r="J1588" s="13"/>
      <c r="K1588" s="13"/>
      <c r="L1588" s="13"/>
      <c r="M1588" s="15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8"/>
      <c r="J1589" s="13"/>
      <c r="K1589" s="13"/>
      <c r="L1589" s="13"/>
      <c r="M1589" s="15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8"/>
      <c r="J1590" s="13"/>
      <c r="K1590" s="13"/>
      <c r="L1590" s="13"/>
      <c r="M1590" s="15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8"/>
      <c r="J1591" s="13"/>
      <c r="K1591" s="13"/>
      <c r="L1591" s="13"/>
      <c r="M1591" s="15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8"/>
      <c r="J1592" s="13"/>
      <c r="K1592" s="13"/>
      <c r="L1592" s="13"/>
      <c r="M1592" s="15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8"/>
      <c r="J1593" s="13"/>
      <c r="K1593" s="13"/>
      <c r="L1593" s="13"/>
      <c r="M1593" s="15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8"/>
      <c r="J1594" s="13"/>
      <c r="K1594" s="13"/>
      <c r="L1594" s="13"/>
      <c r="M1594" s="15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8"/>
      <c r="J1595" s="13"/>
      <c r="K1595" s="13"/>
      <c r="L1595" s="13"/>
      <c r="M1595" s="15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8"/>
      <c r="J1596" s="13"/>
      <c r="K1596" s="13"/>
      <c r="L1596" s="13"/>
      <c r="M1596" s="15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8"/>
      <c r="J1597" s="13"/>
      <c r="K1597" s="13"/>
      <c r="L1597" s="13"/>
      <c r="M1597" s="15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8"/>
      <c r="J1598" s="13"/>
      <c r="K1598" s="13"/>
      <c r="L1598" s="13"/>
      <c r="M1598" s="15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8"/>
      <c r="J1599" s="13"/>
      <c r="K1599" s="13"/>
      <c r="L1599" s="13"/>
      <c r="M1599" s="15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8"/>
      <c r="J1600" s="13"/>
      <c r="K1600" s="13"/>
      <c r="L1600" s="13"/>
      <c r="M1600" s="15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8"/>
      <c r="J1601" s="13"/>
      <c r="K1601" s="13"/>
      <c r="L1601" s="13"/>
      <c r="M1601" s="15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8"/>
      <c r="J1602" s="13"/>
      <c r="K1602" s="13"/>
      <c r="L1602" s="13"/>
      <c r="M1602" s="15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8"/>
      <c r="J1603" s="13"/>
      <c r="K1603" s="13"/>
      <c r="L1603" s="13"/>
      <c r="M1603" s="15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8"/>
      <c r="J1604" s="13"/>
      <c r="K1604" s="13"/>
      <c r="L1604" s="13"/>
      <c r="M1604" s="15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8"/>
      <c r="J1605" s="13"/>
      <c r="K1605" s="13"/>
      <c r="L1605" s="13"/>
      <c r="M1605" s="15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8"/>
      <c r="J1606" s="13"/>
      <c r="K1606" s="13"/>
      <c r="L1606" s="13"/>
      <c r="M1606" s="15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8"/>
      <c r="J1607" s="13"/>
      <c r="K1607" s="13"/>
      <c r="L1607" s="13"/>
      <c r="M1607" s="15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8"/>
      <c r="J1608" s="13"/>
      <c r="K1608" s="13"/>
      <c r="L1608" s="13"/>
      <c r="M1608" s="15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8"/>
      <c r="J1609" s="13"/>
      <c r="K1609" s="13"/>
      <c r="L1609" s="13"/>
      <c r="M1609" s="15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8"/>
      <c r="J1610" s="13"/>
      <c r="K1610" s="13"/>
      <c r="L1610" s="13"/>
      <c r="M1610" s="15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8"/>
      <c r="J1611" s="13"/>
      <c r="K1611" s="13"/>
      <c r="L1611" s="13"/>
      <c r="M1611" s="15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8"/>
      <c r="J1612" s="13"/>
      <c r="K1612" s="13"/>
      <c r="L1612" s="13"/>
      <c r="M1612" s="15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8"/>
      <c r="J1613" s="13"/>
      <c r="K1613" s="13"/>
      <c r="L1613" s="13"/>
      <c r="M1613" s="15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8"/>
      <c r="J1614" s="13"/>
      <c r="K1614" s="13"/>
      <c r="L1614" s="13"/>
      <c r="M1614" s="15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8"/>
      <c r="J1615" s="13"/>
      <c r="K1615" s="13"/>
      <c r="L1615" s="13"/>
      <c r="M1615" s="15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8"/>
      <c r="J1616" s="13"/>
      <c r="K1616" s="13"/>
      <c r="L1616" s="13"/>
      <c r="M1616" s="15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8"/>
      <c r="J1617" s="13"/>
      <c r="K1617" s="13"/>
      <c r="L1617" s="13"/>
      <c r="M1617" s="15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8"/>
      <c r="J1618" s="13"/>
      <c r="K1618" s="13"/>
      <c r="L1618" s="13"/>
      <c r="M1618" s="15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8"/>
      <c r="J1619" s="13"/>
      <c r="K1619" s="13"/>
      <c r="L1619" s="13"/>
      <c r="M1619" s="15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8"/>
      <c r="J1620" s="13"/>
      <c r="K1620" s="13"/>
      <c r="L1620" s="13"/>
      <c r="M1620" s="15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8"/>
      <c r="J1621" s="13"/>
      <c r="K1621" s="13"/>
      <c r="L1621" s="13"/>
      <c r="M1621" s="15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8"/>
      <c r="J1622" s="13"/>
      <c r="K1622" s="13"/>
      <c r="L1622" s="13"/>
      <c r="M1622" s="15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8"/>
      <c r="J1623" s="13"/>
      <c r="K1623" s="13"/>
      <c r="L1623" s="13"/>
      <c r="M1623" s="15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8"/>
      <c r="J1624" s="13"/>
      <c r="K1624" s="13"/>
      <c r="L1624" s="13"/>
      <c r="M1624" s="15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8"/>
      <c r="J1625" s="13"/>
      <c r="K1625" s="13"/>
      <c r="L1625" s="13"/>
      <c r="M1625" s="15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8"/>
      <c r="J1626" s="13"/>
      <c r="K1626" s="13"/>
      <c r="L1626" s="13"/>
      <c r="M1626" s="15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8"/>
      <c r="J1627" s="13"/>
      <c r="K1627" s="13"/>
      <c r="L1627" s="13"/>
      <c r="M1627" s="15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8"/>
      <c r="J1628" s="13"/>
      <c r="K1628" s="13"/>
      <c r="L1628" s="13"/>
      <c r="M1628" s="15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8"/>
      <c r="J1629" s="13"/>
      <c r="K1629" s="13"/>
      <c r="L1629" s="13"/>
      <c r="M1629" s="15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8"/>
      <c r="J1630" s="13"/>
      <c r="K1630" s="13"/>
      <c r="L1630" s="13"/>
      <c r="M1630" s="15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8"/>
      <c r="J1631" s="13"/>
      <c r="K1631" s="13"/>
      <c r="L1631" s="13"/>
      <c r="M1631" s="15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8"/>
      <c r="J1632" s="13"/>
      <c r="K1632" s="13"/>
      <c r="L1632" s="13"/>
      <c r="M1632" s="15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8"/>
      <c r="J1633" s="13"/>
      <c r="K1633" s="13"/>
      <c r="L1633" s="13"/>
      <c r="M1633" s="15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8"/>
      <c r="J1634" s="13"/>
      <c r="K1634" s="13"/>
      <c r="L1634" s="13"/>
      <c r="M1634" s="15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8"/>
      <c r="J1635" s="13"/>
      <c r="K1635" s="13"/>
      <c r="L1635" s="13"/>
      <c r="M1635" s="15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8"/>
      <c r="J1636" s="13"/>
      <c r="K1636" s="13"/>
      <c r="L1636" s="13"/>
      <c r="M1636" s="15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8"/>
      <c r="J1637" s="13"/>
      <c r="K1637" s="13"/>
      <c r="L1637" s="13"/>
      <c r="M1637" s="15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8"/>
      <c r="J1638" s="13"/>
      <c r="K1638" s="13"/>
      <c r="L1638" s="13"/>
      <c r="M1638" s="15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8"/>
      <c r="J1639" s="13"/>
      <c r="K1639" s="13"/>
      <c r="L1639" s="13"/>
      <c r="M1639" s="15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8"/>
      <c r="J1640" s="13"/>
      <c r="K1640" s="13"/>
      <c r="L1640" s="13"/>
      <c r="M1640" s="15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8"/>
      <c r="J1641" s="13"/>
      <c r="K1641" s="13"/>
      <c r="L1641" s="13"/>
      <c r="M1641" s="15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8"/>
      <c r="J1642" s="13"/>
      <c r="K1642" s="13"/>
      <c r="L1642" s="13"/>
      <c r="M1642" s="15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8"/>
      <c r="J1643" s="13"/>
      <c r="K1643" s="13"/>
      <c r="L1643" s="13"/>
      <c r="M1643" s="15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8"/>
      <c r="J1644" s="13"/>
      <c r="K1644" s="13"/>
      <c r="L1644" s="13"/>
      <c r="M1644" s="15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8"/>
      <c r="J1645" s="13"/>
      <c r="K1645" s="13"/>
      <c r="L1645" s="13"/>
      <c r="M1645" s="15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8"/>
      <c r="J1646" s="13"/>
      <c r="K1646" s="13"/>
      <c r="L1646" s="13"/>
      <c r="M1646" s="15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8"/>
      <c r="J1647" s="13"/>
      <c r="K1647" s="13"/>
      <c r="L1647" s="13"/>
      <c r="M1647" s="15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8"/>
      <c r="J1648" s="13"/>
      <c r="K1648" s="13"/>
      <c r="L1648" s="13"/>
      <c r="M1648" s="15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8"/>
      <c r="J1649" s="13"/>
      <c r="K1649" s="13"/>
      <c r="L1649" s="13"/>
      <c r="M1649" s="15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8"/>
      <c r="J1650" s="13"/>
      <c r="K1650" s="13"/>
      <c r="L1650" s="13"/>
      <c r="M1650" s="15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8"/>
      <c r="J1651" s="13"/>
      <c r="K1651" s="13"/>
      <c r="L1651" s="13"/>
      <c r="M1651" s="15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8"/>
      <c r="J1652" s="13"/>
      <c r="K1652" s="13"/>
      <c r="L1652" s="13"/>
      <c r="M1652" s="15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8"/>
      <c r="J1653" s="13"/>
      <c r="K1653" s="13"/>
      <c r="L1653" s="13"/>
      <c r="M1653" s="15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8"/>
      <c r="J1654" s="13"/>
      <c r="K1654" s="13"/>
      <c r="L1654" s="13"/>
      <c r="M1654" s="15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8"/>
      <c r="J1655" s="13"/>
      <c r="K1655" s="13"/>
      <c r="L1655" s="13"/>
      <c r="M1655" s="15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8"/>
      <c r="J1656" s="13"/>
      <c r="K1656" s="13"/>
      <c r="L1656" s="13"/>
      <c r="M1656" s="15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8"/>
      <c r="J1657" s="13"/>
      <c r="K1657" s="13"/>
      <c r="L1657" s="13"/>
      <c r="M1657" s="15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8"/>
      <c r="J1658" s="13"/>
      <c r="K1658" s="13"/>
      <c r="L1658" s="13"/>
      <c r="M1658" s="15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8"/>
      <c r="J1659" s="13"/>
      <c r="K1659" s="13"/>
      <c r="L1659" s="13"/>
      <c r="M1659" s="15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8"/>
      <c r="J1660" s="13"/>
      <c r="K1660" s="13"/>
      <c r="L1660" s="13"/>
      <c r="M1660" s="15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8"/>
      <c r="J1661" s="13"/>
      <c r="K1661" s="13"/>
      <c r="L1661" s="13"/>
      <c r="M1661" s="15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8"/>
      <c r="J1662" s="13"/>
      <c r="K1662" s="13"/>
      <c r="L1662" s="13"/>
      <c r="M1662" s="15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8"/>
      <c r="J1663" s="13"/>
      <c r="K1663" s="13"/>
      <c r="L1663" s="13"/>
      <c r="M1663" s="15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8"/>
      <c r="J1664" s="13"/>
      <c r="K1664" s="13"/>
      <c r="L1664" s="13"/>
      <c r="M1664" s="15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8"/>
      <c r="J1665" s="13"/>
      <c r="K1665" s="13"/>
      <c r="L1665" s="13"/>
      <c r="M1665" s="15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8"/>
      <c r="J1666" s="13"/>
      <c r="K1666" s="13"/>
      <c r="L1666" s="13"/>
      <c r="M1666" s="15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8"/>
      <c r="J1667" s="13"/>
      <c r="K1667" s="13"/>
      <c r="L1667" s="13"/>
      <c r="M1667" s="15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8"/>
      <c r="J1668" s="13"/>
      <c r="K1668" s="13"/>
      <c r="L1668" s="13"/>
      <c r="M1668" s="15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8"/>
      <c r="J1669" s="13"/>
      <c r="K1669" s="13"/>
      <c r="L1669" s="13"/>
      <c r="M1669" s="15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8"/>
      <c r="J1670" s="13"/>
      <c r="K1670" s="13"/>
      <c r="L1670" s="13"/>
      <c r="M1670" s="15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8"/>
      <c r="J1671" s="13"/>
      <c r="K1671" s="13"/>
      <c r="L1671" s="13"/>
      <c r="M1671" s="15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8"/>
      <c r="J1672" s="13"/>
      <c r="K1672" s="13"/>
      <c r="L1672" s="13"/>
      <c r="M1672" s="15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8"/>
      <c r="J1673" s="13"/>
      <c r="K1673" s="13"/>
      <c r="L1673" s="13"/>
      <c r="M1673" s="15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8"/>
      <c r="J1674" s="13"/>
      <c r="K1674" s="13"/>
      <c r="L1674" s="13"/>
      <c r="M1674" s="15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8"/>
      <c r="J1675" s="13"/>
      <c r="K1675" s="13"/>
      <c r="L1675" s="13"/>
      <c r="M1675" s="15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8"/>
      <c r="J1676" s="13"/>
      <c r="K1676" s="13"/>
      <c r="L1676" s="13"/>
      <c r="M1676" s="15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8"/>
      <c r="J1677" s="13"/>
      <c r="K1677" s="13"/>
      <c r="L1677" s="13"/>
      <c r="M1677" s="15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8"/>
      <c r="J1678" s="13"/>
      <c r="K1678" s="13"/>
      <c r="L1678" s="13"/>
      <c r="M1678" s="15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8"/>
      <c r="J1679" s="13"/>
      <c r="K1679" s="13"/>
      <c r="L1679" s="13"/>
      <c r="M1679" s="15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8"/>
      <c r="J1680" s="13"/>
      <c r="K1680" s="13"/>
      <c r="L1680" s="13"/>
      <c r="M1680" s="15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8"/>
      <c r="J1681" s="13"/>
      <c r="K1681" s="13"/>
      <c r="L1681" s="13"/>
      <c r="M1681" s="15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8"/>
      <c r="J1682" s="13"/>
      <c r="K1682" s="13"/>
      <c r="L1682" s="13"/>
      <c r="M1682" s="15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8"/>
      <c r="J1683" s="13"/>
      <c r="K1683" s="13"/>
      <c r="L1683" s="13"/>
      <c r="M1683" s="15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8"/>
      <c r="J1684" s="13"/>
      <c r="K1684" s="13"/>
      <c r="L1684" s="13"/>
      <c r="M1684" s="15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8"/>
      <c r="J1685" s="13"/>
      <c r="K1685" s="13"/>
      <c r="L1685" s="13"/>
      <c r="M1685" s="15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8"/>
      <c r="J1686" s="13"/>
      <c r="K1686" s="13"/>
      <c r="L1686" s="13"/>
      <c r="M1686" s="15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8"/>
      <c r="J1687" s="13"/>
      <c r="K1687" s="13"/>
      <c r="L1687" s="13"/>
      <c r="M1687" s="15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8"/>
      <c r="J1688" s="13"/>
      <c r="K1688" s="13"/>
      <c r="L1688" s="13"/>
      <c r="M1688" s="15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8"/>
      <c r="J1689" s="13"/>
      <c r="K1689" s="13"/>
      <c r="L1689" s="13"/>
      <c r="M1689" s="15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8"/>
      <c r="J1690" s="13"/>
      <c r="K1690" s="13"/>
      <c r="L1690" s="13"/>
      <c r="M1690" s="15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8"/>
      <c r="J1691" s="13"/>
      <c r="K1691" s="13"/>
      <c r="L1691" s="13"/>
      <c r="M1691" s="15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8"/>
      <c r="J1692" s="13"/>
      <c r="K1692" s="13"/>
      <c r="L1692" s="13"/>
      <c r="M1692" s="15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8"/>
      <c r="J1693" s="13"/>
      <c r="K1693" s="13"/>
      <c r="L1693" s="13"/>
      <c r="M1693" s="15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8"/>
      <c r="J1694" s="13"/>
      <c r="K1694" s="13"/>
      <c r="L1694" s="13"/>
      <c r="M1694" s="15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8"/>
      <c r="J1695" s="13"/>
      <c r="K1695" s="13"/>
      <c r="L1695" s="13"/>
      <c r="M1695" s="15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8"/>
      <c r="J1696" s="13"/>
      <c r="K1696" s="13"/>
      <c r="L1696" s="13"/>
      <c r="M1696" s="15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8"/>
      <c r="J1697" s="13"/>
      <c r="K1697" s="13"/>
      <c r="L1697" s="13"/>
      <c r="M1697" s="15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8"/>
      <c r="J1698" s="13"/>
      <c r="K1698" s="13"/>
      <c r="L1698" s="13"/>
      <c r="M1698" s="15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8"/>
      <c r="J1699" s="13"/>
      <c r="K1699" s="13"/>
      <c r="L1699" s="13"/>
      <c r="M1699" s="15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8"/>
      <c r="J1700" s="13"/>
      <c r="K1700" s="13"/>
      <c r="L1700" s="13"/>
      <c r="M1700" s="15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8"/>
      <c r="J1701" s="13"/>
      <c r="K1701" s="13"/>
      <c r="L1701" s="13"/>
      <c r="M1701" s="15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8"/>
      <c r="J1702" s="13"/>
      <c r="K1702" s="13"/>
      <c r="L1702" s="13"/>
      <c r="M1702" s="15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8"/>
      <c r="J1703" s="13"/>
      <c r="K1703" s="13"/>
      <c r="L1703" s="13"/>
      <c r="M1703" s="15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8"/>
      <c r="J1704" s="13"/>
      <c r="K1704" s="13"/>
      <c r="L1704" s="13"/>
      <c r="M1704" s="15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8"/>
      <c r="J1705" s="13"/>
      <c r="K1705" s="13"/>
      <c r="L1705" s="13"/>
      <c r="M1705" s="15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8"/>
      <c r="J1706" s="13"/>
      <c r="K1706" s="13"/>
      <c r="L1706" s="13"/>
      <c r="M1706" s="15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8"/>
      <c r="J1707" s="13"/>
      <c r="K1707" s="13"/>
      <c r="L1707" s="13"/>
      <c r="M1707" s="15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8"/>
      <c r="J1708" s="13"/>
      <c r="K1708" s="13"/>
      <c r="L1708" s="13"/>
      <c r="M1708" s="15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8"/>
      <c r="J1709" s="13"/>
      <c r="K1709" s="13"/>
      <c r="L1709" s="13"/>
      <c r="M1709" s="15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8"/>
      <c r="J1710" s="13"/>
      <c r="K1710" s="13"/>
      <c r="L1710" s="13"/>
      <c r="M1710" s="15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8"/>
      <c r="J1711" s="13"/>
      <c r="K1711" s="13"/>
      <c r="L1711" s="13"/>
      <c r="M1711" s="15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8"/>
      <c r="J1712" s="13"/>
      <c r="K1712" s="13"/>
      <c r="L1712" s="13"/>
      <c r="M1712" s="15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8"/>
      <c r="J1713" s="13"/>
      <c r="K1713" s="13"/>
      <c r="L1713" s="13"/>
      <c r="M1713" s="15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8"/>
      <c r="J1714" s="13"/>
      <c r="K1714" s="13"/>
      <c r="L1714" s="13"/>
      <c r="M1714" s="15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8"/>
      <c r="J1715" s="13"/>
      <c r="K1715" s="13"/>
      <c r="L1715" s="13"/>
      <c r="M1715" s="15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8"/>
      <c r="J1716" s="13"/>
      <c r="K1716" s="13"/>
      <c r="L1716" s="13"/>
      <c r="M1716" s="15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8"/>
      <c r="J1717" s="13"/>
      <c r="K1717" s="13"/>
      <c r="L1717" s="13"/>
      <c r="M1717" s="15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8"/>
      <c r="J1718" s="13"/>
      <c r="K1718" s="13"/>
      <c r="L1718" s="13"/>
      <c r="M1718" s="15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8"/>
      <c r="J1719" s="13"/>
      <c r="K1719" s="13"/>
      <c r="L1719" s="13"/>
      <c r="M1719" s="15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8"/>
      <c r="J1720" s="13"/>
      <c r="K1720" s="13"/>
      <c r="L1720" s="13"/>
      <c r="M1720" s="15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8"/>
      <c r="J1721" s="13"/>
      <c r="K1721" s="13"/>
      <c r="L1721" s="13"/>
      <c r="M1721" s="15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8"/>
      <c r="J1722" s="13"/>
      <c r="K1722" s="13"/>
      <c r="L1722" s="13"/>
      <c r="M1722" s="15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8"/>
      <c r="J1723" s="13"/>
      <c r="K1723" s="13"/>
      <c r="L1723" s="13"/>
      <c r="M1723" s="15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8"/>
      <c r="J1724" s="13"/>
      <c r="K1724" s="13"/>
      <c r="L1724" s="13"/>
      <c r="M1724" s="15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8"/>
      <c r="J1725" s="13"/>
      <c r="K1725" s="13"/>
      <c r="L1725" s="13"/>
      <c r="M1725" s="15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8"/>
      <c r="J1726" s="13"/>
      <c r="K1726" s="13"/>
      <c r="L1726" s="13"/>
      <c r="M1726" s="15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8"/>
      <c r="J1727" s="13"/>
      <c r="K1727" s="13"/>
      <c r="L1727" s="13"/>
      <c r="M1727" s="15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8"/>
      <c r="J1728" s="13"/>
      <c r="K1728" s="13"/>
      <c r="L1728" s="13"/>
      <c r="M1728" s="15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8"/>
      <c r="J1729" s="13"/>
      <c r="K1729" s="13"/>
      <c r="L1729" s="13"/>
      <c r="M1729" s="15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8"/>
      <c r="J1730" s="13"/>
      <c r="K1730" s="13"/>
      <c r="L1730" s="13"/>
      <c r="M1730" s="15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8"/>
      <c r="J1731" s="13"/>
      <c r="K1731" s="13"/>
      <c r="L1731" s="13"/>
      <c r="M1731" s="15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8"/>
      <c r="J1732" s="13"/>
      <c r="K1732" s="13"/>
      <c r="L1732" s="13"/>
      <c r="M1732" s="15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8"/>
      <c r="J1733" s="13"/>
      <c r="K1733" s="13"/>
      <c r="L1733" s="13"/>
      <c r="M1733" s="15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8"/>
      <c r="J1734" s="13"/>
      <c r="K1734" s="13"/>
      <c r="L1734" s="13"/>
      <c r="M1734" s="15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8"/>
      <c r="J1735" s="13"/>
      <c r="K1735" s="13"/>
      <c r="L1735" s="13"/>
      <c r="M1735" s="15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8"/>
      <c r="J1736" s="13"/>
      <c r="K1736" s="13"/>
      <c r="L1736" s="13"/>
      <c r="M1736" s="15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8"/>
      <c r="J1737" s="13"/>
      <c r="K1737" s="13"/>
      <c r="L1737" s="13"/>
      <c r="M1737" s="15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8"/>
      <c r="J1738" s="13"/>
      <c r="K1738" s="13"/>
      <c r="L1738" s="13"/>
      <c r="M1738" s="15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8"/>
      <c r="J1739" s="13"/>
      <c r="K1739" s="13"/>
      <c r="L1739" s="13"/>
      <c r="M1739" s="15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8"/>
      <c r="J1740" s="13"/>
      <c r="K1740" s="13"/>
      <c r="L1740" s="13"/>
      <c r="M1740" s="15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8"/>
      <c r="J1741" s="13"/>
      <c r="K1741" s="13"/>
      <c r="L1741" s="13"/>
      <c r="M1741" s="15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8"/>
      <c r="J1742" s="13"/>
      <c r="K1742" s="13"/>
      <c r="L1742" s="13"/>
      <c r="M1742" s="15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8"/>
      <c r="J1743" s="13"/>
      <c r="K1743" s="13"/>
      <c r="L1743" s="13"/>
      <c r="M1743" s="15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8"/>
      <c r="J1744" s="13"/>
      <c r="K1744" s="13"/>
      <c r="L1744" s="13"/>
      <c r="M1744" s="15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8"/>
      <c r="J1745" s="13"/>
      <c r="K1745" s="13"/>
      <c r="L1745" s="13"/>
      <c r="M1745" s="15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8"/>
      <c r="J1746" s="13"/>
      <c r="K1746" s="13"/>
      <c r="L1746" s="13"/>
      <c r="M1746" s="15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8"/>
      <c r="J1747" s="13"/>
      <c r="K1747" s="13"/>
      <c r="L1747" s="13"/>
      <c r="M1747" s="15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8"/>
      <c r="J1748" s="13"/>
      <c r="K1748" s="13"/>
      <c r="L1748" s="13"/>
      <c r="M1748" s="15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8"/>
      <c r="J1749" s="13"/>
      <c r="K1749" s="13"/>
      <c r="L1749" s="13"/>
      <c r="M1749" s="15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8"/>
      <c r="J1750" s="13"/>
      <c r="K1750" s="13"/>
      <c r="L1750" s="13"/>
      <c r="M1750" s="15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8"/>
      <c r="J1751" s="13"/>
      <c r="K1751" s="13"/>
      <c r="L1751" s="13"/>
      <c r="M1751" s="15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8"/>
      <c r="J1752" s="13"/>
      <c r="K1752" s="13"/>
      <c r="L1752" s="13"/>
      <c r="M1752" s="15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8"/>
      <c r="J1753" s="13"/>
      <c r="K1753" s="13"/>
      <c r="L1753" s="13"/>
      <c r="M1753" s="15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8"/>
      <c r="J1754" s="13"/>
      <c r="K1754" s="13"/>
      <c r="L1754" s="13"/>
      <c r="M1754" s="15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8"/>
      <c r="J1755" s="13"/>
      <c r="K1755" s="13"/>
      <c r="L1755" s="13"/>
      <c r="M1755" s="15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8"/>
      <c r="J1756" s="13"/>
      <c r="K1756" s="13"/>
      <c r="L1756" s="13"/>
      <c r="M1756" s="15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8"/>
      <c r="J1757" s="13"/>
      <c r="K1757" s="13"/>
      <c r="L1757" s="13"/>
      <c r="M1757" s="15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8"/>
      <c r="J1758" s="13"/>
      <c r="K1758" s="13"/>
      <c r="L1758" s="13"/>
      <c r="M1758" s="15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8"/>
      <c r="J1759" s="13"/>
      <c r="K1759" s="13"/>
      <c r="L1759" s="13"/>
      <c r="M1759" s="15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8"/>
      <c r="J1760" s="13"/>
      <c r="K1760" s="13"/>
      <c r="L1760" s="13"/>
      <c r="M1760" s="15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8"/>
      <c r="J1761" s="13"/>
      <c r="K1761" s="13"/>
      <c r="L1761" s="13"/>
      <c r="M1761" s="15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8"/>
      <c r="J1762" s="13"/>
      <c r="K1762" s="13"/>
      <c r="L1762" s="13"/>
      <c r="M1762" s="15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8"/>
      <c r="J1763" s="13"/>
      <c r="K1763" s="13"/>
      <c r="L1763" s="13"/>
      <c r="M1763" s="15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8"/>
      <c r="J1764" s="13"/>
      <c r="K1764" s="13"/>
      <c r="L1764" s="13"/>
      <c r="M1764" s="15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8"/>
      <c r="J1765" s="13"/>
      <c r="K1765" s="13"/>
      <c r="L1765" s="13"/>
      <c r="M1765" s="15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8"/>
      <c r="J1766" s="13"/>
      <c r="K1766" s="13"/>
      <c r="L1766" s="13"/>
      <c r="M1766" s="15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8"/>
      <c r="J1767" s="13"/>
      <c r="K1767" s="13"/>
      <c r="L1767" s="13"/>
      <c r="M1767" s="15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8"/>
      <c r="J1768" s="13"/>
      <c r="K1768" s="13"/>
      <c r="L1768" s="13"/>
      <c r="M1768" s="15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8"/>
      <c r="J1769" s="13"/>
      <c r="K1769" s="13"/>
      <c r="L1769" s="13"/>
      <c r="M1769" s="15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8"/>
      <c r="J1770" s="13"/>
      <c r="K1770" s="13"/>
      <c r="L1770" s="13"/>
      <c r="M1770" s="15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8"/>
      <c r="J1771" s="13"/>
      <c r="K1771" s="13"/>
      <c r="L1771" s="13"/>
      <c r="M1771" s="15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8"/>
      <c r="J1772" s="13"/>
      <c r="K1772" s="13"/>
      <c r="L1772" s="13"/>
      <c r="M1772" s="15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8"/>
      <c r="J1773" s="13"/>
      <c r="K1773" s="13"/>
      <c r="L1773" s="13"/>
      <c r="M1773" s="15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8"/>
      <c r="J1774" s="13"/>
      <c r="K1774" s="13"/>
      <c r="L1774" s="13"/>
      <c r="M1774" s="15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8"/>
      <c r="J1775" s="13"/>
      <c r="K1775" s="13"/>
      <c r="L1775" s="13"/>
      <c r="M1775" s="15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8"/>
      <c r="J1776" s="13"/>
      <c r="K1776" s="13"/>
      <c r="L1776" s="13"/>
      <c r="M1776" s="15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8"/>
      <c r="J1777" s="13"/>
      <c r="K1777" s="13"/>
      <c r="L1777" s="13"/>
      <c r="M1777" s="15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8"/>
      <c r="J1778" s="13"/>
      <c r="K1778" s="13"/>
      <c r="L1778" s="13"/>
      <c r="M1778" s="15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8"/>
      <c r="J1779" s="13"/>
      <c r="K1779" s="13"/>
      <c r="L1779" s="13"/>
      <c r="M1779" s="15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8"/>
      <c r="J1780" s="13"/>
      <c r="K1780" s="13"/>
      <c r="L1780" s="13"/>
      <c r="M1780" s="15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8"/>
      <c r="J1781" s="13"/>
      <c r="K1781" s="13"/>
      <c r="L1781" s="13"/>
      <c r="M1781" s="15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8"/>
      <c r="J1782" s="13"/>
      <c r="K1782" s="13"/>
      <c r="L1782" s="13"/>
      <c r="M1782" s="15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8"/>
      <c r="J1783" s="13"/>
      <c r="K1783" s="13"/>
      <c r="L1783" s="13"/>
      <c r="M1783" s="15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8"/>
      <c r="J1784" s="13"/>
      <c r="K1784" s="13"/>
      <c r="L1784" s="13"/>
      <c r="M1784" s="15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8"/>
      <c r="J1785" s="13"/>
      <c r="K1785" s="13"/>
      <c r="L1785" s="13"/>
      <c r="M1785" s="15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8"/>
      <c r="J1786" s="13"/>
      <c r="K1786" s="13"/>
      <c r="L1786" s="13"/>
      <c r="M1786" s="15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8"/>
      <c r="J1787" s="13"/>
      <c r="K1787" s="13"/>
      <c r="L1787" s="13"/>
      <c r="M1787" s="15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8"/>
      <c r="J1788" s="13"/>
      <c r="K1788" s="13"/>
      <c r="L1788" s="13"/>
      <c r="M1788" s="15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8"/>
      <c r="J1789" s="13"/>
      <c r="K1789" s="13"/>
      <c r="L1789" s="13"/>
      <c r="M1789" s="15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8"/>
      <c r="J1790" s="13"/>
      <c r="K1790" s="13"/>
      <c r="L1790" s="13"/>
      <c r="M1790" s="15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8"/>
      <c r="J1791" s="13"/>
      <c r="K1791" s="13"/>
      <c r="L1791" s="13"/>
      <c r="M1791" s="15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8"/>
      <c r="J1792" s="13"/>
      <c r="K1792" s="13"/>
      <c r="L1792" s="13"/>
      <c r="M1792" s="15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8"/>
      <c r="J1793" s="13"/>
      <c r="K1793" s="13"/>
      <c r="L1793" s="13"/>
      <c r="M1793" s="15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8"/>
      <c r="J1794" s="13"/>
      <c r="K1794" s="13"/>
      <c r="L1794" s="13"/>
      <c r="M1794" s="15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8"/>
      <c r="J1795" s="13"/>
      <c r="K1795" s="13"/>
      <c r="L1795" s="13"/>
      <c r="M1795" s="15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8"/>
      <c r="J1796" s="13"/>
      <c r="K1796" s="13"/>
      <c r="L1796" s="13"/>
      <c r="M1796" s="15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8"/>
      <c r="J1797" s="13"/>
      <c r="K1797" s="13"/>
      <c r="L1797" s="13"/>
      <c r="M1797" s="15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8"/>
      <c r="J1798" s="13"/>
      <c r="K1798" s="13"/>
      <c r="L1798" s="13"/>
      <c r="M1798" s="15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8"/>
      <c r="J1799" s="13"/>
      <c r="K1799" s="13"/>
      <c r="L1799" s="13"/>
      <c r="M1799" s="15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8"/>
      <c r="J1800" s="13"/>
      <c r="K1800" s="13"/>
      <c r="L1800" s="13"/>
      <c r="M1800" s="15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8"/>
      <c r="J1801" s="13"/>
      <c r="K1801" s="13"/>
      <c r="L1801" s="13"/>
      <c r="M1801" s="15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8"/>
      <c r="J1802" s="13"/>
      <c r="K1802" s="13"/>
      <c r="L1802" s="13"/>
      <c r="M1802" s="15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8"/>
      <c r="J1803" s="13"/>
      <c r="K1803" s="13"/>
      <c r="L1803" s="13"/>
      <c r="M1803" s="15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8"/>
      <c r="J1804" s="13"/>
      <c r="K1804" s="13"/>
      <c r="L1804" s="13"/>
      <c r="M1804" s="15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8"/>
      <c r="J1805" s="13"/>
      <c r="K1805" s="13"/>
      <c r="L1805" s="13"/>
      <c r="M1805" s="15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8"/>
      <c r="J1806" s="13"/>
      <c r="K1806" s="13"/>
      <c r="L1806" s="13"/>
      <c r="M1806" s="15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8"/>
      <c r="J1807" s="13"/>
      <c r="K1807" s="13"/>
      <c r="L1807" s="13"/>
      <c r="M1807" s="15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8"/>
      <c r="J1808" s="13"/>
      <c r="K1808" s="13"/>
      <c r="L1808" s="13"/>
      <c r="M1808" s="15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8"/>
      <c r="J1809" s="13"/>
      <c r="K1809" s="13"/>
      <c r="L1809" s="13"/>
      <c r="M1809" s="15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8"/>
      <c r="J1810" s="13"/>
      <c r="K1810" s="13"/>
      <c r="L1810" s="13"/>
      <c r="M1810" s="15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8"/>
      <c r="J1811" s="13"/>
      <c r="K1811" s="13"/>
      <c r="L1811" s="13"/>
      <c r="M1811" s="15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8"/>
      <c r="J1812" s="13"/>
      <c r="K1812" s="13"/>
      <c r="L1812" s="13"/>
      <c r="M1812" s="15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8"/>
      <c r="J1813" s="13"/>
      <c r="K1813" s="13"/>
      <c r="L1813" s="13"/>
      <c r="M1813" s="15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8"/>
      <c r="J1814" s="13"/>
      <c r="K1814" s="13"/>
      <c r="L1814" s="13"/>
      <c r="M1814" s="15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8"/>
      <c r="J1815" s="13"/>
      <c r="K1815" s="13"/>
      <c r="L1815" s="13"/>
      <c r="M1815" s="15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8"/>
      <c r="J1816" s="13"/>
      <c r="K1816" s="13"/>
      <c r="L1816" s="13"/>
      <c r="M1816" s="15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8"/>
      <c r="J1817" s="13"/>
      <c r="K1817" s="13"/>
      <c r="L1817" s="13"/>
      <c r="M1817" s="15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8"/>
      <c r="J1818" s="13"/>
      <c r="K1818" s="13"/>
      <c r="L1818" s="13"/>
      <c r="M1818" s="15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8"/>
      <c r="J1819" s="13"/>
      <c r="K1819" s="13"/>
      <c r="L1819" s="13"/>
      <c r="M1819" s="15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8"/>
      <c r="J1820" s="13"/>
      <c r="K1820" s="13"/>
      <c r="L1820" s="13"/>
      <c r="M1820" s="15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8"/>
      <c r="J1821" s="13"/>
      <c r="K1821" s="13"/>
      <c r="L1821" s="13"/>
      <c r="M1821" s="15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8"/>
      <c r="J1822" s="13"/>
      <c r="K1822" s="13"/>
      <c r="L1822" s="13"/>
      <c r="M1822" s="15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8"/>
      <c r="J1823" s="13"/>
      <c r="K1823" s="13"/>
      <c r="L1823" s="13"/>
      <c r="M1823" s="15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8"/>
      <c r="J1824" s="13"/>
      <c r="K1824" s="13"/>
      <c r="L1824" s="13"/>
      <c r="M1824" s="15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8"/>
      <c r="J1825" s="13"/>
      <c r="K1825" s="13"/>
      <c r="L1825" s="13"/>
      <c r="M1825" s="15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8"/>
      <c r="J1826" s="13"/>
      <c r="K1826" s="13"/>
      <c r="L1826" s="13"/>
      <c r="M1826" s="15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8"/>
      <c r="J1827" s="13"/>
      <c r="K1827" s="13"/>
      <c r="L1827" s="13"/>
      <c r="M1827" s="15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8"/>
      <c r="J1828" s="13"/>
      <c r="K1828" s="13"/>
      <c r="L1828" s="13"/>
      <c r="M1828" s="15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8"/>
      <c r="J1829" s="13"/>
      <c r="K1829" s="13"/>
      <c r="L1829" s="13"/>
      <c r="M1829" s="15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8"/>
      <c r="J1830" s="13"/>
      <c r="K1830" s="13"/>
      <c r="L1830" s="13"/>
      <c r="M1830" s="15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8"/>
      <c r="J1831" s="13"/>
      <c r="K1831" s="13"/>
      <c r="L1831" s="13"/>
      <c r="M1831" s="15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8"/>
      <c r="J1832" s="13"/>
      <c r="K1832" s="13"/>
      <c r="L1832" s="13"/>
      <c r="M1832" s="15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8"/>
      <c r="J1833" s="13"/>
      <c r="K1833" s="13"/>
      <c r="L1833" s="13"/>
      <c r="M1833" s="15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8"/>
      <c r="J1834" s="13"/>
      <c r="K1834" s="13"/>
      <c r="L1834" s="13"/>
      <c r="M1834" s="15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8"/>
      <c r="J1835" s="13"/>
      <c r="K1835" s="13"/>
      <c r="L1835" s="13"/>
      <c r="M1835" s="15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8"/>
      <c r="J1836" s="13"/>
      <c r="K1836" s="13"/>
      <c r="L1836" s="13"/>
      <c r="M1836" s="15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8"/>
      <c r="J1837" s="13"/>
      <c r="K1837" s="13"/>
      <c r="L1837" s="13"/>
      <c r="M1837" s="15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8"/>
      <c r="J1838" s="13"/>
      <c r="K1838" s="13"/>
      <c r="L1838" s="13"/>
      <c r="M1838" s="15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8"/>
      <c r="J1839" s="13"/>
      <c r="K1839" s="13"/>
      <c r="L1839" s="13"/>
      <c r="M1839" s="15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8"/>
      <c r="J1840" s="13"/>
      <c r="K1840" s="13"/>
      <c r="L1840" s="13"/>
      <c r="M1840" s="15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8"/>
      <c r="J1841" s="13"/>
      <c r="K1841" s="13"/>
      <c r="L1841" s="13"/>
      <c r="M1841" s="15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8"/>
      <c r="J1842" s="13"/>
      <c r="K1842" s="13"/>
      <c r="L1842" s="13"/>
      <c r="M1842" s="15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8"/>
      <c r="J1843" s="13"/>
      <c r="K1843" s="13"/>
      <c r="L1843" s="13"/>
      <c r="M1843" s="15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8"/>
      <c r="J1844" s="13"/>
      <c r="K1844" s="13"/>
      <c r="L1844" s="13"/>
      <c r="M1844" s="15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8"/>
      <c r="J1845" s="13"/>
      <c r="K1845" s="13"/>
      <c r="L1845" s="13"/>
      <c r="M1845" s="15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8"/>
      <c r="J1846" s="13"/>
      <c r="K1846" s="13"/>
      <c r="L1846" s="13"/>
      <c r="M1846" s="15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8"/>
      <c r="J1847" s="13"/>
      <c r="K1847" s="13"/>
      <c r="L1847" s="13"/>
      <c r="M1847" s="15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8"/>
      <c r="J1848" s="13"/>
      <c r="K1848" s="13"/>
      <c r="L1848" s="13"/>
      <c r="M1848" s="15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8"/>
      <c r="J1849" s="13"/>
      <c r="K1849" s="13"/>
      <c r="L1849" s="13"/>
      <c r="M1849" s="15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8"/>
      <c r="J1850" s="13"/>
      <c r="K1850" s="13"/>
      <c r="L1850" s="13"/>
      <c r="M1850" s="15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8"/>
      <c r="J1851" s="13"/>
      <c r="K1851" s="13"/>
      <c r="L1851" s="13"/>
      <c r="M1851" s="15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8"/>
      <c r="J1852" s="13"/>
      <c r="K1852" s="13"/>
      <c r="L1852" s="13"/>
      <c r="M1852" s="15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8"/>
      <c r="J1853" s="13"/>
      <c r="K1853" s="13"/>
      <c r="L1853" s="13"/>
      <c r="M1853" s="15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8"/>
      <c r="J1854" s="13"/>
      <c r="K1854" s="13"/>
      <c r="L1854" s="13"/>
      <c r="M1854" s="15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8"/>
      <c r="J1855" s="13"/>
      <c r="K1855" s="13"/>
      <c r="L1855" s="13"/>
      <c r="M1855" s="15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8"/>
      <c r="J1856" s="13"/>
      <c r="K1856" s="13"/>
      <c r="L1856" s="13"/>
      <c r="M1856" s="15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8"/>
      <c r="J1857" s="13"/>
      <c r="K1857" s="13"/>
      <c r="L1857" s="13"/>
      <c r="M1857" s="15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8"/>
      <c r="J1858" s="13"/>
      <c r="K1858" s="13"/>
      <c r="L1858" s="13"/>
      <c r="M1858" s="15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8"/>
      <c r="J1859" s="13"/>
      <c r="K1859" s="13"/>
      <c r="L1859" s="13"/>
      <c r="M1859" s="15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8"/>
      <c r="J1860" s="13"/>
      <c r="K1860" s="13"/>
      <c r="L1860" s="13"/>
      <c r="M1860" s="15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8"/>
      <c r="J1861" s="13"/>
      <c r="K1861" s="13"/>
      <c r="L1861" s="13"/>
      <c r="M1861" s="15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8"/>
      <c r="J1862" s="13"/>
      <c r="K1862" s="13"/>
      <c r="L1862" s="13"/>
      <c r="M1862" s="15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8"/>
      <c r="J1863" s="13"/>
      <c r="K1863" s="13"/>
      <c r="L1863" s="13"/>
      <c r="M1863" s="15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8"/>
      <c r="J1864" s="13"/>
      <c r="K1864" s="13"/>
      <c r="L1864" s="13"/>
      <c r="M1864" s="15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8"/>
      <c r="J1865" s="13"/>
      <c r="K1865" s="13"/>
      <c r="L1865" s="13"/>
      <c r="M1865" s="15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8"/>
      <c r="J1866" s="13"/>
      <c r="K1866" s="13"/>
      <c r="L1866" s="13"/>
      <c r="M1866" s="15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8"/>
      <c r="J1867" s="13"/>
      <c r="K1867" s="13"/>
      <c r="L1867" s="13"/>
      <c r="M1867" s="15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8"/>
      <c r="J1868" s="13"/>
      <c r="K1868" s="13"/>
      <c r="L1868" s="13"/>
      <c r="M1868" s="15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8"/>
      <c r="J1869" s="13"/>
      <c r="K1869" s="13"/>
      <c r="L1869" s="13"/>
      <c r="M1869" s="15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8"/>
      <c r="J1870" s="13"/>
      <c r="K1870" s="13"/>
      <c r="L1870" s="13"/>
      <c r="M1870" s="15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8"/>
      <c r="J1871" s="13"/>
      <c r="K1871" s="13"/>
      <c r="L1871" s="13"/>
      <c r="M1871" s="15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8"/>
      <c r="J1872" s="13"/>
      <c r="K1872" s="13"/>
      <c r="L1872" s="13"/>
      <c r="M1872" s="15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8"/>
      <c r="J1873" s="13"/>
      <c r="K1873" s="13"/>
      <c r="L1873" s="13"/>
      <c r="M1873" s="15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8"/>
      <c r="J1874" s="13"/>
      <c r="K1874" s="13"/>
      <c r="L1874" s="13"/>
      <c r="M1874" s="15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8"/>
      <c r="J1875" s="13"/>
      <c r="K1875" s="13"/>
      <c r="L1875" s="13"/>
      <c r="M1875" s="15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8"/>
      <c r="J1876" s="13"/>
      <c r="K1876" s="13"/>
      <c r="L1876" s="13"/>
      <c r="M1876" s="15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8"/>
      <c r="J1877" s="13"/>
      <c r="K1877" s="13"/>
      <c r="L1877" s="13"/>
      <c r="M1877" s="15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8"/>
      <c r="J1878" s="13"/>
      <c r="K1878" s="13"/>
      <c r="L1878" s="13"/>
      <c r="M1878" s="15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8"/>
      <c r="J1879" s="13"/>
      <c r="K1879" s="13"/>
      <c r="L1879" s="13"/>
      <c r="M1879" s="15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8"/>
      <c r="J1880" s="13"/>
      <c r="K1880" s="13"/>
      <c r="L1880" s="13"/>
      <c r="M1880" s="15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8"/>
      <c r="J1881" s="13"/>
      <c r="K1881" s="13"/>
      <c r="L1881" s="13"/>
      <c r="M1881" s="15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8"/>
      <c r="J1882" s="13"/>
      <c r="K1882" s="13"/>
      <c r="L1882" s="13"/>
      <c r="M1882" s="15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8"/>
      <c r="J1883" s="13"/>
      <c r="K1883" s="13"/>
      <c r="L1883" s="13"/>
      <c r="M1883" s="15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8"/>
      <c r="J1884" s="13"/>
      <c r="K1884" s="13"/>
      <c r="L1884" s="13"/>
      <c r="M1884" s="15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8"/>
      <c r="J1885" s="13"/>
      <c r="K1885" s="13"/>
      <c r="L1885" s="13"/>
      <c r="M1885" s="15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8"/>
      <c r="J1886" s="13"/>
      <c r="K1886" s="13"/>
      <c r="L1886" s="13"/>
      <c r="M1886" s="15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8"/>
      <c r="J1887" s="13"/>
      <c r="K1887" s="13"/>
      <c r="L1887" s="13"/>
      <c r="M1887" s="15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8"/>
      <c r="J1888" s="13"/>
      <c r="K1888" s="13"/>
      <c r="L1888" s="13"/>
      <c r="M1888" s="15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8"/>
      <c r="J1889" s="13"/>
      <c r="K1889" s="13"/>
      <c r="L1889" s="13"/>
      <c r="M1889" s="15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8"/>
      <c r="J1890" s="13"/>
      <c r="K1890" s="13"/>
      <c r="L1890" s="13"/>
      <c r="M1890" s="15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8"/>
      <c r="J1891" s="13"/>
      <c r="K1891" s="13"/>
      <c r="L1891" s="13"/>
      <c r="M1891" s="15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8"/>
      <c r="J1892" s="13"/>
      <c r="K1892" s="13"/>
      <c r="L1892" s="13"/>
      <c r="M1892" s="15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8"/>
      <c r="J1893" s="13"/>
      <c r="K1893" s="13"/>
      <c r="L1893" s="13"/>
      <c r="M1893" s="15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8"/>
      <c r="J1894" s="13"/>
      <c r="K1894" s="13"/>
      <c r="L1894" s="13"/>
      <c r="M1894" s="15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8"/>
      <c r="J1895" s="13"/>
      <c r="K1895" s="13"/>
      <c r="L1895" s="13"/>
      <c r="M1895" s="15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8"/>
      <c r="J1896" s="13"/>
      <c r="K1896" s="13"/>
      <c r="L1896" s="13"/>
      <c r="M1896" s="15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8"/>
      <c r="J1897" s="13"/>
      <c r="K1897" s="13"/>
      <c r="L1897" s="13"/>
      <c r="M1897" s="15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8"/>
      <c r="J1898" s="13"/>
      <c r="K1898" s="13"/>
      <c r="L1898" s="13"/>
      <c r="M1898" s="15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8"/>
      <c r="J1899" s="13"/>
      <c r="K1899" s="13"/>
      <c r="L1899" s="13"/>
      <c r="M1899" s="15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8"/>
      <c r="J1900" s="13"/>
      <c r="K1900" s="13"/>
      <c r="L1900" s="13"/>
      <c r="M1900" s="15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8"/>
      <c r="J1901" s="13"/>
      <c r="K1901" s="13"/>
      <c r="L1901" s="13"/>
      <c r="M1901" s="15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8"/>
      <c r="J1902" s="13"/>
      <c r="K1902" s="13"/>
      <c r="L1902" s="13"/>
      <c r="M1902" s="15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8"/>
      <c r="J1903" s="13"/>
      <c r="K1903" s="13"/>
      <c r="L1903" s="13"/>
      <c r="M1903" s="15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8"/>
      <c r="J1904" s="13"/>
      <c r="K1904" s="13"/>
      <c r="L1904" s="13"/>
      <c r="M1904" s="15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8"/>
      <c r="J1905" s="13"/>
      <c r="K1905" s="13"/>
      <c r="L1905" s="13"/>
      <c r="M1905" s="15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8"/>
      <c r="J1906" s="13"/>
      <c r="K1906" s="13"/>
      <c r="L1906" s="13"/>
      <c r="M1906" s="15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8"/>
      <c r="J1907" s="13"/>
      <c r="K1907" s="13"/>
      <c r="L1907" s="13"/>
      <c r="M1907" s="15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8"/>
      <c r="J1908" s="13"/>
      <c r="K1908" s="13"/>
      <c r="L1908" s="13"/>
      <c r="M1908" s="15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8"/>
      <c r="J1909" s="13"/>
      <c r="K1909" s="13"/>
      <c r="L1909" s="13"/>
      <c r="M1909" s="15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8"/>
      <c r="J1910" s="13"/>
      <c r="K1910" s="13"/>
      <c r="L1910" s="13"/>
      <c r="M1910" s="15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8"/>
      <c r="J1911" s="13"/>
      <c r="K1911" s="13"/>
      <c r="L1911" s="13"/>
      <c r="M1911" s="15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8"/>
      <c r="J1912" s="13"/>
      <c r="K1912" s="13"/>
      <c r="L1912" s="13"/>
      <c r="M1912" s="15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8"/>
      <c r="J1913" s="13"/>
      <c r="K1913" s="13"/>
      <c r="L1913" s="13"/>
      <c r="M1913" s="15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8"/>
      <c r="J1914" s="13"/>
      <c r="K1914" s="13"/>
      <c r="L1914" s="13"/>
      <c r="M1914" s="15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8"/>
      <c r="J1915" s="13"/>
      <c r="K1915" s="13"/>
      <c r="L1915" s="13"/>
      <c r="M1915" s="15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8"/>
      <c r="J1916" s="13"/>
      <c r="K1916" s="13"/>
      <c r="L1916" s="13"/>
      <c r="M1916" s="15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8"/>
      <c r="J1917" s="13"/>
      <c r="K1917" s="13"/>
      <c r="L1917" s="13"/>
      <c r="M1917" s="15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8"/>
      <c r="J1918" s="13"/>
      <c r="K1918" s="13"/>
      <c r="L1918" s="13"/>
      <c r="M1918" s="15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8"/>
      <c r="J1919" s="13"/>
      <c r="K1919" s="13"/>
      <c r="L1919" s="13"/>
      <c r="M1919" s="15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8"/>
      <c r="J1920" s="13"/>
      <c r="K1920" s="13"/>
      <c r="L1920" s="13"/>
      <c r="M1920" s="15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8"/>
      <c r="J1921" s="13"/>
      <c r="K1921" s="13"/>
      <c r="L1921" s="13"/>
      <c r="M1921" s="15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8"/>
      <c r="J1922" s="13"/>
      <c r="K1922" s="13"/>
      <c r="L1922" s="13"/>
      <c r="M1922" s="15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8"/>
      <c r="J1923" s="13"/>
      <c r="K1923" s="13"/>
      <c r="L1923" s="13"/>
      <c r="M1923" s="15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8"/>
      <c r="J1924" s="13"/>
      <c r="K1924" s="13"/>
      <c r="L1924" s="13"/>
      <c r="M1924" s="15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8"/>
      <c r="J1925" s="13"/>
      <c r="K1925" s="13"/>
      <c r="L1925" s="13"/>
      <c r="M1925" s="15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8"/>
      <c r="J1926" s="13"/>
      <c r="K1926" s="13"/>
      <c r="L1926" s="13"/>
      <c r="M1926" s="15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8"/>
      <c r="J1927" s="13"/>
      <c r="K1927" s="13"/>
      <c r="L1927" s="13"/>
      <c r="M1927" s="15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8"/>
      <c r="J1928" s="13"/>
      <c r="K1928" s="13"/>
      <c r="L1928" s="13"/>
      <c r="M1928" s="15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8"/>
      <c r="J1929" s="13"/>
      <c r="K1929" s="13"/>
      <c r="L1929" s="13"/>
      <c r="M1929" s="15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8"/>
      <c r="J1930" s="13"/>
      <c r="K1930" s="13"/>
      <c r="L1930" s="13"/>
      <c r="M1930" s="15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8"/>
      <c r="J1931" s="13"/>
      <c r="K1931" s="13"/>
      <c r="L1931" s="13"/>
      <c r="M1931" s="15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8"/>
      <c r="J1932" s="13"/>
      <c r="K1932" s="13"/>
      <c r="L1932" s="13"/>
      <c r="M1932" s="15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8"/>
      <c r="J1933" s="13"/>
      <c r="K1933" s="13"/>
      <c r="L1933" s="13"/>
      <c r="M1933" s="15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8"/>
      <c r="J1934" s="13"/>
      <c r="K1934" s="13"/>
      <c r="L1934" s="13"/>
      <c r="M1934" s="15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8"/>
      <c r="J1935" s="13"/>
      <c r="K1935" s="13"/>
      <c r="L1935" s="13"/>
      <c r="M1935" s="15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8"/>
      <c r="J1936" s="13"/>
      <c r="K1936" s="13"/>
      <c r="L1936" s="13"/>
      <c r="M1936" s="15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8"/>
      <c r="J1937" s="13"/>
      <c r="K1937" s="13"/>
      <c r="L1937" s="13"/>
      <c r="M1937" s="15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8"/>
      <c r="J1938" s="13"/>
      <c r="K1938" s="13"/>
      <c r="L1938" s="13"/>
      <c r="M1938" s="15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8"/>
      <c r="J1939" s="13"/>
      <c r="K1939" s="13"/>
      <c r="L1939" s="13"/>
      <c r="M1939" s="15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8"/>
      <c r="J1940" s="13"/>
      <c r="K1940" s="13"/>
      <c r="L1940" s="13"/>
      <c r="M1940" s="15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8"/>
      <c r="J1941" s="13"/>
      <c r="K1941" s="13"/>
      <c r="L1941" s="13"/>
      <c r="M1941" s="15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8"/>
      <c r="J1942" s="13"/>
      <c r="K1942" s="13"/>
      <c r="L1942" s="13"/>
      <c r="M1942" s="15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8"/>
      <c r="J1943" s="13"/>
      <c r="K1943" s="13"/>
      <c r="L1943" s="13"/>
      <c r="M1943" s="15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8"/>
      <c r="J1944" s="13"/>
      <c r="K1944" s="13"/>
      <c r="L1944" s="13"/>
      <c r="M1944" s="15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8"/>
      <c r="J1945" s="13"/>
      <c r="K1945" s="13"/>
      <c r="L1945" s="13"/>
      <c r="M1945" s="15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8"/>
      <c r="J1946" s="13"/>
      <c r="K1946" s="13"/>
      <c r="L1946" s="13"/>
      <c r="M1946" s="15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8"/>
      <c r="J1947" s="13"/>
      <c r="K1947" s="13"/>
      <c r="L1947" s="13"/>
      <c r="M1947" s="15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8"/>
      <c r="J1948" s="13"/>
      <c r="K1948" s="13"/>
      <c r="L1948" s="13"/>
      <c r="M1948" s="15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8"/>
      <c r="J1949" s="13"/>
      <c r="K1949" s="13"/>
      <c r="L1949" s="13"/>
      <c r="M1949" s="15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8"/>
      <c r="J1950" s="13"/>
      <c r="K1950" s="13"/>
      <c r="L1950" s="13"/>
      <c r="M1950" s="15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8"/>
      <c r="J1951" s="13"/>
      <c r="K1951" s="13"/>
      <c r="L1951" s="13"/>
      <c r="M1951" s="15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8"/>
      <c r="J1952" s="13"/>
      <c r="K1952" s="13"/>
      <c r="L1952" s="13"/>
      <c r="M1952" s="15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8"/>
      <c r="J1953" s="13"/>
      <c r="K1953" s="13"/>
      <c r="L1953" s="13"/>
      <c r="M1953" s="15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8"/>
      <c r="J1954" s="13"/>
      <c r="K1954" s="13"/>
      <c r="L1954" s="13"/>
      <c r="M1954" s="15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8"/>
      <c r="J1955" s="13"/>
      <c r="K1955" s="13"/>
      <c r="L1955" s="13"/>
      <c r="M1955" s="15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8"/>
      <c r="J1956" s="13"/>
      <c r="K1956" s="13"/>
      <c r="L1956" s="13"/>
      <c r="M1956" s="15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8"/>
      <c r="J1957" s="13"/>
      <c r="K1957" s="13"/>
      <c r="L1957" s="13"/>
      <c r="M1957" s="15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8"/>
      <c r="J1958" s="13"/>
      <c r="K1958" s="13"/>
      <c r="L1958" s="13"/>
      <c r="M1958" s="15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8"/>
      <c r="J1959" s="13"/>
      <c r="K1959" s="13"/>
      <c r="L1959" s="13"/>
      <c r="M1959" s="15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8"/>
      <c r="J1960" s="13"/>
      <c r="K1960" s="13"/>
      <c r="L1960" s="13"/>
      <c r="M1960" s="15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8"/>
      <c r="J1961" s="13"/>
      <c r="K1961" s="13"/>
      <c r="L1961" s="13"/>
      <c r="M1961" s="15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8"/>
      <c r="J1962" s="13"/>
      <c r="K1962" s="13"/>
      <c r="L1962" s="13"/>
      <c r="M1962" s="15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8"/>
      <c r="J1963" s="13"/>
      <c r="K1963" s="13"/>
      <c r="L1963" s="13"/>
      <c r="M1963" s="15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8"/>
      <c r="J1964" s="13"/>
      <c r="K1964" s="13"/>
      <c r="L1964" s="13"/>
      <c r="M1964" s="15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8"/>
      <c r="J1965" s="13"/>
      <c r="K1965" s="13"/>
      <c r="L1965" s="13"/>
      <c r="M1965" s="15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8"/>
      <c r="J1966" s="13"/>
      <c r="K1966" s="13"/>
      <c r="L1966" s="13"/>
      <c r="M1966" s="15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8"/>
      <c r="J1967" s="13"/>
      <c r="K1967" s="13"/>
      <c r="L1967" s="13"/>
      <c r="M1967" s="15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8"/>
      <c r="J1968" s="13"/>
      <c r="K1968" s="13"/>
      <c r="L1968" s="13"/>
      <c r="M1968" s="15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8"/>
      <c r="J1969" s="13"/>
      <c r="K1969" s="13"/>
      <c r="L1969" s="13"/>
      <c r="M1969" s="15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8"/>
      <c r="J1970" s="13"/>
      <c r="K1970" s="13"/>
      <c r="L1970" s="13"/>
      <c r="M1970" s="15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8"/>
      <c r="J1971" s="13"/>
      <c r="K1971" s="13"/>
      <c r="L1971" s="13"/>
      <c r="M1971" s="15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8"/>
      <c r="J1972" s="13"/>
      <c r="K1972" s="13"/>
      <c r="L1972" s="13"/>
      <c r="M1972" s="15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8"/>
      <c r="J1973" s="13"/>
      <c r="K1973" s="13"/>
      <c r="L1973" s="13"/>
      <c r="M1973" s="15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8"/>
      <c r="J1974" s="13"/>
      <c r="K1974" s="13"/>
      <c r="L1974" s="13"/>
      <c r="M1974" s="15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8"/>
      <c r="J1975" s="13"/>
      <c r="K1975" s="13"/>
      <c r="L1975" s="13"/>
      <c r="M1975" s="15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8"/>
      <c r="J1976" s="13"/>
      <c r="K1976" s="13"/>
      <c r="L1976" s="13"/>
      <c r="M1976" s="15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8"/>
      <c r="J1977" s="13"/>
      <c r="K1977" s="13"/>
      <c r="L1977" s="13"/>
      <c r="M1977" s="15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8"/>
      <c r="J1978" s="13"/>
      <c r="K1978" s="13"/>
      <c r="L1978" s="13"/>
      <c r="M1978" s="15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8"/>
      <c r="J1979" s="13"/>
      <c r="K1979" s="13"/>
      <c r="L1979" s="13"/>
      <c r="M1979" s="15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8"/>
      <c r="J1980" s="13"/>
      <c r="K1980" s="13"/>
      <c r="L1980" s="13"/>
      <c r="M1980" s="15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8"/>
      <c r="J1981" s="13"/>
      <c r="K1981" s="13"/>
      <c r="L1981" s="13"/>
      <c r="M1981" s="15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8"/>
      <c r="J1982" s="13"/>
      <c r="K1982" s="13"/>
      <c r="L1982" s="13"/>
      <c r="M1982" s="15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8"/>
      <c r="J1983" s="13"/>
      <c r="K1983" s="13"/>
      <c r="L1983" s="13"/>
      <c r="M1983" s="15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8"/>
      <c r="J1984" s="13"/>
      <c r="K1984" s="13"/>
      <c r="L1984" s="13"/>
      <c r="M1984" s="15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8"/>
      <c r="J1985" s="13"/>
      <c r="K1985" s="13"/>
      <c r="L1985" s="13"/>
      <c r="M1985" s="15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8"/>
      <c r="J1986" s="13"/>
      <c r="K1986" s="13"/>
      <c r="L1986" s="13"/>
      <c r="M1986" s="15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8"/>
      <c r="J1987" s="13"/>
      <c r="K1987" s="13"/>
      <c r="L1987" s="13"/>
      <c r="M1987" s="15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8"/>
      <c r="J1988" s="13"/>
      <c r="K1988" s="13"/>
      <c r="L1988" s="13"/>
      <c r="M1988" s="15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8"/>
      <c r="J1989" s="13"/>
      <c r="K1989" s="13"/>
      <c r="L1989" s="13"/>
      <c r="M1989" s="15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8"/>
      <c r="J1990" s="13"/>
      <c r="K1990" s="13"/>
      <c r="L1990" s="13"/>
      <c r="M1990" s="15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8"/>
      <c r="J1991" s="13"/>
      <c r="K1991" s="13"/>
      <c r="L1991" s="13"/>
      <c r="M1991" s="15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8"/>
      <c r="J1992" s="13"/>
      <c r="K1992" s="13"/>
      <c r="L1992" s="13"/>
      <c r="M1992" s="15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8"/>
      <c r="J1993" s="13"/>
      <c r="K1993" s="13"/>
      <c r="L1993" s="13"/>
      <c r="M1993" s="15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8"/>
      <c r="J1994" s="13"/>
      <c r="K1994" s="13"/>
      <c r="L1994" s="13"/>
      <c r="M1994" s="15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8"/>
      <c r="J1995" s="13"/>
      <c r="K1995" s="13"/>
      <c r="L1995" s="13"/>
      <c r="M1995" s="15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8"/>
      <c r="J1996" s="13"/>
      <c r="K1996" s="13"/>
      <c r="L1996" s="13"/>
      <c r="M1996" s="15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8"/>
      <c r="J1997" s="13"/>
      <c r="K1997" s="13"/>
      <c r="L1997" s="13"/>
      <c r="M1997" s="15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8"/>
      <c r="J1998" s="13"/>
      <c r="K1998" s="13"/>
      <c r="L1998" s="13"/>
      <c r="M1998" s="15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8"/>
      <c r="J1999" s="13"/>
      <c r="K1999" s="13"/>
      <c r="L1999" s="13"/>
      <c r="M1999" s="15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8"/>
      <c r="J2000" s="13"/>
      <c r="K2000" s="13"/>
      <c r="L2000" s="13"/>
      <c r="M2000" s="15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8"/>
      <c r="J2001" s="13"/>
      <c r="K2001" s="13"/>
      <c r="L2001" s="13"/>
      <c r="M2001" s="15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8"/>
      <c r="J2002" s="13"/>
      <c r="K2002" s="13"/>
      <c r="L2002" s="13"/>
      <c r="M2002" s="15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8"/>
      <c r="J2003" s="13"/>
      <c r="K2003" s="13"/>
      <c r="L2003" s="13"/>
      <c r="M2003" s="15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8"/>
      <c r="J2004" s="13"/>
      <c r="K2004" s="13"/>
      <c r="L2004" s="13"/>
      <c r="M2004" s="15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8"/>
      <c r="J2005" s="13"/>
      <c r="K2005" s="13"/>
      <c r="L2005" s="13"/>
      <c r="M2005" s="15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8"/>
      <c r="J2006" s="13"/>
      <c r="K2006" s="13"/>
      <c r="L2006" s="13"/>
      <c r="M2006" s="15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8"/>
      <c r="J2007" s="13"/>
      <c r="K2007" s="13"/>
      <c r="L2007" s="13"/>
      <c r="M2007" s="15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8"/>
      <c r="J2008" s="13"/>
      <c r="K2008" s="13"/>
      <c r="L2008" s="13"/>
      <c r="M2008" s="15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8"/>
      <c r="J2009" s="13"/>
      <c r="K2009" s="13"/>
      <c r="L2009" s="13"/>
      <c r="M2009" s="15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8"/>
      <c r="J2010" s="13"/>
      <c r="K2010" s="13"/>
      <c r="L2010" s="13"/>
      <c r="M2010" s="15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8"/>
      <c r="J2011" s="13"/>
      <c r="K2011" s="13"/>
      <c r="L2011" s="13"/>
      <c r="M2011" s="15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8"/>
      <c r="J2012" s="13"/>
      <c r="K2012" s="13"/>
      <c r="L2012" s="13"/>
      <c r="M2012" s="15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8"/>
      <c r="J2013" s="13"/>
      <c r="K2013" s="13"/>
      <c r="L2013" s="13"/>
      <c r="M2013" s="15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8"/>
      <c r="J2014" s="13"/>
      <c r="K2014" s="13"/>
      <c r="L2014" s="13"/>
      <c r="M2014" s="15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8"/>
      <c r="J2015" s="13"/>
      <c r="K2015" s="13"/>
      <c r="L2015" s="13"/>
      <c r="M2015" s="15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8"/>
      <c r="J2016" s="13"/>
      <c r="K2016" s="13"/>
      <c r="L2016" s="13"/>
      <c r="M2016" s="15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8"/>
      <c r="J2017" s="13"/>
      <c r="K2017" s="13"/>
      <c r="L2017" s="13"/>
      <c r="M2017" s="15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8"/>
      <c r="J2018" s="13"/>
      <c r="K2018" s="13"/>
      <c r="L2018" s="13"/>
      <c r="M2018" s="15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8"/>
      <c r="J2019" s="13"/>
      <c r="K2019" s="13"/>
      <c r="L2019" s="13"/>
      <c r="M2019" s="15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8"/>
      <c r="J2020" s="13"/>
      <c r="K2020" s="13"/>
      <c r="L2020" s="13"/>
      <c r="M2020" s="15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8"/>
      <c r="J2021" s="13"/>
      <c r="K2021" s="13"/>
      <c r="L2021" s="13"/>
      <c r="M2021" s="15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8"/>
      <c r="J2022" s="13"/>
      <c r="K2022" s="13"/>
      <c r="L2022" s="13"/>
      <c r="M2022" s="15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8"/>
      <c r="J2023" s="13"/>
      <c r="K2023" s="13"/>
      <c r="L2023" s="13"/>
      <c r="M2023" s="15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8"/>
      <c r="J2024" s="13"/>
      <c r="K2024" s="13"/>
      <c r="L2024" s="13"/>
      <c r="M2024" s="15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8"/>
      <c r="J2025" s="13"/>
      <c r="K2025" s="13"/>
      <c r="L2025" s="13"/>
      <c r="M2025" s="15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8"/>
      <c r="J2026" s="13"/>
      <c r="K2026" s="13"/>
      <c r="L2026" s="13"/>
      <c r="M2026" s="15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8"/>
      <c r="J2027" s="13"/>
      <c r="K2027" s="13"/>
      <c r="L2027" s="13"/>
      <c r="M2027" s="15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8"/>
      <c r="J2028" s="13"/>
      <c r="K2028" s="13"/>
      <c r="L2028" s="13"/>
      <c r="M2028" s="15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8"/>
      <c r="J2029" s="13"/>
      <c r="K2029" s="13"/>
      <c r="L2029" s="13"/>
      <c r="M2029" s="15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8"/>
      <c r="J2030" s="13"/>
      <c r="K2030" s="13"/>
      <c r="L2030" s="13"/>
      <c r="M2030" s="15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8"/>
      <c r="J2031" s="13"/>
      <c r="K2031" s="13"/>
      <c r="L2031" s="13"/>
      <c r="M2031" s="15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8"/>
      <c r="J2032" s="13"/>
      <c r="K2032" s="13"/>
      <c r="L2032" s="13"/>
      <c r="M2032" s="15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8"/>
      <c r="J2033" s="13"/>
      <c r="K2033" s="13"/>
      <c r="L2033" s="13"/>
      <c r="M2033" s="15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8"/>
      <c r="J2034" s="13"/>
      <c r="K2034" s="13"/>
      <c r="L2034" s="13"/>
      <c r="M2034" s="15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8"/>
      <c r="J2035" s="13"/>
      <c r="K2035" s="13"/>
      <c r="L2035" s="13"/>
      <c r="M2035" s="15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8"/>
      <c r="J2036" s="13"/>
      <c r="K2036" s="13"/>
      <c r="L2036" s="13"/>
      <c r="M2036" s="15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8"/>
      <c r="J2037" s="13"/>
      <c r="K2037" s="13"/>
      <c r="L2037" s="13"/>
      <c r="M2037" s="15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8"/>
      <c r="J2038" s="13"/>
      <c r="K2038" s="13"/>
      <c r="L2038" s="13"/>
      <c r="M2038" s="15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8"/>
      <c r="J2039" s="13"/>
      <c r="K2039" s="13"/>
      <c r="L2039" s="13"/>
      <c r="M2039" s="15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8"/>
      <c r="J2040" s="13"/>
      <c r="K2040" s="13"/>
      <c r="L2040" s="13"/>
      <c r="M2040" s="15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8"/>
      <c r="J2041" s="13"/>
      <c r="K2041" s="13"/>
      <c r="L2041" s="13"/>
      <c r="M2041" s="15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8"/>
      <c r="J2042" s="13"/>
      <c r="K2042" s="13"/>
      <c r="L2042" s="13"/>
      <c r="M2042" s="15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8"/>
      <c r="J2043" s="13"/>
      <c r="K2043" s="13"/>
      <c r="L2043" s="13"/>
      <c r="M2043" s="15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8"/>
      <c r="J2044" s="13"/>
      <c r="K2044" s="13"/>
      <c r="L2044" s="13"/>
      <c r="M2044" s="15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8"/>
      <c r="J2045" s="13"/>
      <c r="K2045" s="13"/>
      <c r="L2045" s="13"/>
      <c r="M2045" s="15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8"/>
      <c r="J2046" s="13"/>
      <c r="K2046" s="13"/>
      <c r="L2046" s="13"/>
      <c r="M2046" s="15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8"/>
      <c r="J2047" s="13"/>
      <c r="K2047" s="13"/>
      <c r="L2047" s="13"/>
      <c r="M2047" s="15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8"/>
      <c r="J2048" s="13"/>
      <c r="K2048" s="13"/>
      <c r="L2048" s="13"/>
      <c r="M2048" s="15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8"/>
      <c r="J2049" s="13"/>
      <c r="K2049" s="13"/>
      <c r="L2049" s="13"/>
      <c r="M2049" s="15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8"/>
      <c r="J2050" s="13"/>
      <c r="K2050" s="13"/>
      <c r="L2050" s="13"/>
      <c r="M2050" s="15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8"/>
      <c r="J2051" s="13"/>
      <c r="K2051" s="13"/>
      <c r="L2051" s="13"/>
      <c r="M2051" s="15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8"/>
      <c r="J2052" s="13"/>
      <c r="K2052" s="13"/>
      <c r="L2052" s="13"/>
      <c r="M2052" s="15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8"/>
      <c r="J2053" s="13"/>
      <c r="K2053" s="13"/>
      <c r="L2053" s="13"/>
      <c r="M2053" s="15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8"/>
      <c r="J2054" s="13"/>
      <c r="K2054" s="13"/>
      <c r="L2054" s="13"/>
      <c r="M2054" s="15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8"/>
      <c r="J2055" s="13"/>
      <c r="K2055" s="13"/>
      <c r="L2055" s="13"/>
      <c r="M2055" s="15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8"/>
      <c r="J2056" s="13"/>
      <c r="K2056" s="13"/>
      <c r="L2056" s="13"/>
      <c r="M2056" s="15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8"/>
      <c r="J2057" s="13"/>
      <c r="K2057" s="13"/>
      <c r="L2057" s="13"/>
      <c r="M2057" s="15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8"/>
      <c r="J2058" s="13"/>
      <c r="K2058" s="13"/>
      <c r="L2058" s="13"/>
      <c r="M2058" s="15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8"/>
      <c r="J2059" s="13"/>
      <c r="K2059" s="13"/>
      <c r="L2059" s="13"/>
      <c r="M2059" s="15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8"/>
      <c r="J2060" s="13"/>
      <c r="K2060" s="13"/>
      <c r="L2060" s="13"/>
      <c r="M2060" s="15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8"/>
      <c r="J2061" s="13"/>
      <c r="K2061" s="13"/>
      <c r="L2061" s="13"/>
      <c r="M2061" s="15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8"/>
      <c r="J2062" s="13"/>
      <c r="K2062" s="13"/>
      <c r="L2062" s="13"/>
      <c r="M2062" s="15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8"/>
      <c r="J2063" s="13"/>
      <c r="K2063" s="13"/>
      <c r="L2063" s="13"/>
      <c r="M2063" s="15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8"/>
      <c r="J2064" s="13"/>
      <c r="K2064" s="13"/>
      <c r="L2064" s="13"/>
      <c r="M2064" s="15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8"/>
      <c r="J2065" s="13"/>
      <c r="K2065" s="13"/>
      <c r="L2065" s="13"/>
      <c r="M2065" s="15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8"/>
      <c r="J2066" s="13"/>
      <c r="K2066" s="13"/>
      <c r="L2066" s="13"/>
      <c r="M2066" s="15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8"/>
      <c r="J2067" s="13"/>
      <c r="K2067" s="13"/>
      <c r="L2067" s="13"/>
      <c r="M2067" s="15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8"/>
      <c r="J2068" s="13"/>
      <c r="K2068" s="13"/>
      <c r="L2068" s="13"/>
      <c r="M2068" s="15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8"/>
      <c r="J2069" s="13"/>
      <c r="K2069" s="13"/>
      <c r="L2069" s="13"/>
      <c r="M2069" s="15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8"/>
      <c r="J2070" s="13"/>
      <c r="K2070" s="13"/>
      <c r="L2070" s="13"/>
      <c r="M2070" s="15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8"/>
      <c r="J2071" s="13"/>
      <c r="K2071" s="13"/>
      <c r="L2071" s="13"/>
      <c r="M2071" s="15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8"/>
      <c r="J2072" s="13"/>
      <c r="K2072" s="13"/>
      <c r="L2072" s="13"/>
      <c r="M2072" s="15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8"/>
      <c r="J2073" s="13"/>
      <c r="K2073" s="13"/>
      <c r="L2073" s="13"/>
      <c r="M2073" s="15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8"/>
      <c r="J2074" s="13"/>
      <c r="K2074" s="13"/>
      <c r="L2074" s="13"/>
      <c r="M2074" s="15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8"/>
      <c r="J2075" s="13"/>
      <c r="K2075" s="13"/>
      <c r="L2075" s="13"/>
      <c r="M2075" s="15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8"/>
      <c r="J2076" s="13"/>
      <c r="K2076" s="13"/>
      <c r="L2076" s="13"/>
      <c r="M2076" s="15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8"/>
      <c r="J2077" s="13"/>
      <c r="K2077" s="13"/>
      <c r="L2077" s="13"/>
      <c r="M2077" s="15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8"/>
      <c r="J2078" s="13"/>
      <c r="K2078" s="13"/>
      <c r="L2078" s="13"/>
      <c r="M2078" s="15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8"/>
      <c r="J2079" s="13"/>
      <c r="K2079" s="13"/>
      <c r="L2079" s="13"/>
      <c r="M2079" s="15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8"/>
      <c r="J2080" s="13"/>
      <c r="K2080" s="13"/>
      <c r="L2080" s="13"/>
      <c r="M2080" s="15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8"/>
      <c r="J2081" s="13"/>
      <c r="K2081" s="13"/>
      <c r="L2081" s="13"/>
      <c r="M2081" s="15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8"/>
      <c r="J2082" s="13"/>
      <c r="K2082" s="13"/>
      <c r="L2082" s="13"/>
      <c r="M2082" s="15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8"/>
      <c r="J2083" s="13"/>
      <c r="K2083" s="13"/>
      <c r="L2083" s="13"/>
      <c r="M2083" s="15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8"/>
      <c r="J2084" s="13"/>
      <c r="K2084" s="13"/>
      <c r="L2084" s="13"/>
      <c r="M2084" s="15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8"/>
      <c r="J2085" s="13"/>
      <c r="K2085" s="13"/>
      <c r="L2085" s="13"/>
      <c r="M2085" s="15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8"/>
      <c r="J2086" s="13"/>
      <c r="K2086" s="13"/>
      <c r="L2086" s="13"/>
      <c r="M2086" s="15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8"/>
      <c r="J2087" s="13"/>
      <c r="K2087" s="13"/>
      <c r="L2087" s="13"/>
      <c r="M2087" s="15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8"/>
      <c r="J2088" s="13"/>
      <c r="K2088" s="13"/>
      <c r="L2088" s="13"/>
      <c r="M2088" s="15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8"/>
      <c r="J2089" s="13"/>
      <c r="K2089" s="13"/>
      <c r="L2089" s="13"/>
      <c r="M2089" s="15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8"/>
      <c r="J2090" s="13"/>
      <c r="K2090" s="13"/>
      <c r="L2090" s="13"/>
      <c r="M2090" s="15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8"/>
      <c r="J2091" s="13"/>
      <c r="K2091" s="13"/>
      <c r="L2091" s="13"/>
      <c r="M2091" s="15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8"/>
      <c r="J2092" s="13"/>
      <c r="K2092" s="13"/>
      <c r="L2092" s="13"/>
      <c r="M2092" s="15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8"/>
      <c r="J2093" s="13"/>
      <c r="K2093" s="13"/>
      <c r="L2093" s="13"/>
      <c r="M2093" s="15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8"/>
      <c r="J2094" s="13"/>
      <c r="K2094" s="13"/>
      <c r="L2094" s="13"/>
      <c r="M2094" s="15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8"/>
      <c r="J2095" s="13"/>
      <c r="K2095" s="13"/>
      <c r="L2095" s="13"/>
      <c r="M2095" s="15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8"/>
      <c r="J2096" s="13"/>
      <c r="K2096" s="13"/>
      <c r="L2096" s="13"/>
      <c r="M2096" s="15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8"/>
      <c r="J2097" s="13"/>
      <c r="K2097" s="13"/>
      <c r="L2097" s="13"/>
      <c r="M2097" s="15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8"/>
      <c r="J2098" s="13"/>
      <c r="K2098" s="13"/>
      <c r="L2098" s="13"/>
      <c r="M2098" s="15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8"/>
      <c r="J2099" s="13"/>
      <c r="K2099" s="13"/>
      <c r="L2099" s="13"/>
      <c r="M2099" s="15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8"/>
      <c r="J2100" s="13"/>
      <c r="K2100" s="13"/>
      <c r="L2100" s="13"/>
      <c r="M2100" s="15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8"/>
      <c r="J2101" s="13"/>
      <c r="K2101" s="13"/>
      <c r="L2101" s="13"/>
      <c r="M2101" s="15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8"/>
      <c r="J2102" s="13"/>
      <c r="K2102" s="13"/>
      <c r="L2102" s="13"/>
      <c r="M2102" s="15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8"/>
      <c r="J2103" s="13"/>
      <c r="K2103" s="13"/>
      <c r="L2103" s="13"/>
      <c r="M2103" s="15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8"/>
      <c r="J2104" s="13"/>
      <c r="K2104" s="13"/>
      <c r="L2104" s="13"/>
      <c r="M2104" s="15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8"/>
      <c r="J2105" s="13"/>
      <c r="K2105" s="13"/>
      <c r="L2105" s="13"/>
      <c r="M2105" s="15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8"/>
      <c r="J2106" s="13"/>
      <c r="K2106" s="13"/>
      <c r="L2106" s="13"/>
      <c r="M2106" s="15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8"/>
      <c r="J2107" s="13"/>
      <c r="K2107" s="13"/>
      <c r="L2107" s="13"/>
      <c r="M2107" s="15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8"/>
      <c r="J2108" s="13"/>
      <c r="K2108" s="13"/>
      <c r="L2108" s="13"/>
      <c r="M2108" s="15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8"/>
      <c r="J2109" s="13"/>
      <c r="K2109" s="13"/>
      <c r="L2109" s="13"/>
      <c r="M2109" s="15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8"/>
      <c r="J2110" s="13"/>
      <c r="K2110" s="13"/>
      <c r="L2110" s="13"/>
      <c r="M2110" s="15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8"/>
      <c r="J2111" s="13"/>
      <c r="K2111" s="13"/>
      <c r="L2111" s="13"/>
      <c r="M2111" s="15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8"/>
      <c r="J2112" s="13"/>
      <c r="K2112" s="13"/>
      <c r="L2112" s="13"/>
      <c r="M2112" s="15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8"/>
      <c r="J2113" s="13"/>
      <c r="K2113" s="13"/>
      <c r="L2113" s="13"/>
      <c r="M2113" s="15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8"/>
      <c r="J2114" s="13"/>
      <c r="K2114" s="13"/>
      <c r="L2114" s="13"/>
      <c r="M2114" s="15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8"/>
      <c r="J2115" s="13"/>
      <c r="K2115" s="13"/>
      <c r="L2115" s="13"/>
      <c r="M2115" s="15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8"/>
      <c r="J2116" s="13"/>
      <c r="K2116" s="13"/>
      <c r="L2116" s="13"/>
      <c r="M2116" s="15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8"/>
      <c r="J2117" s="13"/>
      <c r="K2117" s="13"/>
      <c r="L2117" s="13"/>
      <c r="M2117" s="15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8"/>
      <c r="J2118" s="13"/>
      <c r="K2118" s="13"/>
      <c r="L2118" s="13"/>
      <c r="M2118" s="15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8"/>
      <c r="J2119" s="13"/>
      <c r="K2119" s="13"/>
      <c r="L2119" s="13"/>
      <c r="M2119" s="15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8"/>
      <c r="J2120" s="13"/>
      <c r="K2120" s="13"/>
      <c r="L2120" s="13"/>
      <c r="M2120" s="15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8"/>
      <c r="J2121" s="13"/>
      <c r="K2121" s="13"/>
      <c r="L2121" s="13"/>
      <c r="M2121" s="15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8"/>
      <c r="J2122" s="13"/>
      <c r="K2122" s="13"/>
      <c r="L2122" s="13"/>
      <c r="M2122" s="15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8"/>
      <c r="J2123" s="13"/>
      <c r="K2123" s="13"/>
      <c r="L2123" s="13"/>
      <c r="M2123" s="15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8"/>
      <c r="J2124" s="13"/>
      <c r="K2124" s="13"/>
      <c r="L2124" s="13"/>
      <c r="M2124" s="15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8"/>
      <c r="J2125" s="13"/>
      <c r="K2125" s="13"/>
      <c r="L2125" s="13"/>
      <c r="M2125" s="15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8"/>
      <c r="J2126" s="13"/>
      <c r="K2126" s="13"/>
      <c r="L2126" s="13"/>
      <c r="M2126" s="15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8"/>
      <c r="J2127" s="13"/>
      <c r="K2127" s="13"/>
      <c r="L2127" s="13"/>
      <c r="M2127" s="15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8"/>
      <c r="J2128" s="13"/>
      <c r="K2128" s="13"/>
      <c r="L2128" s="13"/>
      <c r="M2128" s="15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8"/>
      <c r="J2129" s="13"/>
      <c r="K2129" s="13"/>
      <c r="L2129" s="13"/>
      <c r="M2129" s="15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8"/>
      <c r="J2130" s="13"/>
      <c r="K2130" s="13"/>
      <c r="L2130" s="13"/>
      <c r="M2130" s="15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8"/>
      <c r="J2131" s="13"/>
      <c r="K2131" s="13"/>
      <c r="L2131" s="13"/>
      <c r="M2131" s="15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8"/>
      <c r="J2132" s="13"/>
      <c r="K2132" s="13"/>
      <c r="L2132" s="13"/>
      <c r="M2132" s="15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8"/>
      <c r="J2133" s="13"/>
      <c r="K2133" s="13"/>
      <c r="L2133" s="13"/>
      <c r="M2133" s="15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8"/>
      <c r="J2134" s="13"/>
      <c r="K2134" s="13"/>
      <c r="L2134" s="13"/>
      <c r="M2134" s="15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8"/>
      <c r="J2135" s="13"/>
      <c r="K2135" s="13"/>
      <c r="L2135" s="13"/>
      <c r="M2135" s="15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8"/>
      <c r="J2136" s="13"/>
      <c r="K2136" s="13"/>
      <c r="L2136" s="13"/>
      <c r="M2136" s="15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8"/>
      <c r="J2137" s="13"/>
      <c r="K2137" s="13"/>
      <c r="L2137" s="13"/>
      <c r="M2137" s="15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8"/>
      <c r="J2138" s="13"/>
      <c r="K2138" s="13"/>
      <c r="L2138" s="13"/>
      <c r="M2138" s="15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8"/>
      <c r="J2139" s="13"/>
      <c r="K2139" s="13"/>
      <c r="L2139" s="13"/>
      <c r="M2139" s="15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8"/>
      <c r="J2140" s="13"/>
      <c r="K2140" s="13"/>
      <c r="L2140" s="13"/>
      <c r="M2140" s="15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8"/>
      <c r="J2141" s="13"/>
      <c r="K2141" s="13"/>
      <c r="L2141" s="13"/>
      <c r="M2141" s="15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8"/>
      <c r="J2142" s="13"/>
      <c r="K2142" s="13"/>
      <c r="L2142" s="13"/>
      <c r="M2142" s="15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8"/>
      <c r="J2143" s="13"/>
      <c r="K2143" s="13"/>
      <c r="L2143" s="13"/>
      <c r="M2143" s="15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8"/>
      <c r="J2144" s="13"/>
      <c r="K2144" s="13"/>
      <c r="L2144" s="13"/>
      <c r="M2144" s="15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8"/>
      <c r="J2145" s="13"/>
      <c r="K2145" s="13"/>
      <c r="L2145" s="13"/>
      <c r="M2145" s="15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8"/>
      <c r="J2146" s="13"/>
      <c r="K2146" s="13"/>
      <c r="L2146" s="13"/>
      <c r="M2146" s="15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8"/>
      <c r="J2147" s="13"/>
      <c r="K2147" s="13"/>
      <c r="L2147" s="13"/>
      <c r="M2147" s="15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8"/>
      <c r="J2148" s="13"/>
      <c r="K2148" s="13"/>
      <c r="L2148" s="13"/>
      <c r="M2148" s="15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8"/>
      <c r="J2149" s="13"/>
      <c r="K2149" s="13"/>
      <c r="L2149" s="13"/>
      <c r="M2149" s="15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8"/>
      <c r="J2150" s="13"/>
      <c r="K2150" s="13"/>
      <c r="L2150" s="13"/>
      <c r="M2150" s="15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8"/>
      <c r="J2151" s="13"/>
      <c r="K2151" s="13"/>
      <c r="L2151" s="13"/>
      <c r="M2151" s="15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8"/>
      <c r="J2152" s="13"/>
      <c r="K2152" s="13"/>
      <c r="L2152" s="13"/>
      <c r="M2152" s="15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8"/>
      <c r="J2153" s="13"/>
      <c r="K2153" s="13"/>
      <c r="L2153" s="13"/>
      <c r="M2153" s="15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8"/>
      <c r="J2154" s="13"/>
      <c r="K2154" s="13"/>
      <c r="L2154" s="13"/>
      <c r="M2154" s="15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8"/>
      <c r="J2155" s="13"/>
      <c r="K2155" s="13"/>
      <c r="L2155" s="13"/>
      <c r="M2155" s="15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8"/>
      <c r="J2156" s="13"/>
      <c r="K2156" s="13"/>
      <c r="L2156" s="13"/>
      <c r="M2156" s="15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8"/>
      <c r="J2157" s="13"/>
      <c r="K2157" s="13"/>
      <c r="L2157" s="13"/>
      <c r="M2157" s="15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8"/>
      <c r="J2158" s="13"/>
      <c r="K2158" s="13"/>
      <c r="L2158" s="13"/>
      <c r="M2158" s="15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8"/>
      <c r="J2159" s="13"/>
      <c r="K2159" s="13"/>
      <c r="L2159" s="13"/>
      <c r="M2159" s="15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8"/>
      <c r="J2160" s="13"/>
      <c r="K2160" s="13"/>
      <c r="L2160" s="13"/>
      <c r="M2160" s="15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8"/>
      <c r="J2161" s="13"/>
      <c r="K2161" s="13"/>
      <c r="L2161" s="13"/>
      <c r="M2161" s="15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8"/>
      <c r="J2162" s="13"/>
      <c r="K2162" s="13"/>
      <c r="L2162" s="13"/>
      <c r="M2162" s="15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8"/>
      <c r="J2163" s="13"/>
      <c r="K2163" s="13"/>
      <c r="L2163" s="13"/>
      <c r="M2163" s="15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8"/>
      <c r="J2164" s="13"/>
      <c r="K2164" s="13"/>
      <c r="L2164" s="13"/>
      <c r="M2164" s="15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8"/>
      <c r="J2165" s="13"/>
      <c r="K2165" s="13"/>
      <c r="L2165" s="13"/>
      <c r="M2165" s="15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8"/>
      <c r="J2166" s="13"/>
      <c r="K2166" s="13"/>
      <c r="L2166" s="13"/>
      <c r="M2166" s="15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8"/>
      <c r="J2167" s="13"/>
      <c r="K2167" s="13"/>
      <c r="L2167" s="13"/>
      <c r="M2167" s="15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8"/>
      <c r="J2168" s="13"/>
      <c r="K2168" s="13"/>
      <c r="L2168" s="13"/>
      <c r="M2168" s="15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8"/>
      <c r="J2169" s="13"/>
      <c r="K2169" s="13"/>
      <c r="L2169" s="13"/>
      <c r="M2169" s="15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8"/>
      <c r="J2170" s="13"/>
      <c r="K2170" s="13"/>
      <c r="L2170" s="13"/>
      <c r="M2170" s="15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8"/>
      <c r="J2171" s="13"/>
      <c r="K2171" s="13"/>
      <c r="L2171" s="13"/>
      <c r="M2171" s="15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8"/>
      <c r="J2172" s="13"/>
      <c r="K2172" s="13"/>
      <c r="L2172" s="13"/>
      <c r="M2172" s="15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8"/>
      <c r="J2173" s="13"/>
      <c r="K2173" s="13"/>
      <c r="L2173" s="13"/>
      <c r="M2173" s="15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8"/>
      <c r="J2174" s="13"/>
      <c r="K2174" s="13"/>
      <c r="L2174" s="13"/>
      <c r="M2174" s="15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8"/>
      <c r="J2175" s="13"/>
      <c r="K2175" s="13"/>
      <c r="L2175" s="13"/>
      <c r="M2175" s="15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8"/>
      <c r="J2176" s="13"/>
      <c r="K2176" s="13"/>
      <c r="L2176" s="13"/>
      <c r="M2176" s="15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8"/>
      <c r="J2177" s="13"/>
      <c r="K2177" s="13"/>
      <c r="L2177" s="13"/>
      <c r="M2177" s="15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8"/>
      <c r="J2178" s="13"/>
      <c r="K2178" s="13"/>
      <c r="L2178" s="13"/>
      <c r="M2178" s="15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8"/>
      <c r="J2179" s="13"/>
      <c r="K2179" s="13"/>
      <c r="L2179" s="13"/>
      <c r="M2179" s="15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8"/>
      <c r="J2180" s="13"/>
      <c r="K2180" s="13"/>
      <c r="L2180" s="13"/>
      <c r="M2180" s="15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8"/>
      <c r="J2181" s="13"/>
      <c r="K2181" s="13"/>
      <c r="L2181" s="13"/>
      <c r="M2181" s="15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8"/>
      <c r="J2182" s="13"/>
      <c r="K2182" s="13"/>
      <c r="L2182" s="13"/>
      <c r="M2182" s="15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8"/>
      <c r="J2183" s="13"/>
      <c r="K2183" s="13"/>
      <c r="L2183" s="13"/>
      <c r="M2183" s="15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8"/>
      <c r="J2184" s="13"/>
      <c r="K2184" s="13"/>
      <c r="L2184" s="13"/>
      <c r="M2184" s="15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8"/>
      <c r="J2185" s="13"/>
      <c r="K2185" s="13"/>
      <c r="L2185" s="13"/>
      <c r="M2185" s="15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8"/>
      <c r="J2186" s="13"/>
      <c r="K2186" s="13"/>
      <c r="L2186" s="13"/>
      <c r="M2186" s="15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8"/>
      <c r="J2187" s="13"/>
      <c r="K2187" s="13"/>
      <c r="L2187" s="13"/>
      <c r="M2187" s="15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8"/>
      <c r="J2188" s="13"/>
      <c r="K2188" s="13"/>
      <c r="L2188" s="13"/>
      <c r="M2188" s="15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8"/>
      <c r="J2189" s="13"/>
      <c r="K2189" s="13"/>
      <c r="L2189" s="13"/>
      <c r="M2189" s="15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8"/>
      <c r="J2190" s="13"/>
      <c r="K2190" s="13"/>
      <c r="L2190" s="13"/>
      <c r="M2190" s="15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8"/>
      <c r="J2191" s="13"/>
      <c r="K2191" s="13"/>
      <c r="L2191" s="13"/>
      <c r="M2191" s="15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8"/>
      <c r="J2192" s="13"/>
      <c r="K2192" s="13"/>
      <c r="L2192" s="13"/>
      <c r="M2192" s="15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8"/>
      <c r="J2193" s="13"/>
      <c r="K2193" s="13"/>
      <c r="L2193" s="13"/>
      <c r="M2193" s="15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8"/>
      <c r="J2194" s="13"/>
      <c r="K2194" s="13"/>
      <c r="L2194" s="13"/>
      <c r="M2194" s="15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8"/>
      <c r="J2195" s="13"/>
      <c r="K2195" s="13"/>
      <c r="L2195" s="13"/>
      <c r="M2195" s="15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8"/>
      <c r="J2196" s="13"/>
      <c r="K2196" s="13"/>
      <c r="L2196" s="13"/>
      <c r="M2196" s="15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8"/>
      <c r="J2197" s="13"/>
      <c r="K2197" s="13"/>
      <c r="L2197" s="13"/>
      <c r="M2197" s="15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8"/>
      <c r="J2198" s="13"/>
      <c r="K2198" s="13"/>
      <c r="L2198" s="13"/>
      <c r="M2198" s="15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8"/>
      <c r="J2199" s="13"/>
      <c r="K2199" s="13"/>
      <c r="L2199" s="13"/>
      <c r="M2199" s="15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8"/>
      <c r="J2200" s="13"/>
      <c r="K2200" s="13"/>
      <c r="L2200" s="13"/>
      <c r="M2200" s="15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8"/>
      <c r="J2201" s="13"/>
      <c r="K2201" s="13"/>
      <c r="L2201" s="13"/>
      <c r="M2201" s="15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8"/>
      <c r="J2202" s="13"/>
      <c r="K2202" s="13"/>
      <c r="L2202" s="13"/>
      <c r="M2202" s="15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8"/>
      <c r="J2203" s="13"/>
      <c r="K2203" s="13"/>
      <c r="L2203" s="13"/>
      <c r="M2203" s="15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8"/>
      <c r="J2204" s="13"/>
      <c r="K2204" s="13"/>
      <c r="L2204" s="13"/>
      <c r="M2204" s="15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8"/>
      <c r="J2205" s="13"/>
      <c r="K2205" s="13"/>
      <c r="L2205" s="13"/>
      <c r="M2205" s="15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8"/>
      <c r="J2206" s="13"/>
      <c r="K2206" s="13"/>
      <c r="L2206" s="13"/>
      <c r="M2206" s="15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8"/>
      <c r="J2207" s="13"/>
      <c r="K2207" s="13"/>
      <c r="L2207" s="13"/>
      <c r="M2207" s="15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8"/>
      <c r="J2208" s="13"/>
      <c r="K2208" s="13"/>
      <c r="L2208" s="13"/>
      <c r="M2208" s="15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8"/>
      <c r="J2209" s="13"/>
      <c r="K2209" s="13"/>
      <c r="L2209" s="13"/>
      <c r="M2209" s="15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8"/>
      <c r="J2210" s="13"/>
      <c r="K2210" s="13"/>
      <c r="L2210" s="13"/>
      <c r="M2210" s="15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8"/>
      <c r="J2211" s="13"/>
      <c r="K2211" s="13"/>
      <c r="L2211" s="13"/>
      <c r="M2211" s="15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8"/>
      <c r="J2212" s="13"/>
      <c r="K2212" s="13"/>
      <c r="L2212" s="13"/>
      <c r="M2212" s="15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8"/>
      <c r="J2213" s="13"/>
      <c r="K2213" s="13"/>
      <c r="L2213" s="13"/>
      <c r="M2213" s="15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8"/>
      <c r="J2214" s="13"/>
      <c r="K2214" s="13"/>
      <c r="L2214" s="13"/>
      <c r="M2214" s="15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8"/>
      <c r="J2215" s="13"/>
      <c r="K2215" s="13"/>
      <c r="L2215" s="13"/>
      <c r="M2215" s="15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8"/>
      <c r="J2216" s="13"/>
      <c r="K2216" s="13"/>
      <c r="L2216" s="13"/>
      <c r="M2216" s="15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8"/>
      <c r="J2217" s="13"/>
      <c r="K2217" s="13"/>
      <c r="L2217" s="13"/>
      <c r="M2217" s="15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8"/>
      <c r="J2218" s="13"/>
      <c r="K2218" s="13"/>
      <c r="L2218" s="13"/>
      <c r="M2218" s="15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8"/>
      <c r="J2219" s="13"/>
      <c r="K2219" s="13"/>
      <c r="L2219" s="13"/>
      <c r="M2219" s="15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8"/>
      <c r="J2220" s="13"/>
      <c r="K2220" s="13"/>
      <c r="L2220" s="13"/>
      <c r="M2220" s="15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8"/>
      <c r="J2221" s="13"/>
      <c r="K2221" s="13"/>
      <c r="L2221" s="13"/>
      <c r="M2221" s="15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8"/>
      <c r="J2222" s="13"/>
      <c r="K2222" s="13"/>
      <c r="L2222" s="13"/>
      <c r="M2222" s="15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8"/>
      <c r="J2223" s="13"/>
      <c r="K2223" s="13"/>
      <c r="L2223" s="13"/>
      <c r="M2223" s="15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8"/>
      <c r="J2224" s="13"/>
      <c r="K2224" s="13"/>
      <c r="L2224" s="13"/>
      <c r="M2224" s="15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8"/>
      <c r="J2225" s="13"/>
      <c r="K2225" s="13"/>
      <c r="L2225" s="13"/>
      <c r="M2225" s="15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8"/>
      <c r="J2226" s="13"/>
      <c r="K2226" s="13"/>
      <c r="L2226" s="13"/>
      <c r="M2226" s="15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8"/>
      <c r="J2227" s="13"/>
      <c r="K2227" s="13"/>
      <c r="L2227" s="13"/>
      <c r="M2227" s="15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8"/>
      <c r="J2228" s="13"/>
      <c r="K2228" s="13"/>
      <c r="L2228" s="13"/>
      <c r="M2228" s="15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8"/>
      <c r="J2229" s="13"/>
      <c r="K2229" s="13"/>
      <c r="L2229" s="13"/>
      <c r="M2229" s="15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8"/>
      <c r="J2230" s="13"/>
      <c r="K2230" s="13"/>
      <c r="L2230" s="13"/>
      <c r="M2230" s="15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8"/>
      <c r="J2231" s="13"/>
      <c r="K2231" s="13"/>
      <c r="L2231" s="13"/>
      <c r="M2231" s="15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8"/>
      <c r="J2232" s="13"/>
      <c r="K2232" s="13"/>
      <c r="L2232" s="13"/>
      <c r="M2232" s="15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8"/>
      <c r="J2233" s="13"/>
      <c r="K2233" s="13"/>
      <c r="L2233" s="13"/>
      <c r="M2233" s="15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8"/>
      <c r="J2234" s="13"/>
      <c r="K2234" s="13"/>
      <c r="L2234" s="13"/>
      <c r="M2234" s="15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8"/>
      <c r="J2235" s="13"/>
      <c r="K2235" s="13"/>
      <c r="L2235" s="13"/>
      <c r="M2235" s="15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8"/>
      <c r="J2236" s="13"/>
      <c r="K2236" s="13"/>
      <c r="L2236" s="13"/>
      <c r="M2236" s="15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5" width="18.0"/>
  </cols>
  <sheetData>
    <row r="1">
      <c r="A1" s="1"/>
      <c r="B1" s="2" t="s">
        <v>2</v>
      </c>
      <c r="C1" s="2" t="s">
        <v>8</v>
      </c>
      <c r="D1" s="2" t="s">
        <v>11</v>
      </c>
      <c r="E1" s="2" t="s">
        <v>15</v>
      </c>
      <c r="F1" s="2" t="s">
        <v>18</v>
      </c>
      <c r="G1" s="2" t="s">
        <v>21</v>
      </c>
      <c r="H1" s="2" t="s">
        <v>25</v>
      </c>
      <c r="I1" s="2" t="s">
        <v>29</v>
      </c>
      <c r="J1" s="2" t="s">
        <v>33</v>
      </c>
      <c r="K1" s="2" t="s">
        <v>36</v>
      </c>
      <c r="L1" s="2"/>
      <c r="M1" s="2" t="s">
        <v>38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41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1" t="s">
        <v>43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""&amp;$A3))"),"sell my house today")</f>
        <v>sell my house today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""&amp;$A3))"),"looking to sell my house today")</f>
        <v>looking to sell my house today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""&amp;$A3))"),"cash offer for my house today")</f>
        <v>cash offer for my house today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""&amp;$A3))"),"get cash offer for house today")</f>
        <v>get cash offer for house today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""&amp;$A3))"),"free cash offer for house today")</f>
        <v>free cash offer for house today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""&amp;$A3))"),"no obligation cash offer today")</f>
        <v>no obligation cash offer today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""&amp;$A3))"),"sell house in 7 days today")</f>
        <v>sell house in 7 days today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""&amp;$A3))"),"close house sale fast today")</f>
        <v>close house sale fast today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""&amp;$A3))"),"we buy your house for cash today")</f>
        <v>we buy your house for cash today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""&amp;$A3))"),"quick home sale today")</f>
        <v>quick home sale today</v>
      </c>
      <c r="L3" s="13"/>
      <c r="M3" s="13" t="str">
        <f>IFERROR(__xludf.DUMMYFUNCTION("FLATTEN(B3:K37,B1:K1)"),"sell my house today")</f>
        <v>sell my house today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1" t="s">
        <v>46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""&amp;$A4))"),"sell my house today now")</f>
        <v>sell my house today now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""&amp;$A4))"),"looking to sell my house now")</f>
        <v>looking to sell my house now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""&amp;$A4))"),"cash offer for my house now")</f>
        <v>cash offer for my house now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""&amp;$A4))"),"get cash offer for house now")</f>
        <v>get cash offer for house now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""&amp;$A4))"),"free cash offer for house now")</f>
        <v>free cash offer for house now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""&amp;$A4))"),"no obligation cash offer now")</f>
        <v>no obligation cash offer now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""&amp;$A4))"),"sell house in 7 days now")</f>
        <v>sell house in 7 days now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""&amp;$A4))"),"close house sale fast now")</f>
        <v>close house sale fast now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""&amp;$A4))"),"we buy your house for cash now")</f>
        <v>we buy your house for cash now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""&amp;$A4))"),"quick home sale now")</f>
        <v>quick home sale now</v>
      </c>
      <c r="L4" s="13"/>
      <c r="M4" s="13" t="str">
        <f>IFERROR(__xludf.DUMMYFUNCTION("""COMPUTED_VALUE"""),"looking to sell my house today")</f>
        <v>looking to sell my house today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1" t="s">
        <v>50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""&amp;$A5))"),"sell my house today this week")</f>
        <v>sell my house today this week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""&amp;$A5))"),"looking to sell my house this week")</f>
        <v>looking to sell my house this week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""&amp;$A5))"),"cash offer for my house this week")</f>
        <v>cash offer for my house this week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""&amp;$A5))"),"get cash offer for house this week")</f>
        <v>get cash offer for house this week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""&amp;$A5))"),"free cash offer for house this week")</f>
        <v>free cash offer for house this week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""&amp;$A5))"),"no obligation cash offer this week")</f>
        <v>no obligation cash offer this week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""&amp;$A5))"),"sell house in 7 days this week")</f>
        <v>sell house in 7 days this week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""&amp;$A5))"),"close house sale fast this week")</f>
        <v>close house sale fast this week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""&amp;$A5))"),"we buy your house for cash this week")</f>
        <v>we buy your house for cash this week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""&amp;$A5))"),"quick home sale this week")</f>
        <v>quick home sale this week</v>
      </c>
      <c r="L5" s="13"/>
      <c r="M5" s="13" t="str">
        <f>IFERROR(__xludf.DUMMYFUNCTION("""COMPUTED_VALUE"""),"cash offer for my house today")</f>
        <v>cash offer for my house today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1" t="s">
        <v>52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""&amp;$A6))"),"sell my house today within 24 hours")</f>
        <v>sell my house today within 24 hours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""&amp;$A6))"),"looking to sell my house within 24 hours")</f>
        <v>looking to sell my house within 24 hours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""&amp;$A6))"),"cash offer for my house within 24 hours")</f>
        <v>cash offer for my house within 24 hours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""&amp;$A6))"),"get cash offer for house within 24 hours")</f>
        <v>get cash offer for house within 24 hours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""&amp;$A6))"),"free cash offer for house within 24 hours")</f>
        <v>free cash offer for house within 24 hours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""&amp;$A6))"),"no obligation cash offer within 24 hours")</f>
        <v>no obligation cash offer within 24 hours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""&amp;$A6))"),"sell house in 7 days within 24 hours")</f>
        <v>sell house in 7 days within 24 hours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""&amp;$A6))"),"close house sale fast within 24 hours")</f>
        <v>close house sale fast within 24 hours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""&amp;$A6))"),"we buy your house for cash within 24 hours")</f>
        <v>we buy your house for cash within 24 hours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""&amp;$A6))"),"quick home sale within 24 hours")</f>
        <v>quick home sale within 24 hours</v>
      </c>
      <c r="L6" s="13"/>
      <c r="M6" s="13" t="str">
        <f>IFERROR(__xludf.DUMMYFUNCTION("""COMPUTED_VALUE"""),"get cash offer for house today")</f>
        <v>get cash offer for house today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1" t="s">
        <v>57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""&amp;$A7))"),"sell my house today in 7 days")</f>
        <v>sell my house today in 7 days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""&amp;$A7))"),"looking to sell my house in 7 days")</f>
        <v>looking to sell my house in 7 days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""&amp;$A7))"),"cash offer for my house in 7 days")</f>
        <v>cash offer for my house in 7 days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""&amp;$A7))"),"get cash offer for house in 7 days")</f>
        <v>get cash offer for house in 7 days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""&amp;$A7))"),"free cash offer for house in 7 days")</f>
        <v>free cash offer for house in 7 days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""&amp;$A7))"),"no obligation cash offer in 7 days")</f>
        <v>no obligation cash offer in 7 days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""&amp;$A7))"),"sell house in 7 days")</f>
        <v>sell house in 7 days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""&amp;$A7))"),"close house sale fast in 7 days")</f>
        <v>close house sale fast in 7 days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""&amp;$A7))"),"we buy your house for cash in 7 days")</f>
        <v>we buy your house for cash in 7 days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""&amp;$A7))"),"quick home sale in 7 days")</f>
        <v>quick home sale in 7 days</v>
      </c>
      <c r="L7" s="13"/>
      <c r="M7" s="13" t="str">
        <f>IFERROR(__xludf.DUMMYFUNCTION("""COMPUTED_VALUE"""),"free cash offer for house today")</f>
        <v>free cash offer for house today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1" t="s">
        <v>61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""&amp;$A8))"),"sell my house today same week")</f>
        <v>sell my house today same week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""&amp;$A8))"),"looking to sell my house same week")</f>
        <v>looking to sell my house same week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""&amp;$A8))"),"cash offer for my house same week")</f>
        <v>cash offer for my house same week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""&amp;$A8))"),"get cash offer for house same week")</f>
        <v>get cash offer for house same week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""&amp;$A8))"),"free cash offer for house same week")</f>
        <v>free cash offer for house same week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""&amp;$A8))"),"no obligation cash offer same week")</f>
        <v>no obligation cash offer same week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""&amp;$A8))"),"sell house in 7 days same week")</f>
        <v>sell house in 7 days same week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""&amp;$A8))"),"close house sale fast same week")</f>
        <v>close house sale fast same week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""&amp;$A8))"),"we buy your house for cash same week")</f>
        <v>we buy your house for cash same week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""&amp;$A8))"),"quick home sale same week")</f>
        <v>quick home sale same week</v>
      </c>
      <c r="L8" s="13"/>
      <c r="M8" s="13" t="str">
        <f>IFERROR(__xludf.DUMMYFUNCTION("""COMPUTED_VALUE"""),"no obligation cash offer today")</f>
        <v>no obligation cash offer today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1" t="s">
        <v>67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""&amp;$A9))"),"sell my house today urgent")</f>
        <v>sell my house today urgent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""&amp;$A9))"),"looking to sell my house urgent")</f>
        <v>looking to sell my house urgent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""&amp;$A9))"),"cash offer for my house urgent")</f>
        <v>cash offer for my house urgent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""&amp;$A9))"),"get cash offer for house urgent")</f>
        <v>get cash offer for house urgent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""&amp;$A9))"),"free cash offer for house urgent")</f>
        <v>free cash offer for house urgent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""&amp;$A9))"),"no obligation cash offer urgent")</f>
        <v>no obligation cash offer urgent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""&amp;$A9))"),"sell house in 7 days urgent")</f>
        <v>sell house in 7 days urgent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""&amp;$A9))"),"close house sale fast urgent")</f>
        <v>close house sale fast urgent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""&amp;$A9))"),"we buy your house for cash urgent")</f>
        <v>we buy your house for cash urgent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""&amp;$A9))"),"quick home sale urgent")</f>
        <v>quick home sale urgent</v>
      </c>
      <c r="L9" s="13"/>
      <c r="M9" s="13" t="str">
        <f>IFERROR(__xludf.DUMMYFUNCTION("""COMPUTED_VALUE"""),"sell house in 7 days today")</f>
        <v>sell house in 7 days today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1" t="s">
        <v>71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""&amp;$A10))"),"sell my house today immediate offer")</f>
        <v>sell my house today immediate offer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""&amp;$A10))"),"looking to sell my house immediate offer")</f>
        <v>looking to sell my house immediate offer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""&amp;$A10))"),"cash offer for my house immediate offer")</f>
        <v>cash offer for my house immediate offer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""&amp;$A10))"),"get cash offer for house immediate offer")</f>
        <v>get cash offer for house immediate offer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""&amp;$A10))"),"free cash offer for house immediate offer")</f>
        <v>free cash offer for house immediate offer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""&amp;$A10))"),"no obligation cash offer immediate offer")</f>
        <v>no obligation cash offer immediate offer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""&amp;$A10))"),"sell house in 7 days immediate offer")</f>
        <v>sell house in 7 days immediate offer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""&amp;$A10))"),"close house sale fast immediate offer")</f>
        <v>close house sale fast immediate offer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""&amp;$A10))"),"we buy your house for cash immediate offer")</f>
        <v>we buy your house for cash immediate offer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""&amp;$A10))"),"quick home sale immediate offer")</f>
        <v>quick home sale immediate offer</v>
      </c>
      <c r="L10" s="13"/>
      <c r="M10" s="13" t="str">
        <f>IFERROR(__xludf.DUMMYFUNCTION("""COMPUTED_VALUE"""),"close house sale fast today")</f>
        <v>close house sale fast today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1" t="s">
        <v>75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""&amp;$A11))"),"sell my house today fast closing")</f>
        <v>sell my house today fast closing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""&amp;$A11))"),"looking to sell my house fast closing")</f>
        <v>looking to sell my house fast closing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""&amp;$A11))"),"cash offer for my house fast closing")</f>
        <v>cash offer for my house fast closing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""&amp;$A11))"),"get cash offer for house fast closing")</f>
        <v>get cash offer for house fast closing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""&amp;$A11))"),"free cash offer for house fast closing")</f>
        <v>free cash offer for house fast closing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""&amp;$A11))"),"no obligation cash offer fast closing")</f>
        <v>no obligation cash offer fast closing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""&amp;$A11))"),"sell house in 7 days fast closing")</f>
        <v>sell house in 7 days fast closing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""&amp;$A11))"),"close house sale fast fast closing")</f>
        <v>close house sale fast fast closing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""&amp;$A11))"),"we buy your house for cash fast closing")</f>
        <v>we buy your house for cash fast closing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""&amp;$A11))"),"quick home sale fast closing")</f>
        <v>quick home sale fast closing</v>
      </c>
      <c r="L11" s="13"/>
      <c r="M11" s="13" t="str">
        <f>IFERROR(__xludf.DUMMYFUNCTION("""COMPUTED_VALUE"""),"we buy your house for cash today")</f>
        <v>we buy your house for cash today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1" t="s">
        <v>80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""&amp;$A12))"),"sell my house today quick closing")</f>
        <v>sell my house today quick closing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""&amp;$A12))"),"looking to sell my house quick closing")</f>
        <v>looking to sell my house quick closing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""&amp;$A12))"),"cash offer for my house quick closing")</f>
        <v>cash offer for my house quick closing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""&amp;$A12))"),"get cash offer for house quick closing")</f>
        <v>get cash offer for house quick closing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""&amp;$A12))"),"free cash offer for house quick closing")</f>
        <v>free cash offer for house quick closing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""&amp;$A12))"),"no obligation cash offer quick closing")</f>
        <v>no obligation cash offer quick closing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""&amp;$A12))"),"sell house in 7 days quick closing")</f>
        <v>sell house in 7 days quick closing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""&amp;$A12))"),"close house sale fast quick closing")</f>
        <v>close house sale fast quick closing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""&amp;$A12))"),"we buy your house for cash quick closing")</f>
        <v>we buy your house for cash quick closing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""&amp;$A12))"),"quick home sale quick closing")</f>
        <v>quick home sale quick closing</v>
      </c>
      <c r="L12" s="13"/>
      <c r="M12" s="13" t="str">
        <f>IFERROR(__xludf.DUMMYFUNCTION("""COMPUTED_VALUE"""),"quick home sale today")</f>
        <v>quick home sale today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1" t="s">
        <v>84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""&amp;$A13))"),"sell my house today choose closing date")</f>
        <v>sell my house today choose closing date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""&amp;$A13))"),"looking to sell my house choose closing date")</f>
        <v>looking to sell my house choose closing date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""&amp;$A13))"),"cash offer for my house choose closing date")</f>
        <v>cash offer for my house choose closing date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""&amp;$A13))"),"get cash offer for house choose closing date")</f>
        <v>get cash offer for house choose closing date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""&amp;$A13))"),"free cash offer for house choose closing date")</f>
        <v>free cash offer for house choose closing date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""&amp;$A13))"),"no obligation cash offer choose closing date")</f>
        <v>no obligation cash offer choose closing date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""&amp;$A13))"),"sell house in 7 days choose closing date")</f>
        <v>sell house in 7 days choose closing date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""&amp;$A13))"),"close house sale fast choose closing date")</f>
        <v>close house sale fast choose closing date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""&amp;$A13))"),"we buy your house for cash choose closing date")</f>
        <v>we buy your house for cash choose closing date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""&amp;$A13))"),"quick home sale choose closing date")</f>
        <v>quick home sale choose closing date</v>
      </c>
      <c r="L13" s="13"/>
      <c r="M13" s="13" t="str">
        <f>IFERROR(__xludf.DUMMYFUNCTION("""COMPUTED_VALUE"""),"sell my house today now")</f>
        <v>sell my house today now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88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""&amp;$A14))"),"sell my house today no obligation")</f>
        <v>sell my house today no obligation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""&amp;$A14))"),"looking to sell my house no obligation")</f>
        <v>looking to sell my house no obligation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""&amp;$A14))"),"cash offer for my house no obligation")</f>
        <v>cash offer for my house no obligation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""&amp;$A14))"),"get cash offer for house no obligation")</f>
        <v>get cash offer for house no obligation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""&amp;$A14))"),"free cash offer for house no obligation")</f>
        <v>free cash offer for house no obligation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""&amp;$A14))"),"no obligation cash offer")</f>
        <v>no obligation cash offer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""&amp;$A14))"),"sell house in 7 days no obligation")</f>
        <v>sell house in 7 days no obligation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""&amp;$A14))"),"close house sale fast no obligation")</f>
        <v>close house sale fast no obligation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""&amp;$A14))"),"we buy your house for cash no obligation")</f>
        <v>we buy your house for cash no obligation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""&amp;$A14))"),"quick home sale no obligation")</f>
        <v>quick home sale no obligation</v>
      </c>
      <c r="L14" s="13"/>
      <c r="M14" s="13" t="str">
        <f>IFERROR(__xludf.DUMMYFUNCTION("""COMPUTED_VALUE"""),"looking to sell my house now")</f>
        <v>looking to sell my house now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91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""&amp;$A15))"),"sell my house today fair offer")</f>
        <v>sell my house today fair offer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""&amp;$A15))"),"looking to sell my house fair offer")</f>
        <v>looking to sell my house fair offer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""&amp;$A15))"),"cash offer for my house fair offer")</f>
        <v>cash offer for my house fair offer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""&amp;$A15))"),"get cash offer for house fair offer")</f>
        <v>get cash offer for house fair offer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""&amp;$A15))"),"free cash offer for house fair offer")</f>
        <v>free cash offer for house fair offer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""&amp;$A15))"),"no obligation cash offer fair offer")</f>
        <v>no obligation cash offer fair offer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""&amp;$A15))"),"sell house in 7 days fair offer")</f>
        <v>sell house in 7 days fair offer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""&amp;$A15))"),"close house sale fast fair offer")</f>
        <v>close house sale fast fair offer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""&amp;$A15))"),"we buy your house for cash fair offer")</f>
        <v>we buy your house for cash fair offer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""&amp;$A15))"),"quick home sale fair offer")</f>
        <v>quick home sale fair offer</v>
      </c>
      <c r="L15" s="13"/>
      <c r="M15" s="13" t="str">
        <f>IFERROR(__xludf.DUMMYFUNCTION("""COMPUTED_VALUE"""),"cash offer for my house now")</f>
        <v>cash offer for my house now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95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""&amp;$A16))"),"sell my house today highest offer")</f>
        <v>sell my house today highest offer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""&amp;$A16))"),"looking to sell my house highest offer")</f>
        <v>looking to sell my house highest offer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""&amp;$A16))"),"cash offer for my house highest offer")</f>
        <v>cash offer for my house highest offer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""&amp;$A16))"),"get cash offer for house highest offer")</f>
        <v>get cash offer for house highest offer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""&amp;$A16))"),"free cash offer for house highest offer")</f>
        <v>free cash offer for house highest offer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""&amp;$A16))"),"no obligation cash offer highest offer")</f>
        <v>no obligation cash offer highest offer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""&amp;$A16))"),"sell house in 7 days highest offer")</f>
        <v>sell house in 7 days highest offer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""&amp;$A16))"),"close house sale fast highest offer")</f>
        <v>close house sale fast highest offer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""&amp;$A16))"),"we buy your house for cash highest offer")</f>
        <v>we buy your house for cash highest offer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""&amp;$A16))"),"quick home sale highest offer")</f>
        <v>quick home sale highest offer</v>
      </c>
      <c r="L16" s="13"/>
      <c r="M16" s="13" t="str">
        <f>IFERROR(__xludf.DUMMYFUNCTION("""COMPUTED_VALUE"""),"get cash offer for house now")</f>
        <v>get cash offer for house now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99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""&amp;$A17))"),"sell my house today all cash")</f>
        <v>sell my house today all cash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""&amp;$A17))"),"looking to sell my house all cash")</f>
        <v>looking to sell my house all cash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""&amp;$A17))"),"cash offer for my house all cash")</f>
        <v>cash offer for my house all cash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""&amp;$A17))"),"get cash offer for house all cash")</f>
        <v>get cash offer for house all cash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""&amp;$A17))"),"free cash offer for house all cash")</f>
        <v>free cash offer for house all cash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""&amp;$A17))"),"no obligation cash offer all cash")</f>
        <v>no obligation cash offer all cash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""&amp;$A17))"),"sell house in 7 days all cash")</f>
        <v>sell house in 7 days all cash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""&amp;$A17))"),"close house sale fast all cash")</f>
        <v>close house sale fast all cash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""&amp;$A17))"),"we buy your house for cash all cash")</f>
        <v>we buy your house for cash all cash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""&amp;$A17))"),"quick home sale all cash")</f>
        <v>quick home sale all cash</v>
      </c>
      <c r="L17" s="13"/>
      <c r="M17" s="13" t="str">
        <f>IFERROR(__xludf.DUMMYFUNCTION("""COMPUTED_VALUE"""),"free cash offer for house now")</f>
        <v>free cash offer for house now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56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""&amp;$A18))"),"sell my house today cash buyer")</f>
        <v>sell my house today cash buyer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""&amp;$A18))"),"looking to sell my house cash buyer")</f>
        <v>looking to sell my house cash buyer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""&amp;$A18))"),"cash offer for my house cash buyer")</f>
        <v>cash offer for my house cash buyer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""&amp;$A18))"),"get cash offer for house cash buyer")</f>
        <v>get cash offer for house cash buyer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""&amp;$A18))"),"free cash offer for house cash buyer")</f>
        <v>free cash offer for house cash buyer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""&amp;$A18))"),"no obligation cash offer cash buyer")</f>
        <v>no obligation cash offer cash buyer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""&amp;$A18))"),"sell house in 7 days cash buyer")</f>
        <v>sell house in 7 days cash buyer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""&amp;$A18))"),"close house sale fast cash buyer")</f>
        <v>close house sale fast cash buyer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""&amp;$A18))"),"we buy your house for cash cash buyer")</f>
        <v>we buy your house for cash cash buyer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""&amp;$A18))"),"quick home sale cash buyer")</f>
        <v>quick home sale cash buyer</v>
      </c>
      <c r="L18" s="13"/>
      <c r="M18" s="13" t="str">
        <f>IFERROR(__xludf.DUMMYFUNCTION("""COMPUTED_VALUE"""),"no obligation cash offer now")</f>
        <v>no obligation cash offer now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105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""&amp;$A19))"),"sell my house today guaranteed closing")</f>
        <v>sell my house today guaranteed closing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""&amp;$A19))"),"looking to sell my house guaranteed closing")</f>
        <v>looking to sell my house guaranteed closing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""&amp;$A19))"),"cash offer for my house guaranteed closing")</f>
        <v>cash offer for my house guaranteed closing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""&amp;$A19))"),"get cash offer for house guaranteed closing")</f>
        <v>get cash offer for house guaranteed closing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""&amp;$A19))"),"free cash offer for house guaranteed closing")</f>
        <v>free cash offer for house guaranteed closing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""&amp;$A19))"),"no obligation cash offer guaranteed closing")</f>
        <v>no obligation cash offer guaranteed closing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""&amp;$A19))"),"sell house in 7 days guaranteed closing")</f>
        <v>sell house in 7 days guaranteed closing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""&amp;$A19))"),"close house sale fast guaranteed closing")</f>
        <v>close house sale fast guaranteed closing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""&amp;$A19))"),"we buy your house for cash guaranteed closing")</f>
        <v>we buy your house for cash guaranteed closing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""&amp;$A19))"),"quick home sale guaranteed closing")</f>
        <v>quick home sale guaranteed closing</v>
      </c>
      <c r="L19" s="13"/>
      <c r="M19" s="13" t="str">
        <f>IFERROR(__xludf.DUMMYFUNCTION("""COMPUTED_VALUE"""),"sell house in 7 days now")</f>
        <v>sell house in 7 days now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109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""&amp;$A20))"),"sell my house today no financing contingency")</f>
        <v>sell my house today no financing contingency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""&amp;$A20))"),"looking to sell my house no financing contingency")</f>
        <v>looking to sell my house no financing contingency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""&amp;$A20))"),"cash offer for my house no financing contingency")</f>
        <v>cash offer for my house no financing contingency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""&amp;$A20))"),"get cash offer for house no financing contingency")</f>
        <v>get cash offer for house no financing contingency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""&amp;$A20))"),"free cash offer for house no financing contingency")</f>
        <v>free cash offer for house no financing contingency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""&amp;$A20))"),"no obligation cash offer no financing contingency")</f>
        <v>no obligation cash offer no financing contingency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""&amp;$A20))"),"sell house in 7 days no financing contingency")</f>
        <v>sell house in 7 days no financing contingency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""&amp;$A20))"),"close house sale fast no financing contingency")</f>
        <v>close house sale fast no financing contingency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""&amp;$A20))"),"we buy your house for cash no financing contingency")</f>
        <v>we buy your house for cash no financing contingency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""&amp;$A20))"),"quick home sale no financing contingency")</f>
        <v>quick home sale no financing contingency</v>
      </c>
      <c r="L20" s="13"/>
      <c r="M20" s="13" t="str">
        <f>IFERROR(__xludf.DUMMYFUNCTION("""COMPUTED_VALUE"""),"close house sale fast now")</f>
        <v>close house sale fast now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113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""&amp;$A21))"),"sell my house today simple process")</f>
        <v>sell my house today simple process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""&amp;$A21))"),"looking to sell my house simple process")</f>
        <v>looking to sell my house simple process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""&amp;$A21))"),"cash offer for my house simple process")</f>
        <v>cash offer for my house simple process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""&amp;$A21))"),"get cash offer for house simple process")</f>
        <v>get cash offer for house simple process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""&amp;$A21))"),"free cash offer for house simple process")</f>
        <v>free cash offer for house simple process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""&amp;$A21))"),"no obligation cash offer simple process")</f>
        <v>no obligation cash offer simple process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""&amp;$A21))"),"sell house in 7 days simple process")</f>
        <v>sell house in 7 days simple process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""&amp;$A21))"),"close house sale fast simple process")</f>
        <v>close house sale fast simple process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""&amp;$A21))"),"we buy your house for cash simple process")</f>
        <v>we buy your house for cash simple process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""&amp;$A21))"),"quick home sale simple process")</f>
        <v>quick home sale simple process</v>
      </c>
      <c r="L21" s="13"/>
      <c r="M21" s="13" t="str">
        <f>IFERROR(__xludf.DUMMYFUNCTION("""COMPUTED_VALUE"""),"we buy your house for cash now")</f>
        <v>we buy your house for cash now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116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""&amp;$A22))"),"sell my house today hassle free")</f>
        <v>sell my house today hassle free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""&amp;$A22))"),"looking to sell my house hassle free")</f>
        <v>looking to sell my house hassle free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""&amp;$A22))"),"cash offer for my house hassle free")</f>
        <v>cash offer for my house hassle free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""&amp;$A22))"),"get cash offer for house hassle free")</f>
        <v>get cash offer for house hassle free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""&amp;$A22))"),"free cash offer for house hassle free")</f>
        <v>free cash offer for house hassle free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""&amp;$A22))"),"no obligation cash offer hassle free")</f>
        <v>no obligation cash offer hassle free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""&amp;$A22))"),"sell house in 7 days hassle free")</f>
        <v>sell house in 7 days hassle free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""&amp;$A22))"),"close house sale fast hassle free")</f>
        <v>close house sale fast hassle free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""&amp;$A22))"),"we buy your house for cash hassle free")</f>
        <v>we buy your house for cash hassle free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""&amp;$A22))"),"quick home sale hassle free")</f>
        <v>quick home sale hassle free</v>
      </c>
      <c r="L22" s="13"/>
      <c r="M22" s="13" t="str">
        <f>IFERROR(__xludf.DUMMYFUNCTION("""COMPUTED_VALUE"""),"quick home sale now")</f>
        <v>quick home sale now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120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""&amp;$A23))"),"sell my house today stress free")</f>
        <v>sell my house today stress free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""&amp;$A23))"),"looking to sell my house stress free")</f>
        <v>looking to sell my house stress free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""&amp;$A23))"),"cash offer for my house stress free")</f>
        <v>cash offer for my house stress free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""&amp;$A23))"),"get cash offer for house stress free")</f>
        <v>get cash offer for house stress free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""&amp;$A23))"),"free cash offer for house stress free")</f>
        <v>free cash offer for house stress free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""&amp;$A23))"),"no obligation cash offer stress free")</f>
        <v>no obligation cash offer stress free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""&amp;$A23))"),"sell house in 7 days stress free")</f>
        <v>sell house in 7 days stress free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""&amp;$A23))"),"close house sale fast stress free")</f>
        <v>close house sale fast stress free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""&amp;$A23))"),"we buy your house for cash stress free")</f>
        <v>we buy your house for cash stress free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""&amp;$A23))"),"quick home sale stress free")</f>
        <v>quick home sale stress free</v>
      </c>
      <c r="L23" s="13"/>
      <c r="M23" s="13" t="str">
        <f>IFERROR(__xludf.DUMMYFUNCTION("""COMPUTED_VALUE"""),"sell my house today this week")</f>
        <v>sell my house today this week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124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""&amp;$A24))"),"sell my house today online form")</f>
        <v>sell my house today online form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""&amp;$A24))"),"looking to sell my house online form")</f>
        <v>looking to sell my house online form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""&amp;$A24))"),"cash offer for my house online form")</f>
        <v>cash offer for my house online form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""&amp;$A24))"),"get cash offer for house online form")</f>
        <v>get cash offer for house online form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""&amp;$A24))"),"free cash offer for house online form")</f>
        <v>free cash offer for house online form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""&amp;$A24))"),"no obligation cash offer online form")</f>
        <v>no obligation cash offer online form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""&amp;$A24))"),"sell house in 7 days online form")</f>
        <v>sell house in 7 days online form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""&amp;$A24))"),"close house sale fast online form")</f>
        <v>close house sale fast online form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""&amp;$A24))"),"we buy your house for cash online form")</f>
        <v>we buy your house for cash online form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""&amp;$A24))"),"quick home sale online form")</f>
        <v>quick home sale online form</v>
      </c>
      <c r="L24" s="13"/>
      <c r="M24" s="13" t="str">
        <f>IFERROR(__xludf.DUMMYFUNCTION("""COMPUTED_VALUE"""),"looking to sell my house this week")</f>
        <v>looking to sell my house this week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128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""&amp;$A25))"),"sell my house today phone call")</f>
        <v>sell my house today phone call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""&amp;$A25))"),"looking to sell my house phone call")</f>
        <v>looking to sell my house phone call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""&amp;$A25))"),"cash offer for my house phone call")</f>
        <v>cash offer for my house phone call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""&amp;$A25))"),"get cash offer for house phone call")</f>
        <v>get cash offer for house phone call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""&amp;$A25))"),"free cash offer for house phone call")</f>
        <v>free cash offer for house phone call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""&amp;$A25))"),"no obligation cash offer phone call")</f>
        <v>no obligation cash offer phone call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""&amp;$A25))"),"sell house in 7 days phone call")</f>
        <v>sell house in 7 days phone call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""&amp;$A25))"),"close house sale fast phone call")</f>
        <v>close house sale fast phone call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""&amp;$A25))"),"we buy your house for cash phone call")</f>
        <v>we buy your house for cash phone call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""&amp;$A25))"),"quick home sale phone call")</f>
        <v>quick home sale phone call</v>
      </c>
      <c r="L25" s="13"/>
      <c r="M25" s="13" t="str">
        <f>IFERROR(__xludf.DUMMYFUNCTION("""COMPUTED_VALUE"""),"cash offer for my house this week")</f>
        <v>cash offer for my house this week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132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""&amp;$A26))"),"sell my house today appointment")</f>
        <v>sell my house today appointment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""&amp;$A26))"),"looking to sell my house appointment")</f>
        <v>looking to sell my house appointment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""&amp;$A26))"),"cash offer for my house appointment")</f>
        <v>cash offer for my house appointment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""&amp;$A26))"),"get cash offer for house appointment")</f>
        <v>get cash offer for house appointment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""&amp;$A26))"),"free cash offer for house appointment")</f>
        <v>free cash offer for house appointment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""&amp;$A26))"),"no obligation cash offer appointment")</f>
        <v>no obligation cash offer appointment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""&amp;$A26))"),"sell house in 7 days appointment")</f>
        <v>sell house in 7 days appointment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""&amp;$A26))"),"close house sale fast appointment")</f>
        <v>close house sale fast appointment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""&amp;$A26))"),"we buy your house for cash appointment")</f>
        <v>we buy your house for cash appointment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""&amp;$A26))"),"quick home sale appointment")</f>
        <v>quick home sale appointment</v>
      </c>
      <c r="L26" s="13"/>
      <c r="M26" s="13" t="str">
        <f>IFERROR(__xludf.DUMMYFUNCTION("""COMPUTED_VALUE"""),"get cash offer for house this week")</f>
        <v>get cash offer for house this week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136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""&amp;$A27))"),"sell my house today closing costs paid")</f>
        <v>sell my house today closing costs paid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""&amp;$A27))"),"looking to sell my house closing costs paid")</f>
        <v>looking to sell my house closing costs paid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""&amp;$A27))"),"cash offer for my house closing costs paid")</f>
        <v>cash offer for my house closing costs paid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""&amp;$A27))"),"get cash offer for house closing costs paid")</f>
        <v>get cash offer for house closing costs paid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""&amp;$A27))"),"free cash offer for house closing costs paid")</f>
        <v>free cash offer for house closing costs paid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""&amp;$A27))"),"no obligation cash offer closing costs paid")</f>
        <v>no obligation cash offer closing costs paid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""&amp;$A27))"),"sell house in 7 days closing costs paid")</f>
        <v>sell house in 7 days closing costs paid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""&amp;$A27))"),"close house sale fast closing costs paid")</f>
        <v>close house sale fast closing costs paid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""&amp;$A27))"),"we buy your house for cash closing costs paid")</f>
        <v>we buy your house for cash closing costs paid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""&amp;$A27))"),"quick home sale closing costs paid")</f>
        <v>quick home sale closing costs paid</v>
      </c>
      <c r="L27" s="13"/>
      <c r="M27" s="13" t="str">
        <f>IFERROR(__xludf.DUMMYFUNCTION("""COMPUTED_VALUE"""),"free cash offer for house this week")</f>
        <v>free cash offer for house this week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140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""&amp;$A28))"),"sell my house today no waiting")</f>
        <v>sell my house today no waiting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""&amp;$A28))"),"looking to sell my house no waiting")</f>
        <v>looking to sell my house no waiting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""&amp;$A28))"),"cash offer for my house no waiting")</f>
        <v>cash offer for my house no waiting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""&amp;$A28))"),"get cash offer for house no waiting")</f>
        <v>get cash offer for house no waiting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""&amp;$A28))"),"free cash offer for house no waiting")</f>
        <v>free cash offer for house no waiting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""&amp;$A28))"),"no obligation cash offer no waiting")</f>
        <v>no obligation cash offer no waiting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""&amp;$A28))"),"sell house in 7 days no waiting")</f>
        <v>sell house in 7 days no waiting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""&amp;$A28))"),"close house sale fast no waiting")</f>
        <v>close house sale fast no waiting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""&amp;$A28))"),"we buy your house for cash no waiting")</f>
        <v>we buy your house for cash no waiting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""&amp;$A28))"),"quick home sale no waiting")</f>
        <v>quick home sale no waiting</v>
      </c>
      <c r="L28" s="13"/>
      <c r="M28" s="13" t="str">
        <f>IFERROR(__xludf.DUMMYFUNCTION("""COMPUTED_VALUE"""),"no obligation cash offer this week")</f>
        <v>no obligation cash offer this week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142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""&amp;$A29))"),"sell my house today avoid showings")</f>
        <v>sell my house today avoid showings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""&amp;$A29))"),"looking to sell my house avoid showings")</f>
        <v>looking to sell my house avoid showings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""&amp;$A29))"),"cash offer for my house avoid showings")</f>
        <v>cash offer for my house avoid showings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""&amp;$A29))"),"get cash offer for house avoid showings")</f>
        <v>get cash offer for house avoid showings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""&amp;$A29))"),"free cash offer for house avoid showings")</f>
        <v>free cash offer for house avoid showings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""&amp;$A29))"),"no obligation cash offer avoid showings")</f>
        <v>no obligation cash offer avoid showings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""&amp;$A29))"),"sell house in 7 days avoid showings")</f>
        <v>sell house in 7 days avoid showings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""&amp;$A29))"),"close house sale fast avoid showings")</f>
        <v>close house sale fast avoid showings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""&amp;$A29))"),"we buy your house for cash avoid showings")</f>
        <v>we buy your house for cash avoid showings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""&amp;$A29))"),"quick home sale avoid showings")</f>
        <v>quick home sale avoid showings</v>
      </c>
      <c r="L29" s="13"/>
      <c r="M29" s="13" t="str">
        <f>IFERROR(__xludf.DUMMYFUNCTION("""COMPUTED_VALUE"""),"sell house in 7 days this week")</f>
        <v>sell house in 7 days this week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146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""&amp;$A30))"),"sell my house today avoid inspections")</f>
        <v>sell my house today avoid inspections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""&amp;$A30))"),"looking to sell my house avoid inspections")</f>
        <v>looking to sell my house avoid inspections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""&amp;$A30))"),"cash offer for my house avoid inspections")</f>
        <v>cash offer for my house avoid inspections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""&amp;$A30))"),"get cash offer for house avoid inspections")</f>
        <v>get cash offer for house avoid inspections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""&amp;$A30))"),"free cash offer for house avoid inspections")</f>
        <v>free cash offer for house avoid inspections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""&amp;$A30))"),"no obligation cash offer avoid inspections")</f>
        <v>no obligation cash offer avoid inspections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""&amp;$A30))"),"sell house in 7 days avoid inspections")</f>
        <v>sell house in 7 days avoid inspections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""&amp;$A30))"),"close house sale fast avoid inspections")</f>
        <v>close house sale fast avoid inspections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""&amp;$A30))"),"we buy your house for cash avoid inspections")</f>
        <v>we buy your house for cash avoid inspections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""&amp;$A30))"),"quick home sale avoid inspections")</f>
        <v>quick home sale avoid inspections</v>
      </c>
      <c r="L30" s="13"/>
      <c r="M30" s="13" t="str">
        <f>IFERROR(__xludf.DUMMYFUNCTION("""COMPUTED_VALUE"""),"close house sale fast this week")</f>
        <v>close house sale fast this week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150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""&amp;$A31))"),"sell my house today move quickly")</f>
        <v>sell my house today move quickly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""&amp;$A31))"),"looking to sell my house move quickly")</f>
        <v>looking to sell my house move quickly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""&amp;$A31))"),"cash offer for my house move quickly")</f>
        <v>cash offer for my house move quickly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""&amp;$A31))"),"get cash offer for house move quickly")</f>
        <v>get cash offer for house move quickly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""&amp;$A31))"),"free cash offer for house move quickly")</f>
        <v>free cash offer for house move quickly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""&amp;$A31))"),"no obligation cash offer move quickly")</f>
        <v>no obligation cash offer move quickly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""&amp;$A31))"),"sell house in 7 days move quickly")</f>
        <v>sell house in 7 days move quickly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""&amp;$A31))"),"close house sale fast move quickly")</f>
        <v>close house sale fast move quickly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""&amp;$A31))"),"we buy your house for cash move quickly")</f>
        <v>we buy your house for cash move quickly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""&amp;$A31))"),"quick home sale move quickly")</f>
        <v>quick home sale move quickly</v>
      </c>
      <c r="L31" s="13"/>
      <c r="M31" s="13" t="str">
        <f>IFERROR(__xludf.DUMMYFUNCTION("""COMPUTED_VALUE"""),"we buy your house for cash this week")</f>
        <v>we buy your house for cash this week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153</v>
      </c>
      <c r="B32" s="13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""&amp;$A32))"),"sell my house today flexible closing")</f>
        <v>sell my house today flexible closing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""&amp;$A32))"),"looking to sell my house flexible closing")</f>
        <v>looking to sell my house flexible closing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""&amp;$A32))"),"cash offer for my house flexible closing")</f>
        <v>cash offer for my house flexible closing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""&amp;$A32))"),"get cash offer for house flexible closing")</f>
        <v>get cash offer for house flexible closing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""&amp;$A32))"),"free cash offer for house flexible closing")</f>
        <v>free cash offer for house flexible closing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""&amp;$A32))"),"no obligation cash offer flexible closing")</f>
        <v>no obligation cash offer flexible closing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""&amp;$A32))"),"sell house in 7 days flexible closing")</f>
        <v>sell house in 7 days flexible closing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""&amp;$A32))"),"close house sale fast flexible closing")</f>
        <v>close house sale fast flexible closing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""&amp;$A32))"),"we buy your house for cash flexible closing")</f>
        <v>we buy your house for cash flexible closing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""&amp;$A32))"),"quick home sale flexible closing")</f>
        <v>quick home sale flexible closing</v>
      </c>
      <c r="L32" s="13"/>
      <c r="M32" s="13" t="str">
        <f>IFERROR(__xludf.DUMMYFUNCTION("""COMPUTED_VALUE"""),"quick home sale this week")</f>
        <v>quick home sale this week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157</v>
      </c>
      <c r="B33" s="13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""&amp;$A33))"),"sell my house today deadline")</f>
        <v>sell my house today deadline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""&amp;$A33))"),"looking to sell my house deadline")</f>
        <v>looking to sell my house deadline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""&amp;$A33))"),"cash offer for my house deadline")</f>
        <v>cash offer for my house deadline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""&amp;$A33))"),"get cash offer for house deadline")</f>
        <v>get cash offer for house deadline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""&amp;$A33))"),"free cash offer for house deadline")</f>
        <v>free cash offer for house deadline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""&amp;$A33))"),"no obligation cash offer deadline")</f>
        <v>no obligation cash offer deadline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""&amp;$A33))"),"sell house in 7 days deadline")</f>
        <v>sell house in 7 days deadline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""&amp;$A33))"),"close house sale fast deadline")</f>
        <v>close house sale fast deadline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""&amp;$A33))"),"we buy your house for cash deadline")</f>
        <v>we buy your house for cash deadline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""&amp;$A33))"),"quick home sale deadline")</f>
        <v>quick home sale deadline</v>
      </c>
      <c r="L33" s="13"/>
      <c r="M33" s="13" t="str">
        <f>IFERROR(__xludf.DUMMYFUNCTION("""COMPUTED_VALUE"""),"sell my house today within 24 hours")</f>
        <v>sell my house today within 24 hours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161</v>
      </c>
      <c r="B34" s="13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""&amp;$A34))"),"sell my house today emergency sale")</f>
        <v>sell my house today emergency sale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""&amp;$A34))"),"looking to sell my house emergency sale")</f>
        <v>looking to sell my house emergency sale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""&amp;$A34))"),"cash offer for my house emergency sale")</f>
        <v>cash offer for my house emergency sale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""&amp;$A34))"),"get cash offer for house emergency sale")</f>
        <v>get cash offer for house emergency sale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""&amp;$A34))"),"free cash offer for house emergency sale")</f>
        <v>free cash offer for house emergency sale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""&amp;$A34))"),"no obligation cash offer emergency sale")</f>
        <v>no obligation cash offer emergency sale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""&amp;$A34))"),"sell house in 7 days emergency sale")</f>
        <v>sell house in 7 days emergency sale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""&amp;$A34))"),"close house sale fast emergency sale")</f>
        <v>close house sale fast emergency sale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""&amp;$A34))"),"we buy your house for cash emergency sale")</f>
        <v>we buy your house for cash emergency sale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""&amp;$A34))"),"quick home sale emergency sale")</f>
        <v>quick home sale emergency sale</v>
      </c>
      <c r="L34" s="13"/>
      <c r="M34" s="13" t="str">
        <f>IFERROR(__xludf.DUMMYFUNCTION("""COMPUTED_VALUE"""),"looking to sell my house within 24 hours")</f>
        <v>looking to sell my house within 24 hours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/>
      <c r="B35" s="13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""&amp;$A35))"),"")</f>
        <v/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""&amp;$A35))"),"")</f>
        <v/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""&amp;$A35))"),"")</f>
        <v/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""&amp;$A35))"),"")</f>
        <v/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""&amp;$A35))"),"")</f>
        <v/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""&amp;$A35))"),"")</f>
        <v/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""&amp;$A35))"),"")</f>
        <v/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""&amp;$A35))"),"")</f>
        <v/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""&amp;$A35))"),"")</f>
        <v/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""&amp;$A35))"),"")</f>
        <v/>
      </c>
      <c r="L35" s="13"/>
      <c r="M35" s="13" t="str">
        <f>IFERROR(__xludf.DUMMYFUNCTION("""COMPUTED_VALUE"""),"cash offer for my house within 24 hours")</f>
        <v>cash offer for my house within 24 hours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3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""&amp;$A36))"),"")</f>
        <v/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""&amp;$A36))"),"")</f>
        <v/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""&amp;$A36))"),"")</f>
        <v/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""&amp;$A36))"),"")</f>
        <v/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""&amp;$A36))"),"")</f>
        <v/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""&amp;$A36))"),"")</f>
        <v/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""&amp;$A36))"),"")</f>
        <v/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""&amp;$A36))"),"")</f>
        <v/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""&amp;$A36))"),"")</f>
        <v/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""&amp;$A36))"),"")</f>
        <v/>
      </c>
      <c r="L36" s="13"/>
      <c r="M36" s="13" t="str">
        <f>IFERROR(__xludf.DUMMYFUNCTION("""COMPUTED_VALUE"""),"get cash offer for house within 24 hours")</f>
        <v>get cash offer for house within 24 hours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3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""&amp;$A37))"),"")</f>
        <v/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""&amp;$A37))"),"")</f>
        <v/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""&amp;$A37))"),"")</f>
        <v/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""&amp;$A37))"),"")</f>
        <v/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""&amp;$A37))"),"")</f>
        <v/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""&amp;$A37))"),"")</f>
        <v/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""&amp;$A37))"),"")</f>
        <v/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""&amp;$A37))"),"")</f>
        <v/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""&amp;$A37))"),"")</f>
        <v/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""&amp;$A37))"),"")</f>
        <v/>
      </c>
      <c r="L37" s="13"/>
      <c r="M37" s="13" t="str">
        <f>IFERROR(__xludf.DUMMYFUNCTION("""COMPUTED_VALUE"""),"free cash offer for house within 24 hours")</f>
        <v>free cash offer for house within 24 hours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 t="str">
        <f>IFERROR(__xludf.DUMMYFUNCTION("""COMPUTED_VALUE"""),"no obligation cash offer within 24 hours")</f>
        <v>no obligation cash offer within 24 hours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 t="str">
        <f>IFERROR(__xludf.DUMMYFUNCTION("""COMPUTED_VALUE"""),"sell house in 7 days within 24 hours")</f>
        <v>sell house in 7 days within 24 hours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IFERROR(__xludf.DUMMYFUNCTION("""COMPUTED_VALUE"""),"close house sale fast within 24 hours")</f>
        <v>close house sale fast within 24 hours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IFERROR(__xludf.DUMMYFUNCTION("""COMPUTED_VALUE"""),"we buy your house for cash within 24 hours")</f>
        <v>we buy your house for cash within 24 hours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IFERROR(__xludf.DUMMYFUNCTION("""COMPUTED_VALUE"""),"quick home sale within 24 hours")</f>
        <v>quick home sale within 24 hours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IFERROR(__xludf.DUMMYFUNCTION("""COMPUTED_VALUE"""),"sell my house today in 7 days")</f>
        <v>sell my house today in 7 days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IFERROR(__xludf.DUMMYFUNCTION("""COMPUTED_VALUE"""),"looking to sell my house in 7 days")</f>
        <v>looking to sell my house in 7 days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IFERROR(__xludf.DUMMYFUNCTION("""COMPUTED_VALUE"""),"cash offer for my house in 7 days")</f>
        <v>cash offer for my house in 7 days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IFERROR(__xludf.DUMMYFUNCTION("""COMPUTED_VALUE"""),"get cash offer for house in 7 days")</f>
        <v>get cash offer for house in 7 days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IFERROR(__xludf.DUMMYFUNCTION("""COMPUTED_VALUE"""),"free cash offer for house in 7 days")</f>
        <v>free cash offer for house in 7 days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IFERROR(__xludf.DUMMYFUNCTION("""COMPUTED_VALUE"""),"no obligation cash offer in 7 days")</f>
        <v>no obligation cash offer in 7 days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IFERROR(__xludf.DUMMYFUNCTION("""COMPUTED_VALUE"""),"sell house in 7 days")</f>
        <v>sell house in 7 days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IFERROR(__xludf.DUMMYFUNCTION("""COMPUTED_VALUE"""),"close house sale fast in 7 days")</f>
        <v>close house sale fast in 7 days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IFERROR(__xludf.DUMMYFUNCTION("""COMPUTED_VALUE"""),"we buy your house for cash in 7 days")</f>
        <v>we buy your house for cash in 7 days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IFERROR(__xludf.DUMMYFUNCTION("""COMPUTED_VALUE"""),"quick home sale in 7 days")</f>
        <v>quick home sale in 7 days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IFERROR(__xludf.DUMMYFUNCTION("""COMPUTED_VALUE"""),"sell my house today same week")</f>
        <v>sell my house today same week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IFERROR(__xludf.DUMMYFUNCTION("""COMPUTED_VALUE"""),"looking to sell my house same week")</f>
        <v>looking to sell my house same week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IFERROR(__xludf.DUMMYFUNCTION("""COMPUTED_VALUE"""),"cash offer for my house same week")</f>
        <v>cash offer for my house same week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IFERROR(__xludf.DUMMYFUNCTION("""COMPUTED_VALUE"""),"get cash offer for house same week")</f>
        <v>get cash offer for house same week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IFERROR(__xludf.DUMMYFUNCTION("""COMPUTED_VALUE"""),"free cash offer for house same week")</f>
        <v>free cash offer for house same week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IFERROR(__xludf.DUMMYFUNCTION("""COMPUTED_VALUE"""),"no obligation cash offer same week")</f>
        <v>no obligation cash offer same week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IFERROR(__xludf.DUMMYFUNCTION("""COMPUTED_VALUE"""),"sell house in 7 days same week")</f>
        <v>sell house in 7 days same week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IFERROR(__xludf.DUMMYFUNCTION("""COMPUTED_VALUE"""),"close house sale fast same week")</f>
        <v>close house sale fast same week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IFERROR(__xludf.DUMMYFUNCTION("""COMPUTED_VALUE"""),"we buy your house for cash same week")</f>
        <v>we buy your house for cash same week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IFERROR(__xludf.DUMMYFUNCTION("""COMPUTED_VALUE"""),"quick home sale same week")</f>
        <v>quick home sale same week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IFERROR(__xludf.DUMMYFUNCTION("""COMPUTED_VALUE"""),"sell my house today urgent")</f>
        <v>sell my house today urgent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IFERROR(__xludf.DUMMYFUNCTION("""COMPUTED_VALUE"""),"looking to sell my house urgent")</f>
        <v>looking to sell my house urgent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IFERROR(__xludf.DUMMYFUNCTION("""COMPUTED_VALUE"""),"cash offer for my house urgent")</f>
        <v>cash offer for my house urgent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IFERROR(__xludf.DUMMYFUNCTION("""COMPUTED_VALUE"""),"get cash offer for house urgent")</f>
        <v>get cash offer for house urgent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IFERROR(__xludf.DUMMYFUNCTION("""COMPUTED_VALUE"""),"free cash offer for house urgent")</f>
        <v>free cash offer for house urgent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IFERROR(__xludf.DUMMYFUNCTION("""COMPUTED_VALUE"""),"no obligation cash offer urgent")</f>
        <v>no obligation cash offer urgent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IFERROR(__xludf.DUMMYFUNCTION("""COMPUTED_VALUE"""),"sell house in 7 days urgent")</f>
        <v>sell house in 7 days urgent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IFERROR(__xludf.DUMMYFUNCTION("""COMPUTED_VALUE"""),"close house sale fast urgent")</f>
        <v>close house sale fast urgent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IFERROR(__xludf.DUMMYFUNCTION("""COMPUTED_VALUE"""),"we buy your house for cash urgent")</f>
        <v>we buy your house for cash urgent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IFERROR(__xludf.DUMMYFUNCTION("""COMPUTED_VALUE"""),"quick home sale urgent")</f>
        <v>quick home sale urgent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IFERROR(__xludf.DUMMYFUNCTION("""COMPUTED_VALUE"""),"sell my house today immediate offer")</f>
        <v>sell my house today immediate offer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IFERROR(__xludf.DUMMYFUNCTION("""COMPUTED_VALUE"""),"looking to sell my house immediate offer")</f>
        <v>looking to sell my house immediate offer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IFERROR(__xludf.DUMMYFUNCTION("""COMPUTED_VALUE"""),"cash offer for my house immediate offer")</f>
        <v>cash offer for my house immediate offer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IFERROR(__xludf.DUMMYFUNCTION("""COMPUTED_VALUE"""),"get cash offer for house immediate offer")</f>
        <v>get cash offer for house immediate offer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IFERROR(__xludf.DUMMYFUNCTION("""COMPUTED_VALUE"""),"free cash offer for house immediate offer")</f>
        <v>free cash offer for house immediate offer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IFERROR(__xludf.DUMMYFUNCTION("""COMPUTED_VALUE"""),"no obligation cash offer immediate offer")</f>
        <v>no obligation cash offer immediate offer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IFERROR(__xludf.DUMMYFUNCTION("""COMPUTED_VALUE"""),"sell house in 7 days immediate offer")</f>
        <v>sell house in 7 days immediate offer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IFERROR(__xludf.DUMMYFUNCTION("""COMPUTED_VALUE"""),"close house sale fast immediate offer")</f>
        <v>close house sale fast immediate offer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IFERROR(__xludf.DUMMYFUNCTION("""COMPUTED_VALUE"""),"we buy your house for cash immediate offer")</f>
        <v>we buy your house for cash immediate offer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IFERROR(__xludf.DUMMYFUNCTION("""COMPUTED_VALUE"""),"quick home sale immediate offer")</f>
        <v>quick home sale immediate offer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IFERROR(__xludf.DUMMYFUNCTION("""COMPUTED_VALUE"""),"sell my house today fast closing")</f>
        <v>sell my house today fast closing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IFERROR(__xludf.DUMMYFUNCTION("""COMPUTED_VALUE"""),"looking to sell my house fast closing")</f>
        <v>looking to sell my house fast closing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IFERROR(__xludf.DUMMYFUNCTION("""COMPUTED_VALUE"""),"cash offer for my house fast closing")</f>
        <v>cash offer for my house fast closing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IFERROR(__xludf.DUMMYFUNCTION("""COMPUTED_VALUE"""),"get cash offer for house fast closing")</f>
        <v>get cash offer for house fast closing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IFERROR(__xludf.DUMMYFUNCTION("""COMPUTED_VALUE"""),"free cash offer for house fast closing")</f>
        <v>free cash offer for house fast closing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IFERROR(__xludf.DUMMYFUNCTION("""COMPUTED_VALUE"""),"no obligation cash offer fast closing")</f>
        <v>no obligation cash offer fast closing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IFERROR(__xludf.DUMMYFUNCTION("""COMPUTED_VALUE"""),"sell house in 7 days fast closing")</f>
        <v>sell house in 7 days fast closing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IFERROR(__xludf.DUMMYFUNCTION("""COMPUTED_VALUE"""),"close house sale fast fast closing")</f>
        <v>close house sale fast fast closing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IFERROR(__xludf.DUMMYFUNCTION("""COMPUTED_VALUE"""),"we buy your house for cash fast closing")</f>
        <v>we buy your house for cash fast closing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IFERROR(__xludf.DUMMYFUNCTION("""COMPUTED_VALUE"""),"quick home sale fast closing")</f>
        <v>quick home sale fast closing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IFERROR(__xludf.DUMMYFUNCTION("""COMPUTED_VALUE"""),"sell my house today quick closing")</f>
        <v>sell my house today quick closing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IFERROR(__xludf.DUMMYFUNCTION("""COMPUTED_VALUE"""),"looking to sell my house quick closing")</f>
        <v>looking to sell my house quick closing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IFERROR(__xludf.DUMMYFUNCTION("""COMPUTED_VALUE"""),"cash offer for my house quick closing")</f>
        <v>cash offer for my house quick closing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IFERROR(__xludf.DUMMYFUNCTION("""COMPUTED_VALUE"""),"get cash offer for house quick closing")</f>
        <v>get cash offer for house quick closing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IFERROR(__xludf.DUMMYFUNCTION("""COMPUTED_VALUE"""),"free cash offer for house quick closing")</f>
        <v>free cash offer for house quick closing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IFERROR(__xludf.DUMMYFUNCTION("""COMPUTED_VALUE"""),"no obligation cash offer quick closing")</f>
        <v>no obligation cash offer quick closing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IFERROR(__xludf.DUMMYFUNCTION("""COMPUTED_VALUE"""),"sell house in 7 days quick closing")</f>
        <v>sell house in 7 days quick closing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IFERROR(__xludf.DUMMYFUNCTION("""COMPUTED_VALUE"""),"close house sale fast quick closing")</f>
        <v>close house sale fast quick closing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IFERROR(__xludf.DUMMYFUNCTION("""COMPUTED_VALUE"""),"we buy your house for cash quick closing")</f>
        <v>we buy your house for cash quick closing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IFERROR(__xludf.DUMMYFUNCTION("""COMPUTED_VALUE"""),"quick home sale quick closing")</f>
        <v>quick home sale quick closing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IFERROR(__xludf.DUMMYFUNCTION("""COMPUTED_VALUE"""),"sell my house today choose closing date")</f>
        <v>sell my house today choose closing date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IFERROR(__xludf.DUMMYFUNCTION("""COMPUTED_VALUE"""),"looking to sell my house choose closing date")</f>
        <v>looking to sell my house choose closing date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IFERROR(__xludf.DUMMYFUNCTION("""COMPUTED_VALUE"""),"cash offer for my house choose closing date")</f>
        <v>cash offer for my house choose closing date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IFERROR(__xludf.DUMMYFUNCTION("""COMPUTED_VALUE"""),"get cash offer for house choose closing date")</f>
        <v>get cash offer for house choose closing date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IFERROR(__xludf.DUMMYFUNCTION("""COMPUTED_VALUE"""),"free cash offer for house choose closing date")</f>
        <v>free cash offer for house choose closing date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IFERROR(__xludf.DUMMYFUNCTION("""COMPUTED_VALUE"""),"no obligation cash offer choose closing date")</f>
        <v>no obligation cash offer choose closing date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IFERROR(__xludf.DUMMYFUNCTION("""COMPUTED_VALUE"""),"sell house in 7 days choose closing date")</f>
        <v>sell house in 7 days choose closing date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IFERROR(__xludf.DUMMYFUNCTION("""COMPUTED_VALUE"""),"close house sale fast choose closing date")</f>
        <v>close house sale fast choose closing date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IFERROR(__xludf.DUMMYFUNCTION("""COMPUTED_VALUE"""),"we buy your house for cash choose closing date")</f>
        <v>we buy your house for cash choose closing date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IFERROR(__xludf.DUMMYFUNCTION("""COMPUTED_VALUE"""),"quick home sale choose closing date")</f>
        <v>quick home sale choose closing date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IFERROR(__xludf.DUMMYFUNCTION("""COMPUTED_VALUE"""),"sell my house today no obligation")</f>
        <v>sell my house today no obligation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IFERROR(__xludf.DUMMYFUNCTION("""COMPUTED_VALUE"""),"looking to sell my house no obligation")</f>
        <v>looking to sell my house no obligation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IFERROR(__xludf.DUMMYFUNCTION("""COMPUTED_VALUE"""),"cash offer for my house no obligation")</f>
        <v>cash offer for my house no obligation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IFERROR(__xludf.DUMMYFUNCTION("""COMPUTED_VALUE"""),"get cash offer for house no obligation")</f>
        <v>get cash offer for house no obligation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IFERROR(__xludf.DUMMYFUNCTION("""COMPUTED_VALUE"""),"free cash offer for house no obligation")</f>
        <v>free cash offer for house no obligation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IFERROR(__xludf.DUMMYFUNCTION("""COMPUTED_VALUE"""),"no obligation cash offer")</f>
        <v>no obligation cash offer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IFERROR(__xludf.DUMMYFUNCTION("""COMPUTED_VALUE"""),"sell house in 7 days no obligation")</f>
        <v>sell house in 7 days no obligation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IFERROR(__xludf.DUMMYFUNCTION("""COMPUTED_VALUE"""),"close house sale fast no obligation")</f>
        <v>close house sale fast no obligation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IFERROR(__xludf.DUMMYFUNCTION("""COMPUTED_VALUE"""),"we buy your house for cash no obligation")</f>
        <v>we buy your house for cash no obligation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IFERROR(__xludf.DUMMYFUNCTION("""COMPUTED_VALUE"""),"quick home sale no obligation")</f>
        <v>quick home sale no obligation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IFERROR(__xludf.DUMMYFUNCTION("""COMPUTED_VALUE"""),"sell my house today fair offer")</f>
        <v>sell my house today fair offer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IFERROR(__xludf.DUMMYFUNCTION("""COMPUTED_VALUE"""),"looking to sell my house fair offer")</f>
        <v>looking to sell my house fair offer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IFERROR(__xludf.DUMMYFUNCTION("""COMPUTED_VALUE"""),"cash offer for my house fair offer")</f>
        <v>cash offer for my house fair offer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IFERROR(__xludf.DUMMYFUNCTION("""COMPUTED_VALUE"""),"get cash offer for house fair offer")</f>
        <v>get cash offer for house fair offer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IFERROR(__xludf.DUMMYFUNCTION("""COMPUTED_VALUE"""),"free cash offer for house fair offer")</f>
        <v>free cash offer for house fair offer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IFERROR(__xludf.DUMMYFUNCTION("""COMPUTED_VALUE"""),"no obligation cash offer fair offer")</f>
        <v>no obligation cash offer fair offer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IFERROR(__xludf.DUMMYFUNCTION("""COMPUTED_VALUE"""),"sell house in 7 days fair offer")</f>
        <v>sell house in 7 days fair offer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IFERROR(__xludf.DUMMYFUNCTION("""COMPUTED_VALUE"""),"close house sale fast fair offer")</f>
        <v>close house sale fast fair offer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IFERROR(__xludf.DUMMYFUNCTION("""COMPUTED_VALUE"""),"we buy your house for cash fair offer")</f>
        <v>we buy your house for cash fair offer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IFERROR(__xludf.DUMMYFUNCTION("""COMPUTED_VALUE"""),"quick home sale fair offer")</f>
        <v>quick home sale fair offer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IFERROR(__xludf.DUMMYFUNCTION("""COMPUTED_VALUE"""),"sell my house today highest offer")</f>
        <v>sell my house today highest offer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IFERROR(__xludf.DUMMYFUNCTION("""COMPUTED_VALUE"""),"looking to sell my house highest offer")</f>
        <v>looking to sell my house highest offer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IFERROR(__xludf.DUMMYFUNCTION("""COMPUTED_VALUE"""),"cash offer for my house highest offer")</f>
        <v>cash offer for my house highest offer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IFERROR(__xludf.DUMMYFUNCTION("""COMPUTED_VALUE"""),"get cash offer for house highest offer")</f>
        <v>get cash offer for house highest offer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IFERROR(__xludf.DUMMYFUNCTION("""COMPUTED_VALUE"""),"free cash offer for house highest offer")</f>
        <v>free cash offer for house highest offer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IFERROR(__xludf.DUMMYFUNCTION("""COMPUTED_VALUE"""),"no obligation cash offer highest offer")</f>
        <v>no obligation cash offer highest offer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IFERROR(__xludf.DUMMYFUNCTION("""COMPUTED_VALUE"""),"sell house in 7 days highest offer")</f>
        <v>sell house in 7 days highest offer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IFERROR(__xludf.DUMMYFUNCTION("""COMPUTED_VALUE"""),"close house sale fast highest offer")</f>
        <v>close house sale fast highest offer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IFERROR(__xludf.DUMMYFUNCTION("""COMPUTED_VALUE"""),"we buy your house for cash highest offer")</f>
        <v>we buy your house for cash highest offer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IFERROR(__xludf.DUMMYFUNCTION("""COMPUTED_VALUE"""),"quick home sale highest offer")</f>
        <v>quick home sale highest offer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IFERROR(__xludf.DUMMYFUNCTION("""COMPUTED_VALUE"""),"sell my house today all cash")</f>
        <v>sell my house today all cash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IFERROR(__xludf.DUMMYFUNCTION("""COMPUTED_VALUE"""),"looking to sell my house all cash")</f>
        <v>looking to sell my house all cash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IFERROR(__xludf.DUMMYFUNCTION("""COMPUTED_VALUE"""),"cash offer for my house all cash")</f>
        <v>cash offer for my house all cash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IFERROR(__xludf.DUMMYFUNCTION("""COMPUTED_VALUE"""),"get cash offer for house all cash")</f>
        <v>get cash offer for house all cash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IFERROR(__xludf.DUMMYFUNCTION("""COMPUTED_VALUE"""),"free cash offer for house all cash")</f>
        <v>free cash offer for house all cash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IFERROR(__xludf.DUMMYFUNCTION("""COMPUTED_VALUE"""),"no obligation cash offer all cash")</f>
        <v>no obligation cash offer all cash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IFERROR(__xludf.DUMMYFUNCTION("""COMPUTED_VALUE"""),"sell house in 7 days all cash")</f>
        <v>sell house in 7 days all cash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IFERROR(__xludf.DUMMYFUNCTION("""COMPUTED_VALUE"""),"close house sale fast all cash")</f>
        <v>close house sale fast all cash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IFERROR(__xludf.DUMMYFUNCTION("""COMPUTED_VALUE"""),"we buy your house for cash all cash")</f>
        <v>we buy your house for cash all cash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IFERROR(__xludf.DUMMYFUNCTION("""COMPUTED_VALUE"""),"quick home sale all cash")</f>
        <v>quick home sale all cash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IFERROR(__xludf.DUMMYFUNCTION("""COMPUTED_VALUE"""),"sell my house today cash buyer")</f>
        <v>sell my house today cash buyer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IFERROR(__xludf.DUMMYFUNCTION("""COMPUTED_VALUE"""),"looking to sell my house cash buyer")</f>
        <v>looking to sell my house cash buyer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IFERROR(__xludf.DUMMYFUNCTION("""COMPUTED_VALUE"""),"cash offer for my house cash buyer")</f>
        <v>cash offer for my house cash buyer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IFERROR(__xludf.DUMMYFUNCTION("""COMPUTED_VALUE"""),"get cash offer for house cash buyer")</f>
        <v>get cash offer for house cash buyer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IFERROR(__xludf.DUMMYFUNCTION("""COMPUTED_VALUE"""),"free cash offer for house cash buyer")</f>
        <v>free cash offer for house cash buyer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IFERROR(__xludf.DUMMYFUNCTION("""COMPUTED_VALUE"""),"no obligation cash offer cash buyer")</f>
        <v>no obligation cash offer cash buyer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IFERROR(__xludf.DUMMYFUNCTION("""COMPUTED_VALUE"""),"sell house in 7 days cash buyer")</f>
        <v>sell house in 7 days cash buyer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IFERROR(__xludf.DUMMYFUNCTION("""COMPUTED_VALUE"""),"close house sale fast cash buyer")</f>
        <v>close house sale fast cash buyer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IFERROR(__xludf.DUMMYFUNCTION("""COMPUTED_VALUE"""),"we buy your house for cash cash buyer")</f>
        <v>we buy your house for cash cash buyer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IFERROR(__xludf.DUMMYFUNCTION("""COMPUTED_VALUE"""),"quick home sale cash buyer")</f>
        <v>quick home sale cash buyer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IFERROR(__xludf.DUMMYFUNCTION("""COMPUTED_VALUE"""),"sell my house today guaranteed closing")</f>
        <v>sell my house today guaranteed closing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IFERROR(__xludf.DUMMYFUNCTION("""COMPUTED_VALUE"""),"looking to sell my house guaranteed closing")</f>
        <v>looking to sell my house guaranteed closing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IFERROR(__xludf.DUMMYFUNCTION("""COMPUTED_VALUE"""),"cash offer for my house guaranteed closing")</f>
        <v>cash offer for my house guaranteed closing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IFERROR(__xludf.DUMMYFUNCTION("""COMPUTED_VALUE"""),"get cash offer for house guaranteed closing")</f>
        <v>get cash offer for house guaranteed closing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IFERROR(__xludf.DUMMYFUNCTION("""COMPUTED_VALUE"""),"free cash offer for house guaranteed closing")</f>
        <v>free cash offer for house guaranteed closing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IFERROR(__xludf.DUMMYFUNCTION("""COMPUTED_VALUE"""),"no obligation cash offer guaranteed closing")</f>
        <v>no obligation cash offer guaranteed closing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IFERROR(__xludf.DUMMYFUNCTION("""COMPUTED_VALUE"""),"sell house in 7 days guaranteed closing")</f>
        <v>sell house in 7 days guaranteed closing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IFERROR(__xludf.DUMMYFUNCTION("""COMPUTED_VALUE"""),"close house sale fast guaranteed closing")</f>
        <v>close house sale fast guaranteed closing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IFERROR(__xludf.DUMMYFUNCTION("""COMPUTED_VALUE"""),"we buy your house for cash guaranteed closing")</f>
        <v>we buy your house for cash guaranteed closing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IFERROR(__xludf.DUMMYFUNCTION("""COMPUTED_VALUE"""),"quick home sale guaranteed closing")</f>
        <v>quick home sale guaranteed closing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IFERROR(__xludf.DUMMYFUNCTION("""COMPUTED_VALUE"""),"sell my house today no financing contingency")</f>
        <v>sell my house today no financing contingency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IFERROR(__xludf.DUMMYFUNCTION("""COMPUTED_VALUE"""),"looking to sell my house no financing contingency")</f>
        <v>looking to sell my house no financing contingency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IFERROR(__xludf.DUMMYFUNCTION("""COMPUTED_VALUE"""),"cash offer for my house no financing contingency")</f>
        <v>cash offer for my house no financing contingency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IFERROR(__xludf.DUMMYFUNCTION("""COMPUTED_VALUE"""),"get cash offer for house no financing contingency")</f>
        <v>get cash offer for house no financing contingency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IFERROR(__xludf.DUMMYFUNCTION("""COMPUTED_VALUE"""),"free cash offer for house no financing contingency")</f>
        <v>free cash offer for house no financing contingency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IFERROR(__xludf.DUMMYFUNCTION("""COMPUTED_VALUE"""),"no obligation cash offer no financing contingency")</f>
        <v>no obligation cash offer no financing contingency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IFERROR(__xludf.DUMMYFUNCTION("""COMPUTED_VALUE"""),"sell house in 7 days no financing contingency")</f>
        <v>sell house in 7 days no financing contingency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IFERROR(__xludf.DUMMYFUNCTION("""COMPUTED_VALUE"""),"close house sale fast no financing contingency")</f>
        <v>close house sale fast no financing contingency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IFERROR(__xludf.DUMMYFUNCTION("""COMPUTED_VALUE"""),"we buy your house for cash no financing contingency")</f>
        <v>we buy your house for cash no financing contingency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IFERROR(__xludf.DUMMYFUNCTION("""COMPUTED_VALUE"""),"quick home sale no financing contingency")</f>
        <v>quick home sale no financing contingency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IFERROR(__xludf.DUMMYFUNCTION("""COMPUTED_VALUE"""),"sell my house today simple process")</f>
        <v>sell my house today simple process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IFERROR(__xludf.DUMMYFUNCTION("""COMPUTED_VALUE"""),"looking to sell my house simple process")</f>
        <v>looking to sell my house simple process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IFERROR(__xludf.DUMMYFUNCTION("""COMPUTED_VALUE"""),"cash offer for my house simple process")</f>
        <v>cash offer for my house simple process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IFERROR(__xludf.DUMMYFUNCTION("""COMPUTED_VALUE"""),"get cash offer for house simple process")</f>
        <v>get cash offer for house simple process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IFERROR(__xludf.DUMMYFUNCTION("""COMPUTED_VALUE"""),"free cash offer for house simple process")</f>
        <v>free cash offer for house simple process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IFERROR(__xludf.DUMMYFUNCTION("""COMPUTED_VALUE"""),"no obligation cash offer simple process")</f>
        <v>no obligation cash offer simple process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IFERROR(__xludf.DUMMYFUNCTION("""COMPUTED_VALUE"""),"sell house in 7 days simple process")</f>
        <v>sell house in 7 days simple process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IFERROR(__xludf.DUMMYFUNCTION("""COMPUTED_VALUE"""),"close house sale fast simple process")</f>
        <v>close house sale fast simple process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IFERROR(__xludf.DUMMYFUNCTION("""COMPUTED_VALUE"""),"we buy your house for cash simple process")</f>
        <v>we buy your house for cash simple process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IFERROR(__xludf.DUMMYFUNCTION("""COMPUTED_VALUE"""),"quick home sale simple process")</f>
        <v>quick home sale simple process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IFERROR(__xludf.DUMMYFUNCTION("""COMPUTED_VALUE"""),"sell my house today hassle free")</f>
        <v>sell my house today hassle free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IFERROR(__xludf.DUMMYFUNCTION("""COMPUTED_VALUE"""),"looking to sell my house hassle free")</f>
        <v>looking to sell my house hassle free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IFERROR(__xludf.DUMMYFUNCTION("""COMPUTED_VALUE"""),"cash offer for my house hassle free")</f>
        <v>cash offer for my house hassle free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IFERROR(__xludf.DUMMYFUNCTION("""COMPUTED_VALUE"""),"get cash offer for house hassle free")</f>
        <v>get cash offer for house hassle free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IFERROR(__xludf.DUMMYFUNCTION("""COMPUTED_VALUE"""),"free cash offer for house hassle free")</f>
        <v>free cash offer for house hassle free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IFERROR(__xludf.DUMMYFUNCTION("""COMPUTED_VALUE"""),"no obligation cash offer hassle free")</f>
        <v>no obligation cash offer hassle free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IFERROR(__xludf.DUMMYFUNCTION("""COMPUTED_VALUE"""),"sell house in 7 days hassle free")</f>
        <v>sell house in 7 days hassle free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IFERROR(__xludf.DUMMYFUNCTION("""COMPUTED_VALUE"""),"close house sale fast hassle free")</f>
        <v>close house sale fast hassle free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IFERROR(__xludf.DUMMYFUNCTION("""COMPUTED_VALUE"""),"we buy your house for cash hassle free")</f>
        <v>we buy your house for cash hassle free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IFERROR(__xludf.DUMMYFUNCTION("""COMPUTED_VALUE"""),"quick home sale hassle free")</f>
        <v>quick home sale hassle free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IFERROR(__xludf.DUMMYFUNCTION("""COMPUTED_VALUE"""),"sell my house today stress free")</f>
        <v>sell my house today stress free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IFERROR(__xludf.DUMMYFUNCTION("""COMPUTED_VALUE"""),"looking to sell my house stress free")</f>
        <v>looking to sell my house stress free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IFERROR(__xludf.DUMMYFUNCTION("""COMPUTED_VALUE"""),"cash offer for my house stress free")</f>
        <v>cash offer for my house stress free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IFERROR(__xludf.DUMMYFUNCTION("""COMPUTED_VALUE"""),"get cash offer for house stress free")</f>
        <v>get cash offer for house stress free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IFERROR(__xludf.DUMMYFUNCTION("""COMPUTED_VALUE"""),"free cash offer for house stress free")</f>
        <v>free cash offer for house stress free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IFERROR(__xludf.DUMMYFUNCTION("""COMPUTED_VALUE"""),"no obligation cash offer stress free")</f>
        <v>no obligation cash offer stress free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IFERROR(__xludf.DUMMYFUNCTION("""COMPUTED_VALUE"""),"sell house in 7 days stress free")</f>
        <v>sell house in 7 days stress free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IFERROR(__xludf.DUMMYFUNCTION("""COMPUTED_VALUE"""),"close house sale fast stress free")</f>
        <v>close house sale fast stress free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IFERROR(__xludf.DUMMYFUNCTION("""COMPUTED_VALUE"""),"we buy your house for cash stress free")</f>
        <v>we buy your house for cash stress free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IFERROR(__xludf.DUMMYFUNCTION("""COMPUTED_VALUE"""),"quick home sale stress free")</f>
        <v>quick home sale stress free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IFERROR(__xludf.DUMMYFUNCTION("""COMPUTED_VALUE"""),"sell my house today online form")</f>
        <v>sell my house today online form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IFERROR(__xludf.DUMMYFUNCTION("""COMPUTED_VALUE"""),"looking to sell my house online form")</f>
        <v>looking to sell my house online form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IFERROR(__xludf.DUMMYFUNCTION("""COMPUTED_VALUE"""),"cash offer for my house online form")</f>
        <v>cash offer for my house online form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IFERROR(__xludf.DUMMYFUNCTION("""COMPUTED_VALUE"""),"get cash offer for house online form")</f>
        <v>get cash offer for house online form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IFERROR(__xludf.DUMMYFUNCTION("""COMPUTED_VALUE"""),"free cash offer for house online form")</f>
        <v>free cash offer for house online form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IFERROR(__xludf.DUMMYFUNCTION("""COMPUTED_VALUE"""),"no obligation cash offer online form")</f>
        <v>no obligation cash offer online form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IFERROR(__xludf.DUMMYFUNCTION("""COMPUTED_VALUE"""),"sell house in 7 days online form")</f>
        <v>sell house in 7 days online form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IFERROR(__xludf.DUMMYFUNCTION("""COMPUTED_VALUE"""),"close house sale fast online form")</f>
        <v>close house sale fast online form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IFERROR(__xludf.DUMMYFUNCTION("""COMPUTED_VALUE"""),"we buy your house for cash online form")</f>
        <v>we buy your house for cash online form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IFERROR(__xludf.DUMMYFUNCTION("""COMPUTED_VALUE"""),"quick home sale online form")</f>
        <v>quick home sale online form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IFERROR(__xludf.DUMMYFUNCTION("""COMPUTED_VALUE"""),"sell my house today phone call")</f>
        <v>sell my house today phone call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IFERROR(__xludf.DUMMYFUNCTION("""COMPUTED_VALUE"""),"looking to sell my house phone call")</f>
        <v>looking to sell my house phone call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IFERROR(__xludf.DUMMYFUNCTION("""COMPUTED_VALUE"""),"cash offer for my house phone call")</f>
        <v>cash offer for my house phone call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IFERROR(__xludf.DUMMYFUNCTION("""COMPUTED_VALUE"""),"get cash offer for house phone call")</f>
        <v>get cash offer for house phone call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IFERROR(__xludf.DUMMYFUNCTION("""COMPUTED_VALUE"""),"free cash offer for house phone call")</f>
        <v>free cash offer for house phone call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IFERROR(__xludf.DUMMYFUNCTION("""COMPUTED_VALUE"""),"no obligation cash offer phone call")</f>
        <v>no obligation cash offer phone call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IFERROR(__xludf.DUMMYFUNCTION("""COMPUTED_VALUE"""),"sell house in 7 days phone call")</f>
        <v>sell house in 7 days phone call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IFERROR(__xludf.DUMMYFUNCTION("""COMPUTED_VALUE"""),"close house sale fast phone call")</f>
        <v>close house sale fast phone call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IFERROR(__xludf.DUMMYFUNCTION("""COMPUTED_VALUE"""),"we buy your house for cash phone call")</f>
        <v>we buy your house for cash phone call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IFERROR(__xludf.DUMMYFUNCTION("""COMPUTED_VALUE"""),"quick home sale phone call")</f>
        <v>quick home sale phone call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IFERROR(__xludf.DUMMYFUNCTION("""COMPUTED_VALUE"""),"sell my house today appointment")</f>
        <v>sell my house today appointment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IFERROR(__xludf.DUMMYFUNCTION("""COMPUTED_VALUE"""),"looking to sell my house appointment")</f>
        <v>looking to sell my house appointment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IFERROR(__xludf.DUMMYFUNCTION("""COMPUTED_VALUE"""),"cash offer for my house appointment")</f>
        <v>cash offer for my house appointment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IFERROR(__xludf.DUMMYFUNCTION("""COMPUTED_VALUE"""),"get cash offer for house appointment")</f>
        <v>get cash offer for house appointment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IFERROR(__xludf.DUMMYFUNCTION("""COMPUTED_VALUE"""),"free cash offer for house appointment")</f>
        <v>free cash offer for house appointment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IFERROR(__xludf.DUMMYFUNCTION("""COMPUTED_VALUE"""),"no obligation cash offer appointment")</f>
        <v>no obligation cash offer appointment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IFERROR(__xludf.DUMMYFUNCTION("""COMPUTED_VALUE"""),"sell house in 7 days appointment")</f>
        <v>sell house in 7 days appointment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IFERROR(__xludf.DUMMYFUNCTION("""COMPUTED_VALUE"""),"close house sale fast appointment")</f>
        <v>close house sale fast appointment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IFERROR(__xludf.DUMMYFUNCTION("""COMPUTED_VALUE"""),"we buy your house for cash appointment")</f>
        <v>we buy your house for cash appointment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IFERROR(__xludf.DUMMYFUNCTION("""COMPUTED_VALUE"""),"quick home sale appointment")</f>
        <v>quick home sale appointment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IFERROR(__xludf.DUMMYFUNCTION("""COMPUTED_VALUE"""),"sell my house today closing costs paid")</f>
        <v>sell my house today closing costs paid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IFERROR(__xludf.DUMMYFUNCTION("""COMPUTED_VALUE"""),"looking to sell my house closing costs paid")</f>
        <v>looking to sell my house closing costs paid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IFERROR(__xludf.DUMMYFUNCTION("""COMPUTED_VALUE"""),"cash offer for my house closing costs paid")</f>
        <v>cash offer for my house closing costs paid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IFERROR(__xludf.DUMMYFUNCTION("""COMPUTED_VALUE"""),"get cash offer for house closing costs paid")</f>
        <v>get cash offer for house closing costs paid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IFERROR(__xludf.DUMMYFUNCTION("""COMPUTED_VALUE"""),"free cash offer for house closing costs paid")</f>
        <v>free cash offer for house closing costs paid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IFERROR(__xludf.DUMMYFUNCTION("""COMPUTED_VALUE"""),"no obligation cash offer closing costs paid")</f>
        <v>no obligation cash offer closing costs paid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IFERROR(__xludf.DUMMYFUNCTION("""COMPUTED_VALUE"""),"sell house in 7 days closing costs paid")</f>
        <v>sell house in 7 days closing costs paid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IFERROR(__xludf.DUMMYFUNCTION("""COMPUTED_VALUE"""),"close house sale fast closing costs paid")</f>
        <v>close house sale fast closing costs paid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IFERROR(__xludf.DUMMYFUNCTION("""COMPUTED_VALUE"""),"we buy your house for cash closing costs paid")</f>
        <v>we buy your house for cash closing costs paid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IFERROR(__xludf.DUMMYFUNCTION("""COMPUTED_VALUE"""),"quick home sale closing costs paid")</f>
        <v>quick home sale closing costs paid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IFERROR(__xludf.DUMMYFUNCTION("""COMPUTED_VALUE"""),"sell my house today no waiting")</f>
        <v>sell my house today no waiting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IFERROR(__xludf.DUMMYFUNCTION("""COMPUTED_VALUE"""),"looking to sell my house no waiting")</f>
        <v>looking to sell my house no waiting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IFERROR(__xludf.DUMMYFUNCTION("""COMPUTED_VALUE"""),"cash offer for my house no waiting")</f>
        <v>cash offer for my house no waiting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IFERROR(__xludf.DUMMYFUNCTION("""COMPUTED_VALUE"""),"get cash offer for house no waiting")</f>
        <v>get cash offer for house no waiting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IFERROR(__xludf.DUMMYFUNCTION("""COMPUTED_VALUE"""),"free cash offer for house no waiting")</f>
        <v>free cash offer for house no waiting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IFERROR(__xludf.DUMMYFUNCTION("""COMPUTED_VALUE"""),"no obligation cash offer no waiting")</f>
        <v>no obligation cash offer no waiting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IFERROR(__xludf.DUMMYFUNCTION("""COMPUTED_VALUE"""),"sell house in 7 days no waiting")</f>
        <v>sell house in 7 days no waiting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IFERROR(__xludf.DUMMYFUNCTION("""COMPUTED_VALUE"""),"close house sale fast no waiting")</f>
        <v>close house sale fast no waiting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IFERROR(__xludf.DUMMYFUNCTION("""COMPUTED_VALUE"""),"we buy your house for cash no waiting")</f>
        <v>we buy your house for cash no waiting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IFERROR(__xludf.DUMMYFUNCTION("""COMPUTED_VALUE"""),"quick home sale no waiting")</f>
        <v>quick home sale no waiting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IFERROR(__xludf.DUMMYFUNCTION("""COMPUTED_VALUE"""),"sell my house today avoid showings")</f>
        <v>sell my house today avoid showings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IFERROR(__xludf.DUMMYFUNCTION("""COMPUTED_VALUE"""),"looking to sell my house avoid showings")</f>
        <v>looking to sell my house avoid showings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IFERROR(__xludf.DUMMYFUNCTION("""COMPUTED_VALUE"""),"cash offer for my house avoid showings")</f>
        <v>cash offer for my house avoid showings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IFERROR(__xludf.DUMMYFUNCTION("""COMPUTED_VALUE"""),"get cash offer for house avoid showings")</f>
        <v>get cash offer for house avoid showings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IFERROR(__xludf.DUMMYFUNCTION("""COMPUTED_VALUE"""),"free cash offer for house avoid showings")</f>
        <v>free cash offer for house avoid showings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IFERROR(__xludf.DUMMYFUNCTION("""COMPUTED_VALUE"""),"no obligation cash offer avoid showings")</f>
        <v>no obligation cash offer avoid showings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IFERROR(__xludf.DUMMYFUNCTION("""COMPUTED_VALUE"""),"sell house in 7 days avoid showings")</f>
        <v>sell house in 7 days avoid showings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IFERROR(__xludf.DUMMYFUNCTION("""COMPUTED_VALUE"""),"close house sale fast avoid showings")</f>
        <v>close house sale fast avoid showings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IFERROR(__xludf.DUMMYFUNCTION("""COMPUTED_VALUE"""),"we buy your house for cash avoid showings")</f>
        <v>we buy your house for cash avoid showings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IFERROR(__xludf.DUMMYFUNCTION("""COMPUTED_VALUE"""),"quick home sale avoid showings")</f>
        <v>quick home sale avoid showings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IFERROR(__xludf.DUMMYFUNCTION("""COMPUTED_VALUE"""),"sell my house today avoid inspections")</f>
        <v>sell my house today avoid inspections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IFERROR(__xludf.DUMMYFUNCTION("""COMPUTED_VALUE"""),"looking to sell my house avoid inspections")</f>
        <v>looking to sell my house avoid inspections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IFERROR(__xludf.DUMMYFUNCTION("""COMPUTED_VALUE"""),"cash offer for my house avoid inspections")</f>
        <v>cash offer for my house avoid inspections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IFERROR(__xludf.DUMMYFUNCTION("""COMPUTED_VALUE"""),"get cash offer for house avoid inspections")</f>
        <v>get cash offer for house avoid inspections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IFERROR(__xludf.DUMMYFUNCTION("""COMPUTED_VALUE"""),"free cash offer for house avoid inspections")</f>
        <v>free cash offer for house avoid inspections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IFERROR(__xludf.DUMMYFUNCTION("""COMPUTED_VALUE"""),"no obligation cash offer avoid inspections")</f>
        <v>no obligation cash offer avoid inspections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IFERROR(__xludf.DUMMYFUNCTION("""COMPUTED_VALUE"""),"sell house in 7 days avoid inspections")</f>
        <v>sell house in 7 days avoid inspections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IFERROR(__xludf.DUMMYFUNCTION("""COMPUTED_VALUE"""),"close house sale fast avoid inspections")</f>
        <v>close house sale fast avoid inspections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IFERROR(__xludf.DUMMYFUNCTION("""COMPUTED_VALUE"""),"we buy your house for cash avoid inspections")</f>
        <v>we buy your house for cash avoid inspections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IFERROR(__xludf.DUMMYFUNCTION("""COMPUTED_VALUE"""),"quick home sale avoid inspections")</f>
        <v>quick home sale avoid inspections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IFERROR(__xludf.DUMMYFUNCTION("""COMPUTED_VALUE"""),"sell my house today move quickly")</f>
        <v>sell my house today move quickly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IFERROR(__xludf.DUMMYFUNCTION("""COMPUTED_VALUE"""),"looking to sell my house move quickly")</f>
        <v>looking to sell my house move quickly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IFERROR(__xludf.DUMMYFUNCTION("""COMPUTED_VALUE"""),"cash offer for my house move quickly")</f>
        <v>cash offer for my house move quickly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IFERROR(__xludf.DUMMYFUNCTION("""COMPUTED_VALUE"""),"get cash offer for house move quickly")</f>
        <v>get cash offer for house move quickly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IFERROR(__xludf.DUMMYFUNCTION("""COMPUTED_VALUE"""),"free cash offer for house move quickly")</f>
        <v>free cash offer for house move quickly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IFERROR(__xludf.DUMMYFUNCTION("""COMPUTED_VALUE"""),"no obligation cash offer move quickly")</f>
        <v>no obligation cash offer move quickly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IFERROR(__xludf.DUMMYFUNCTION("""COMPUTED_VALUE"""),"sell house in 7 days move quickly")</f>
        <v>sell house in 7 days move quickly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IFERROR(__xludf.DUMMYFUNCTION("""COMPUTED_VALUE"""),"close house sale fast move quickly")</f>
        <v>close house sale fast move quickly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IFERROR(__xludf.DUMMYFUNCTION("""COMPUTED_VALUE"""),"we buy your house for cash move quickly")</f>
        <v>we buy your house for cash move quickly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IFERROR(__xludf.DUMMYFUNCTION("""COMPUTED_VALUE"""),"quick home sale move quickly")</f>
        <v>quick home sale move quickly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IFERROR(__xludf.DUMMYFUNCTION("""COMPUTED_VALUE"""),"sell my house today flexible closing")</f>
        <v>sell my house today flexible closing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IFERROR(__xludf.DUMMYFUNCTION("""COMPUTED_VALUE"""),"looking to sell my house flexible closing")</f>
        <v>looking to sell my house flexible closing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IFERROR(__xludf.DUMMYFUNCTION("""COMPUTED_VALUE"""),"cash offer for my house flexible closing")</f>
        <v>cash offer for my house flexible closing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IFERROR(__xludf.DUMMYFUNCTION("""COMPUTED_VALUE"""),"get cash offer for house flexible closing")</f>
        <v>get cash offer for house flexible closing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IFERROR(__xludf.DUMMYFUNCTION("""COMPUTED_VALUE"""),"free cash offer for house flexible closing")</f>
        <v>free cash offer for house flexible closing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IFERROR(__xludf.DUMMYFUNCTION("""COMPUTED_VALUE"""),"no obligation cash offer flexible closing")</f>
        <v>no obligation cash offer flexible closing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IFERROR(__xludf.DUMMYFUNCTION("""COMPUTED_VALUE"""),"sell house in 7 days flexible closing")</f>
        <v>sell house in 7 days flexible closing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IFERROR(__xludf.DUMMYFUNCTION("""COMPUTED_VALUE"""),"close house sale fast flexible closing")</f>
        <v>close house sale fast flexible closing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IFERROR(__xludf.DUMMYFUNCTION("""COMPUTED_VALUE"""),"we buy your house for cash flexible closing")</f>
        <v>we buy your house for cash flexible closing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IFERROR(__xludf.DUMMYFUNCTION("""COMPUTED_VALUE"""),"quick home sale flexible closing")</f>
        <v>quick home sale flexible closing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IFERROR(__xludf.DUMMYFUNCTION("""COMPUTED_VALUE"""),"sell my house today deadline")</f>
        <v>sell my house today deadline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IFERROR(__xludf.DUMMYFUNCTION("""COMPUTED_VALUE"""),"looking to sell my house deadline")</f>
        <v>looking to sell my house deadline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IFERROR(__xludf.DUMMYFUNCTION("""COMPUTED_VALUE"""),"cash offer for my house deadline")</f>
        <v>cash offer for my house deadline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IFERROR(__xludf.DUMMYFUNCTION("""COMPUTED_VALUE"""),"get cash offer for house deadline")</f>
        <v>get cash offer for house deadline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IFERROR(__xludf.DUMMYFUNCTION("""COMPUTED_VALUE"""),"free cash offer for house deadline")</f>
        <v>free cash offer for house deadline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IFERROR(__xludf.DUMMYFUNCTION("""COMPUTED_VALUE"""),"no obligation cash offer deadline")</f>
        <v>no obligation cash offer deadline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IFERROR(__xludf.DUMMYFUNCTION("""COMPUTED_VALUE"""),"sell house in 7 days deadline")</f>
        <v>sell house in 7 days deadline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IFERROR(__xludf.DUMMYFUNCTION("""COMPUTED_VALUE"""),"close house sale fast deadline")</f>
        <v>close house sale fast deadline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IFERROR(__xludf.DUMMYFUNCTION("""COMPUTED_VALUE"""),"we buy your house for cash deadline")</f>
        <v>we buy your house for cash deadline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IFERROR(__xludf.DUMMYFUNCTION("""COMPUTED_VALUE"""),"quick home sale deadline")</f>
        <v>quick home sale deadline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IFERROR(__xludf.DUMMYFUNCTION("""COMPUTED_VALUE"""),"sell my house today emergency sale")</f>
        <v>sell my house today emergency sale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IFERROR(__xludf.DUMMYFUNCTION("""COMPUTED_VALUE"""),"looking to sell my house emergency sale")</f>
        <v>looking to sell my house emergency sale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IFERROR(__xludf.DUMMYFUNCTION("""COMPUTED_VALUE"""),"cash offer for my house emergency sale")</f>
        <v>cash offer for my house emergency sale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IFERROR(__xludf.DUMMYFUNCTION("""COMPUTED_VALUE"""),"get cash offer for house emergency sale")</f>
        <v>get cash offer for house emergency sale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IFERROR(__xludf.DUMMYFUNCTION("""COMPUTED_VALUE"""),"free cash offer for house emergency sale")</f>
        <v>free cash offer for house emergency sale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IFERROR(__xludf.DUMMYFUNCTION("""COMPUTED_VALUE"""),"no obligation cash offer emergency sale")</f>
        <v>no obligation cash offer emergency sale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IFERROR(__xludf.DUMMYFUNCTION("""COMPUTED_VALUE"""),"sell house in 7 days emergency sale")</f>
        <v>sell house in 7 days emergency sale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IFERROR(__xludf.DUMMYFUNCTION("""COMPUTED_VALUE"""),"close house sale fast emergency sale")</f>
        <v>close house sale fast emergency sale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IFERROR(__xludf.DUMMYFUNCTION("""COMPUTED_VALUE"""),"we buy your house for cash emergency sale")</f>
        <v>we buy your house for cash emergency sale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IFERROR(__xludf.DUMMYFUNCTION("""COMPUTED_VALUE"""),"quick home sale emergency sale")</f>
        <v>quick home sale emergency sale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IFERROR(__xludf.DUMMYFUNCTION("""COMPUTED_VALUE"""),"")</f>
        <v/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IFERROR(__xludf.DUMMYFUNCTION("""COMPUTED_VALUE"""),"")</f>
        <v/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IFERROR(__xludf.DUMMYFUNCTION("""COMPUTED_VALUE"""),"")</f>
        <v/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IFERROR(__xludf.DUMMYFUNCTION("""COMPUTED_VALUE"""),"")</f>
        <v/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IFERROR(__xludf.DUMMYFUNCTION("""COMPUTED_VALUE"""),"")</f>
        <v/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IFERROR(__xludf.DUMMYFUNCTION("""COMPUTED_VALUE"""),"")</f>
        <v/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IFERROR(__xludf.DUMMYFUNCTION("""COMPUTED_VALUE"""),"")</f>
        <v/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IFERROR(__xludf.DUMMYFUNCTION("""COMPUTED_VALUE"""),"")</f>
        <v/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IFERROR(__xludf.DUMMYFUNCTION("""COMPUTED_VALUE"""),"")</f>
        <v/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IFERROR(__xludf.DUMMYFUNCTION("""COMPUTED_VALUE"""),"")</f>
        <v/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 t="str">
        <f>IFERROR(__xludf.DUMMYFUNCTION("""COMPUTED_VALUE"""),"")</f>
        <v/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 t="str">
        <f>IFERROR(__xludf.DUMMYFUNCTION("""COMPUTED_VALUE"""),"")</f>
        <v/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 t="str">
        <f>IFERROR(__xludf.DUMMYFUNCTION("""COMPUTED_VALUE"""),"")</f>
        <v/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 t="str">
        <f>IFERROR(__xludf.DUMMYFUNCTION("""COMPUTED_VALUE"""),"")</f>
        <v/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 t="str">
        <f>IFERROR(__xludf.DUMMYFUNCTION("""COMPUTED_VALUE"""),"")</f>
        <v/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 t="str">
        <f>IFERROR(__xludf.DUMMYFUNCTION("""COMPUTED_VALUE"""),"")</f>
        <v/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 t="str">
        <f>IFERROR(__xludf.DUMMYFUNCTION("""COMPUTED_VALUE"""),"")</f>
        <v/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 t="str">
        <f>IFERROR(__xludf.DUMMYFUNCTION("""COMPUTED_VALUE"""),"")</f>
        <v/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 t="str">
        <f>IFERROR(__xludf.DUMMYFUNCTION("""COMPUTED_VALUE"""),"")</f>
        <v/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 t="str">
        <f>IFERROR(__xludf.DUMMYFUNCTION("""COMPUTED_VALUE"""),"")</f>
        <v/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 t="str">
        <f>IFERROR(__xludf.DUMMYFUNCTION("""COMPUTED_VALUE"""),"")</f>
        <v/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 t="str">
        <f>IFERROR(__xludf.DUMMYFUNCTION("""COMPUTED_VALUE"""),"")</f>
        <v/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 t="str">
        <f>IFERROR(__xludf.DUMMYFUNCTION("""COMPUTED_VALUE"""),"")</f>
        <v/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 t="str">
        <f>IFERROR(__xludf.DUMMYFUNCTION("""COMPUTED_VALUE"""),"")</f>
        <v/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 t="str">
        <f>IFERROR(__xludf.DUMMYFUNCTION("""COMPUTED_VALUE"""),"")</f>
        <v/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 t="str">
        <f>IFERROR(__xludf.DUMMYFUNCTION("""COMPUTED_VALUE"""),"")</f>
        <v/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 t="str">
        <f>IFERROR(__xludf.DUMMYFUNCTION("""COMPUTED_VALUE"""),"")</f>
        <v/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 t="str">
        <f>IFERROR(__xludf.DUMMYFUNCTION("""COMPUTED_VALUE"""),"")</f>
        <v/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 t="str">
        <f>IFERROR(__xludf.DUMMYFUNCTION("""COMPUTED_VALUE"""),"")</f>
        <v/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 t="str">
        <f>IFERROR(__xludf.DUMMYFUNCTION("""COMPUTED_VALUE"""),"")</f>
        <v/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 t="str">
        <f>IFERROR(__xludf.DUMMYFUNCTION("""COMPUTED_VALUE"""),"sell my house today")</f>
        <v>sell my house today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 t="str">
        <f>IFERROR(__xludf.DUMMYFUNCTION("""COMPUTED_VALUE"""),"looking to sell my house")</f>
        <v>looking to sell my house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 t="str">
        <f>IFERROR(__xludf.DUMMYFUNCTION("""COMPUTED_VALUE"""),"cash offer for my house")</f>
        <v>cash offer for my house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 t="str">
        <f>IFERROR(__xludf.DUMMYFUNCTION("""COMPUTED_VALUE"""),"get cash offer for house")</f>
        <v>get cash offer for house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 t="str">
        <f>IFERROR(__xludf.DUMMYFUNCTION("""COMPUTED_VALUE"""),"free cash offer for house")</f>
        <v>free cash offer for house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 t="str">
        <f>IFERROR(__xludf.DUMMYFUNCTION("""COMPUTED_VALUE"""),"no obligation cash offer")</f>
        <v>no obligation cash offer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 t="str">
        <f>IFERROR(__xludf.DUMMYFUNCTION("""COMPUTED_VALUE"""),"sell house in 7 days")</f>
        <v>sell house in 7 days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 t="str">
        <f>IFERROR(__xludf.DUMMYFUNCTION("""COMPUTED_VALUE"""),"close house sale fast")</f>
        <v>close house sale fast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 t="str">
        <f>IFERROR(__xludf.DUMMYFUNCTION("""COMPUTED_VALUE"""),"we buy your house for cash")</f>
        <v>we buy your house for cash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 t="str">
        <f>IFERROR(__xludf.DUMMYFUNCTION("""COMPUTED_VALUE"""),"quick home sale")</f>
        <v>quick home sale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11" width="18.0"/>
  </cols>
  <sheetData>
    <row r="1">
      <c r="A1" s="1"/>
      <c r="B1" s="2" t="s">
        <v>168</v>
      </c>
      <c r="C1" s="2" t="s">
        <v>169</v>
      </c>
      <c r="D1" s="2" t="s">
        <v>170</v>
      </c>
      <c r="E1" s="2" t="s">
        <v>171</v>
      </c>
      <c r="F1" s="2" t="s">
        <v>172</v>
      </c>
      <c r="G1" s="2" t="s">
        <v>173</v>
      </c>
      <c r="H1" s="2" t="s">
        <v>174</v>
      </c>
      <c r="I1" s="2" t="s">
        <v>175</v>
      </c>
      <c r="J1" s="2" t="s">
        <v>176</v>
      </c>
      <c r="K1" s="2" t="s">
        <v>177</v>
      </c>
      <c r="L1" s="1"/>
      <c r="M1" s="2" t="s">
        <v>38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41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1" t="s">
        <v>178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""&amp;$A3))"),"sell vacant house")</f>
        <v>sell vacant house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""&amp;$A3))"),"sell my vacant house")</f>
        <v>sell my vacant house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""&amp;$A3))"),"sell your vacant house")</f>
        <v>sell your vacant house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""&amp;$A3))"),"we buy vacant house")</f>
        <v>we buy vacant house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""&amp;$A3))"),"cash buyer for vacant house")</f>
        <v>cash buyer for vacant house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""&amp;$A3))"),"home buyer for vacant house")</f>
        <v>home buyer for vacant house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""&amp;$A3))"),"fast sale for vacant house")</f>
        <v>fast sale for vacant house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""&amp;$A3))"),"cash sale for vacant house")</f>
        <v>cash sale for vacant house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""&amp;$A3))"),"cash offer for vacant house")</f>
        <v>cash offer for vacant house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""&amp;$A3))"),"as is buyer for vacant house")</f>
        <v>as is buyer for vacant house</v>
      </c>
      <c r="L3" s="13"/>
      <c r="M3" s="13" t="str">
        <f>IFERROR(__xludf.DUMMYFUNCTION("FLATTEN(B3:K38,B1:K1)"),"sell vacant house")</f>
        <v>sell vacant house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1" t="s">
        <v>179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""&amp;$A4))"),"sell abandoned house")</f>
        <v>sell abandoned house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""&amp;$A4))"),"sell my abandoned house")</f>
        <v>sell my abandoned house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""&amp;$A4))"),"sell your abandoned house")</f>
        <v>sell your abandoned house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""&amp;$A4))"),"we buy abandoned house")</f>
        <v>we buy abandoned house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""&amp;$A4))"),"cash buyer for abandoned house")</f>
        <v>cash buyer for abandoned house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""&amp;$A4))"),"home buyer for abandoned house")</f>
        <v>home buyer for abandoned house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""&amp;$A4))"),"fast sale for abandoned house")</f>
        <v>fast sale for abandoned house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""&amp;$A4))"),"cash sale for abandoned house")</f>
        <v>cash sale for abandoned house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""&amp;$A4))"),"cash offer for abandoned house")</f>
        <v>cash offer for abandoned house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""&amp;$A4))"),"as is buyer for abandoned house")</f>
        <v>as is buyer for abandoned house</v>
      </c>
      <c r="L4" s="13"/>
      <c r="M4" s="13" t="str">
        <f>IFERROR(__xludf.DUMMYFUNCTION("""COMPUTED_VALUE"""),"sell my vacant house")</f>
        <v>sell my vacant house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1" t="s">
        <v>180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""&amp;$A5))"),"sell damaged house")</f>
        <v>sell damaged house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""&amp;$A5))"),"sell my damaged house")</f>
        <v>sell my damaged house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""&amp;$A5))"),"sell your damaged house")</f>
        <v>sell your damaged house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""&amp;$A5))"),"we buy damaged house")</f>
        <v>we buy damaged house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""&amp;$A5))"),"cash buyer for damaged house")</f>
        <v>cash buyer for damaged house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""&amp;$A5))"),"home buyer for damaged house")</f>
        <v>home buyer for damaged house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""&amp;$A5))"),"fast sale for damaged house")</f>
        <v>fast sale for damaged house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""&amp;$A5))"),"cash sale for damaged house")</f>
        <v>cash sale for damaged house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""&amp;$A5))"),"cash offer for damaged house")</f>
        <v>cash offer for damaged house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""&amp;$A5))"),"as is buyer for damaged house")</f>
        <v>as is buyer for damaged house</v>
      </c>
      <c r="L5" s="13"/>
      <c r="M5" s="13" t="str">
        <f>IFERROR(__xludf.DUMMYFUNCTION("""COMPUTED_VALUE"""),"sell your vacant house")</f>
        <v>sell your vacant house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1" t="s">
        <v>181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""&amp;$A6))"),"sell inherited house")</f>
        <v>sell inherited house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""&amp;$A6))"),"sell my inherited house")</f>
        <v>sell my inherited house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""&amp;$A6))"),"sell your inherited house")</f>
        <v>sell your inherited house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""&amp;$A6))"),"we buy inherited house")</f>
        <v>we buy inherited house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""&amp;$A6))"),"cash buyer for inherited house")</f>
        <v>cash buyer for inherited house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""&amp;$A6))"),"home buyer for inherited house")</f>
        <v>home buyer for inherited house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""&amp;$A6))"),"fast sale for inherited house")</f>
        <v>fast sale for inherited house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""&amp;$A6))"),"cash sale for inherited house")</f>
        <v>cash sale for inherited house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""&amp;$A6))"),"cash offer for inherited house")</f>
        <v>cash offer for inherited house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""&amp;$A6))"),"as is buyer for inherited house")</f>
        <v>as is buyer for inherited house</v>
      </c>
      <c r="L6" s="13"/>
      <c r="M6" s="13" t="str">
        <f>IFERROR(__xludf.DUMMYFUNCTION("""COMPUTED_VALUE"""),"we buy vacant house")</f>
        <v>we buy vacant house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1" t="s">
        <v>182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""&amp;$A7))"),"sell rental property")</f>
        <v>sell rental property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""&amp;$A7))"),"sell my rental property")</f>
        <v>sell my rental property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""&amp;$A7))"),"sell your rental property")</f>
        <v>sell your rental property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""&amp;$A7))"),"we buy rental property")</f>
        <v>we buy rental property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""&amp;$A7))"),"cash buyer for rental property")</f>
        <v>cash buyer for rental property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""&amp;$A7))"),"home buyer for rental property")</f>
        <v>home buyer for rental property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""&amp;$A7))"),"fast sale for rental property")</f>
        <v>fast sale for rental property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""&amp;$A7))"),"cash sale for rental property")</f>
        <v>cash sale for rental property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""&amp;$A7))"),"cash offer for rental property")</f>
        <v>cash offer for rental property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""&amp;$A7))"),"as is buyer for rental property")</f>
        <v>as is buyer for rental property</v>
      </c>
      <c r="L7" s="13"/>
      <c r="M7" s="13" t="str">
        <f>IFERROR(__xludf.DUMMYFUNCTION("""COMPUTED_VALUE"""),"cash buyer for vacant house")</f>
        <v>cash buyer for vacant house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1" t="s">
        <v>183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""&amp;$A8))"),"sell multifamily property")</f>
        <v>sell multifamily property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""&amp;$A8))"),"sell my multifamily property")</f>
        <v>sell my multifamily property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""&amp;$A8))"),"sell your multifamily property")</f>
        <v>sell your multifamily property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""&amp;$A8))"),"we buy multifamily property")</f>
        <v>we buy multifamily property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""&amp;$A8))"),"cash buyer for multifamily property")</f>
        <v>cash buyer for multifamily property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""&amp;$A8))"),"home buyer for multifamily property")</f>
        <v>home buyer for multifamily property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""&amp;$A8))"),"fast sale for multifamily property")</f>
        <v>fast sale for multifamily property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""&amp;$A8))"),"cash sale for multifamily property")</f>
        <v>cash sale for multifamily property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""&amp;$A8))"),"cash offer for multifamily property")</f>
        <v>cash offer for multifamily property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""&amp;$A8))"),"as is buyer for multifamily property")</f>
        <v>as is buyer for multifamily property</v>
      </c>
      <c r="L8" s="13"/>
      <c r="M8" s="13" t="str">
        <f>IFERROR(__xludf.DUMMYFUNCTION("""COMPUTED_VALUE"""),"home buyer for vacant house")</f>
        <v>home buyer for vacant house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1" t="s">
        <v>184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""&amp;$A9))"),"sell multi family house")</f>
        <v>sell multi family house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""&amp;$A9))"),"sell my multi family house")</f>
        <v>sell my multi family house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""&amp;$A9))"),"sell your multi family house")</f>
        <v>sell your multi family house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""&amp;$A9))"),"we buy multi family house")</f>
        <v>we buy multi family house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""&amp;$A9))"),"cash buyer for multi family house")</f>
        <v>cash buyer for multi family house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""&amp;$A9))"),"home buyer for multi family house")</f>
        <v>home buyer for multi family house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""&amp;$A9))"),"fast sale for multi family house")</f>
        <v>fast sale for multi family house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""&amp;$A9))"),"cash sale for multi family house")</f>
        <v>cash sale for multi family house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""&amp;$A9))"),"cash offer for multi family house")</f>
        <v>cash offer for multi family house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""&amp;$A9))"),"as is buyer for multi family house")</f>
        <v>as is buyer for multi family house</v>
      </c>
      <c r="L9" s="13"/>
      <c r="M9" s="13" t="str">
        <f>IFERROR(__xludf.DUMMYFUNCTION("""COMPUTED_VALUE"""),"fast sale for vacant house")</f>
        <v>fast sale for vacant house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1" t="s">
        <v>185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""&amp;$A10))"),"sell duplex")</f>
        <v>sell duplex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""&amp;$A10))"),"sell my duplex")</f>
        <v>sell my duplex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""&amp;$A10))"),"sell your duplex")</f>
        <v>sell your duplex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""&amp;$A10))"),"we buy duplex")</f>
        <v>we buy duplex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""&amp;$A10))"),"cash buyer for duplex")</f>
        <v>cash buyer for duplex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""&amp;$A10))"),"home buyer for duplex")</f>
        <v>home buyer for duplex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""&amp;$A10))"),"fast sale for duplex")</f>
        <v>fast sale for duplex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""&amp;$A10))"),"cash sale for duplex")</f>
        <v>cash sale for duplex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""&amp;$A10))"),"cash offer for duplex")</f>
        <v>cash offer for duplex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""&amp;$A10))"),"as is buyer for duplex")</f>
        <v>as is buyer for duplex</v>
      </c>
      <c r="L10" s="13"/>
      <c r="M10" s="13" t="str">
        <f>IFERROR(__xludf.DUMMYFUNCTION("""COMPUTED_VALUE"""),"cash sale for vacant house")</f>
        <v>cash sale for vacant house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1" t="s">
        <v>186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""&amp;$A11))"),"sell rowhome")</f>
        <v>sell rowhome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""&amp;$A11))"),"sell my rowhome")</f>
        <v>sell my rowhome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""&amp;$A11))"),"sell your rowhome")</f>
        <v>sell your rowhome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""&amp;$A11))"),"we buy rowhome")</f>
        <v>we buy rowhome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""&amp;$A11))"),"cash buyer for rowhome")</f>
        <v>cash buyer for rowhome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""&amp;$A11))"),"home buyer for rowhome")</f>
        <v>home buyer for rowhome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""&amp;$A11))"),"fast sale for rowhome")</f>
        <v>fast sale for rowhome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""&amp;$A11))"),"cash sale for rowhome")</f>
        <v>cash sale for rowhome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""&amp;$A11))"),"cash offer for rowhome")</f>
        <v>cash offer for rowhome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""&amp;$A11))"),"as is buyer for rowhome")</f>
        <v>as is buyer for rowhome</v>
      </c>
      <c r="L11" s="13"/>
      <c r="M11" s="13" t="str">
        <f>IFERROR(__xludf.DUMMYFUNCTION("""COMPUTED_VALUE"""),"cash offer for vacant house")</f>
        <v>cash offer for vacant house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1" t="s">
        <v>187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""&amp;$A12))"),"sell townhouse")</f>
        <v>sell townhouse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""&amp;$A12))"),"sell my townhouse")</f>
        <v>sell my townhouse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""&amp;$A12))"),"sell your townhouse")</f>
        <v>sell your townhouse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""&amp;$A12))"),"we buy townhouse")</f>
        <v>we buy townhouse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""&amp;$A12))"),"cash buyer for townhouse")</f>
        <v>cash buyer for townhouse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""&amp;$A12))"),"home buyer for townhouse")</f>
        <v>home buyer for townhouse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""&amp;$A12))"),"fast sale for townhouse")</f>
        <v>fast sale for townhouse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""&amp;$A12))"),"cash sale for townhouse")</f>
        <v>cash sale for townhouse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""&amp;$A12))"),"cash offer for townhouse")</f>
        <v>cash offer for townhouse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""&amp;$A12))"),"as is buyer for townhouse")</f>
        <v>as is buyer for townhouse</v>
      </c>
      <c r="L12" s="13"/>
      <c r="M12" s="13" t="str">
        <f>IFERROR(__xludf.DUMMYFUNCTION("""COMPUTED_VALUE"""),"as is buyer for vacant house")</f>
        <v>as is buyer for vacant house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6" t="s">
        <v>188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""&amp;$A13))"),"sell manufactured home")</f>
        <v>sell manufactured home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""&amp;$A13))"),"sell my manufactured home")</f>
        <v>sell my manufactured home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""&amp;$A13))"),"sell your manufactured home")</f>
        <v>sell your manufactured home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""&amp;$A13))"),"we buy manufactured home")</f>
        <v>we buy manufactured home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""&amp;$A13))"),"cash buyer for manufactured home")</f>
        <v>cash buyer for manufactured home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""&amp;$A13))"),"home buyer for manufactured home")</f>
        <v>home buyer for manufactured home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""&amp;$A13))"),"fast sale for manufactured home")</f>
        <v>fast sale for manufactured home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""&amp;$A13))"),"cash sale for manufactured home")</f>
        <v>cash sale for manufactured home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""&amp;$A13))"),"cash offer for manufactured home")</f>
        <v>cash offer for manufactured home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""&amp;$A13))"),"as is buyer for manufactured home")</f>
        <v>as is buyer for manufactured home</v>
      </c>
      <c r="L13" s="13"/>
      <c r="M13" s="13" t="str">
        <f>IFERROR(__xludf.DUMMYFUNCTION("""COMPUTED_VALUE"""),"sell abandoned house")</f>
        <v>sell abandoned house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189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""&amp;$A14))"),"sell fixer upper")</f>
        <v>sell fixer upper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""&amp;$A14))"),"sell my fixer upper")</f>
        <v>sell my fixer upper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""&amp;$A14))"),"sell your fixer upper")</f>
        <v>sell your fixer upper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""&amp;$A14))"),"we buy fixer upper")</f>
        <v>we buy fixer upper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""&amp;$A14))"),"cash buyer for fixer upper")</f>
        <v>cash buyer for fixer upper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""&amp;$A14))"),"home buyer for fixer upper")</f>
        <v>home buyer for fixer upper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""&amp;$A14))"),"fast sale for fixer upper")</f>
        <v>fast sale for fixer upper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""&amp;$A14))"),"cash sale for fixer upper")</f>
        <v>cash sale for fixer upper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""&amp;$A14))"),"cash offer for fixer upper")</f>
        <v>cash offer for fixer upper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""&amp;$A14))"),"as is buyer for fixer upper")</f>
        <v>as is buyer for fixer upper</v>
      </c>
      <c r="L14" s="13"/>
      <c r="M14" s="13" t="str">
        <f>IFERROR(__xludf.DUMMYFUNCTION("""COMPUTED_VALUE"""),"sell my abandoned house")</f>
        <v>sell my abandoned house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190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""&amp;$A15))"),"sell ugly house")</f>
        <v>sell ugly house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""&amp;$A15))"),"sell my ugly house")</f>
        <v>sell my ugly house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""&amp;$A15))"),"sell your ugly house")</f>
        <v>sell your ugly house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""&amp;$A15))"),"we buy ugly house")</f>
        <v>we buy ugly house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""&amp;$A15))"),"cash buyer for ugly house")</f>
        <v>cash buyer for ugly house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""&amp;$A15))"),"home buyer for ugly house")</f>
        <v>home buyer for ugly house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""&amp;$A15))"),"fast sale for ugly house")</f>
        <v>fast sale for ugly house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""&amp;$A15))"),"cash sale for ugly house")</f>
        <v>cash sale for ugly house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""&amp;$A15))"),"cash offer for ugly house")</f>
        <v>cash offer for ugly house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""&amp;$A15))"),"as is buyer for ugly house")</f>
        <v>as is buyer for ugly house</v>
      </c>
      <c r="L15" s="13"/>
      <c r="M15" s="13" t="str">
        <f>IFERROR(__xludf.DUMMYFUNCTION("""COMPUTED_VALUE"""),"sell your abandoned house")</f>
        <v>sell your abandoned house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191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""&amp;$A16))"),"sell fire damaged house")</f>
        <v>sell fire damaged house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""&amp;$A16))"),"sell my fire damaged house")</f>
        <v>sell my fire damaged house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""&amp;$A16))"),"sell your fire damaged house")</f>
        <v>sell your fire damaged house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""&amp;$A16))"),"we buy fire damaged house")</f>
        <v>we buy fire damaged house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""&amp;$A16))"),"cash buyer for fire damaged house")</f>
        <v>cash buyer for fire damaged house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""&amp;$A16))"),"home buyer for fire damaged house")</f>
        <v>home buyer for fire damaged house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""&amp;$A16))"),"fast sale for fire damaged house")</f>
        <v>fast sale for fire damaged house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""&amp;$A16))"),"cash sale for fire damaged house")</f>
        <v>cash sale for fire damaged house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""&amp;$A16))"),"cash offer for fire damaged house")</f>
        <v>cash offer for fire damaged house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""&amp;$A16))"),"as is buyer for fire damaged house")</f>
        <v>as is buyer for fire damaged house</v>
      </c>
      <c r="L16" s="13"/>
      <c r="M16" s="13" t="str">
        <f>IFERROR(__xludf.DUMMYFUNCTION("""COMPUTED_VALUE"""),"we buy abandoned house")</f>
        <v>we buy abandoned house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192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""&amp;$A17))"),"sell water damaged house")</f>
        <v>sell water damaged house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""&amp;$A17))"),"sell my water damaged house")</f>
        <v>sell my water damaged house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""&amp;$A17))"),"sell your water damaged house")</f>
        <v>sell your water damaged house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""&amp;$A17))"),"we buy water damaged house")</f>
        <v>we buy water damaged house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""&amp;$A17))"),"cash buyer for water damaged house")</f>
        <v>cash buyer for water damaged house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""&amp;$A17))"),"home buyer for water damaged house")</f>
        <v>home buyer for water damaged house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""&amp;$A17))"),"fast sale for water damaged house")</f>
        <v>fast sale for water damaged house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""&amp;$A17))"),"cash sale for water damaged house")</f>
        <v>cash sale for water damaged house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""&amp;$A17))"),"cash offer for water damaged house")</f>
        <v>cash offer for water damaged house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""&amp;$A17))"),"as is buyer for water damaged house")</f>
        <v>as is buyer for water damaged house</v>
      </c>
      <c r="L17" s="13"/>
      <c r="M17" s="13" t="str">
        <f>IFERROR(__xludf.DUMMYFUNCTION("""COMPUTED_VALUE"""),"cash buyer for abandoned house")</f>
        <v>cash buyer for abandoned house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118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""&amp;$A18))"),"sell hoarder house")</f>
        <v>sell hoarder house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""&amp;$A18))"),"sell my hoarder house")</f>
        <v>sell my hoarder house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""&amp;$A18))"),"sell your hoarder house")</f>
        <v>sell your hoarder house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""&amp;$A18))"),"we buy hoarder house")</f>
        <v>we buy hoarder house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""&amp;$A18))"),"cash buyer for hoarder house")</f>
        <v>cash buyer for hoarder house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""&amp;$A18))"),"home buyer for hoarder house")</f>
        <v>home buyer for hoarder house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""&amp;$A18))"),"fast sale for hoarder house")</f>
        <v>fast sale for hoarder house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""&amp;$A18))"),"cash sale for hoarder house")</f>
        <v>cash sale for hoarder house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""&amp;$A18))"),"cash offer for hoarder house")</f>
        <v>cash offer for hoarder house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""&amp;$A18))"),"as is buyer for hoarder house")</f>
        <v>as is buyer for hoarder house</v>
      </c>
      <c r="L18" s="13"/>
      <c r="M18" s="13" t="str">
        <f>IFERROR(__xludf.DUMMYFUNCTION("""COMPUTED_VALUE"""),"home buyer for abandoned house")</f>
        <v>home buyer for abandoned house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193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""&amp;$A19))"),"sell condemned house")</f>
        <v>sell condemned house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""&amp;$A19))"),"sell my condemned house")</f>
        <v>sell my condemned house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""&amp;$A19))"),"sell your condemned house")</f>
        <v>sell your condemned house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""&amp;$A19))"),"we buy condemned house")</f>
        <v>we buy condemned house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""&amp;$A19))"),"cash buyer for condemned house")</f>
        <v>cash buyer for condemned house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""&amp;$A19))"),"home buyer for condemned house")</f>
        <v>home buyer for condemned house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""&amp;$A19))"),"fast sale for condemned house")</f>
        <v>fast sale for condemned house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""&amp;$A19))"),"cash sale for condemned house")</f>
        <v>cash sale for condemned house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""&amp;$A19))"),"cash offer for condemned house")</f>
        <v>cash offer for condemned house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""&amp;$A19))"),"as is buyer for condemned house")</f>
        <v>as is buyer for condemned house</v>
      </c>
      <c r="L19" s="13"/>
      <c r="M19" s="13" t="str">
        <f>IFERROR(__xludf.DUMMYFUNCTION("""COMPUTED_VALUE"""),"fast sale for abandoned house")</f>
        <v>fast sale for abandoned house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202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""&amp;$A20))"),"sell house with tenants")</f>
        <v>sell house with tenants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""&amp;$A20))"),"sell my house with tenants")</f>
        <v>sell my house with tenants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""&amp;$A20))"),"sell your house with tenants")</f>
        <v>sell your house with tenants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""&amp;$A20))"),"we buy house with tenants")</f>
        <v>we buy house with tenants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""&amp;$A20))"),"cash buyer for house with tenants")</f>
        <v>cash buyer for house with tenants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""&amp;$A20))"),"home buyer for house with tenants")</f>
        <v>home buyer for house with tenants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""&amp;$A20))"),"fast sale for house with tenants")</f>
        <v>fast sale for house with tenants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""&amp;$A20))"),"cash sale for house with tenants")</f>
        <v>cash sale for house with tenants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""&amp;$A20))"),"cash offer for house with tenants")</f>
        <v>cash offer for house with tenants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""&amp;$A20))"),"as is buyer for house with tenants")</f>
        <v>as is buyer for house with tenants</v>
      </c>
      <c r="L20" s="13"/>
      <c r="M20" s="13" t="str">
        <f>IFERROR(__xludf.DUMMYFUNCTION("""COMPUTED_VALUE"""),"cash sale for abandoned house")</f>
        <v>cash sale for abandoned house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204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""&amp;$A21))"),"sell single family home")</f>
        <v>sell single family home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""&amp;$A21))"),"sell my single family home")</f>
        <v>sell my single family home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""&amp;$A21))"),"sell your single family home")</f>
        <v>sell your single family home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""&amp;$A21))"),"we buy single family home")</f>
        <v>we buy single family home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""&amp;$A21))"),"cash buyer for single family home")</f>
        <v>cash buyer for single family home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""&amp;$A21))"),"home buyer for single family home")</f>
        <v>home buyer for single family home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""&amp;$A21))"),"fast sale for single family home")</f>
        <v>fast sale for single family home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""&amp;$A21))"),"cash sale for single family home")</f>
        <v>cash sale for single family home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""&amp;$A21))"),"cash offer for single family home")</f>
        <v>cash offer for single family home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""&amp;$A21))"),"as is buyer for single family home")</f>
        <v>as is buyer for single family home</v>
      </c>
      <c r="L21" s="13"/>
      <c r="M21" s="13" t="str">
        <f>IFERROR(__xludf.DUMMYFUNCTION("""COMPUTED_VALUE"""),"cash offer for abandoned house")</f>
        <v>cash offer for abandoned house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206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""&amp;$A22))"),"sell estate property")</f>
        <v>sell estate property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""&amp;$A22))"),"sell my estate property")</f>
        <v>sell my estate property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""&amp;$A22))"),"sell your estate property")</f>
        <v>sell your estate property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""&amp;$A22))"),"we buy estate property")</f>
        <v>we buy estate property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""&amp;$A22))"),"cash buyer for estate property")</f>
        <v>cash buyer for estate property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""&amp;$A22))"),"home buyer for estate property")</f>
        <v>home buyer for estate property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""&amp;$A22))"),"fast sale for estate property")</f>
        <v>fast sale for estate property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""&amp;$A22))"),"cash sale for estate property")</f>
        <v>cash sale for estate property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""&amp;$A22))"),"cash offer for estate property")</f>
        <v>cash offer for estate property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""&amp;$A22))"),"as is buyer for estate property")</f>
        <v>as is buyer for estate property</v>
      </c>
      <c r="L22" s="13"/>
      <c r="M22" s="13" t="str">
        <f>IFERROR(__xludf.DUMMYFUNCTION("""COMPUTED_VALUE"""),"as is buyer for abandoned house")</f>
        <v>as is buyer for abandoned house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208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""&amp;$A23))"),"sell probate property")</f>
        <v>sell probate property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""&amp;$A23))"),"sell my probate property")</f>
        <v>sell my probate property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""&amp;$A23))"),"sell your probate property")</f>
        <v>sell your probate property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""&amp;$A23))"),"we buy probate property")</f>
        <v>we buy probate property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""&amp;$A23))"),"cash buyer for probate property")</f>
        <v>cash buyer for probate property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""&amp;$A23))"),"home buyer for probate property")</f>
        <v>home buyer for probate property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""&amp;$A23))"),"fast sale for probate property")</f>
        <v>fast sale for probate property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""&amp;$A23))"),"cash sale for probate property")</f>
        <v>cash sale for probate property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""&amp;$A23))"),"cash offer for probate property")</f>
        <v>cash offer for probate property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""&amp;$A23))"),"as is buyer for probate property")</f>
        <v>as is buyer for probate property</v>
      </c>
      <c r="L23" s="13"/>
      <c r="M23" s="13" t="str">
        <f>IFERROR(__xludf.DUMMYFUNCTION("""COMPUTED_VALUE"""),"sell damaged house")</f>
        <v>sell damaged house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96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""&amp;$A24))"),"sell old house")</f>
        <v>sell old house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""&amp;$A24))"),"sell my old house")</f>
        <v>sell my old house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""&amp;$A24))"),"sell your old house")</f>
        <v>sell your old house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""&amp;$A24))"),"we buy old house")</f>
        <v>we buy old house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""&amp;$A24))"),"cash buyer for old house")</f>
        <v>cash buyer for old house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""&amp;$A24))"),"home buyer for old house")</f>
        <v>home buyer for old house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""&amp;$A24))"),"fast sale for old house")</f>
        <v>fast sale for old house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""&amp;$A24))"),"cash sale for old house")</f>
        <v>cash sale for old house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""&amp;$A24))"),"cash offer for old house")</f>
        <v>cash offer for old house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""&amp;$A24))"),"as is buyer for old house")</f>
        <v>as is buyer for old house</v>
      </c>
      <c r="L24" s="13"/>
      <c r="M24" s="13" t="str">
        <f>IFERROR(__xludf.DUMMYFUNCTION("""COMPUTED_VALUE"""),"sell my damaged house")</f>
        <v>sell my damaged house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219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""&amp;$A25))"),"sell distressed property")</f>
        <v>sell distressed property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""&amp;$A25))"),"sell my distressed property")</f>
        <v>sell my distressed property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""&amp;$A25))"),"sell your distressed property")</f>
        <v>sell your distressed property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""&amp;$A25))"),"we buy distressed property")</f>
        <v>we buy distressed property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""&amp;$A25))"),"cash buyer for distressed property")</f>
        <v>cash buyer for distressed property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""&amp;$A25))"),"home buyer for distressed property")</f>
        <v>home buyer for distressed property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""&amp;$A25))"),"fast sale for distressed property")</f>
        <v>fast sale for distressed property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""&amp;$A25))"),"cash sale for distressed property")</f>
        <v>cash sale for distressed property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""&amp;$A25))"),"cash offer for distressed property")</f>
        <v>cash offer for distressed property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""&amp;$A25))"),"as is buyer for distressed property")</f>
        <v>as is buyer for distressed property</v>
      </c>
      <c r="L25" s="13"/>
      <c r="M25" s="13" t="str">
        <f>IFERROR(__xludf.DUMMYFUNCTION("""COMPUTED_VALUE"""),"sell your damaged house")</f>
        <v>sell your damaged house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155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""&amp;$A26))"),"sell problem property")</f>
        <v>sell problem property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""&amp;$A26))"),"sell my problem property")</f>
        <v>sell my problem property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""&amp;$A26))"),"sell your problem property")</f>
        <v>sell your problem property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""&amp;$A26))"),"we buy problem property")</f>
        <v>we buy problem property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""&amp;$A26))"),"cash buyer for problem property")</f>
        <v>cash buyer for problem property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""&amp;$A26))"),"home buyer for problem property")</f>
        <v>home buyer for problem property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""&amp;$A26))"),"fast sale for problem property")</f>
        <v>fast sale for problem property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""&amp;$A26))"),"cash sale for problem property")</f>
        <v>cash sale for problem property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""&amp;$A26))"),"cash offer for problem property")</f>
        <v>cash offer for problem property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""&amp;$A26))"),"as is buyer for problem property")</f>
        <v>as is buyer for problem property</v>
      </c>
      <c r="L26" s="13"/>
      <c r="M26" s="13" t="str">
        <f>IFERROR(__xludf.DUMMYFUNCTION("""COMPUTED_VALUE"""),"we buy damaged house")</f>
        <v>we buy damaged house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222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""&amp;$A27))"),"sell off market property")</f>
        <v>sell off market property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""&amp;$A27))"),"sell my off market property")</f>
        <v>sell my off market property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""&amp;$A27))"),"sell your off market property")</f>
        <v>sell your off market property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""&amp;$A27))"),"we buy off market property")</f>
        <v>we buy off market property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""&amp;$A27))"),"cash buyer for off market property")</f>
        <v>cash buyer for off market property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""&amp;$A27))"),"home buyer for off market property")</f>
        <v>home buyer for off market property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""&amp;$A27))"),"fast sale for off market property")</f>
        <v>fast sale for off market property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""&amp;$A27))"),"cash sale for off market property")</f>
        <v>cash sale for off market property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""&amp;$A27))"),"cash offer for off market property")</f>
        <v>cash offer for off market property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""&amp;$A27))"),"as is buyer for off market property")</f>
        <v>as is buyer for off market property</v>
      </c>
      <c r="L27" s="13"/>
      <c r="M27" s="13" t="str">
        <f>IFERROR(__xludf.DUMMYFUNCTION("""COMPUTED_VALUE"""),"cash buyer for damaged house")</f>
        <v>cash buyer for damaged house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224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""&amp;$A28))"),"sell house with code violations")</f>
        <v>sell house with code violations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""&amp;$A28))"),"sell my house with code violations")</f>
        <v>sell my house with code violations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""&amp;$A28))"),"sell your house with code violations")</f>
        <v>sell your house with code violations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""&amp;$A28))"),"we buy house with code violations")</f>
        <v>we buy house with code violations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""&amp;$A28))"),"cash buyer for house with code violations")</f>
        <v>cash buyer for house with code violations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""&amp;$A28))"),"home buyer for house with code violations")</f>
        <v>home buyer for house with code violations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""&amp;$A28))"),"fast sale for house with code violations")</f>
        <v>fast sale for house with code violations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""&amp;$A28))"),"cash sale for house with code violations")</f>
        <v>cash sale for house with code violations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""&amp;$A28))"),"cash offer for house with code violations")</f>
        <v>cash offer for house with code violations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""&amp;$A28))"),"as is buyer for house with code violations")</f>
        <v>as is buyer for house with code violations</v>
      </c>
      <c r="L28" s="13"/>
      <c r="M28" s="13" t="str">
        <f>IFERROR(__xludf.DUMMYFUNCTION("""COMPUTED_VALUE"""),"home buyer for damaged house")</f>
        <v>home buyer for damaged house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226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""&amp;$A29))"),"sell house with liens")</f>
        <v>sell house with liens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""&amp;$A29))"),"sell my house with liens")</f>
        <v>sell my house with liens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""&amp;$A29))"),"sell your house with liens")</f>
        <v>sell your house with liens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""&amp;$A29))"),"we buy house with liens")</f>
        <v>we buy house with liens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""&amp;$A29))"),"cash buyer for house with liens")</f>
        <v>cash buyer for house with liens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""&amp;$A29))"),"home buyer for house with liens")</f>
        <v>home buyer for house with liens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""&amp;$A29))"),"fast sale for house with liens")</f>
        <v>fast sale for house with liens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""&amp;$A29))"),"cash sale for house with liens")</f>
        <v>cash sale for house with liens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""&amp;$A29))"),"cash offer for house with liens")</f>
        <v>cash offer for house with liens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""&amp;$A29))"),"as is buyer for house with liens")</f>
        <v>as is buyer for house with liens</v>
      </c>
      <c r="L29" s="13"/>
      <c r="M29" s="13" t="str">
        <f>IFERROR(__xludf.DUMMYFUNCTION("""COMPUTED_VALUE"""),"fast sale for damaged house")</f>
        <v>fast sale for damaged house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114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""&amp;$A30))"),"sell unfinished construction")</f>
        <v>sell unfinished construction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""&amp;$A30))"),"sell my unfinished construction")</f>
        <v>sell my unfinished construction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""&amp;$A30))"),"sell your unfinished construction")</f>
        <v>sell your unfinished construction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""&amp;$A30))"),"we buy unfinished construction")</f>
        <v>we buy unfinished construction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""&amp;$A30))"),"cash buyer for unfinished construction")</f>
        <v>cash buyer for unfinished construction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""&amp;$A30))"),"home buyer for unfinished construction")</f>
        <v>home buyer for unfinished construction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""&amp;$A30))"),"fast sale for unfinished construction")</f>
        <v>fast sale for unfinished construction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""&amp;$A30))"),"cash sale for unfinished construction")</f>
        <v>cash sale for unfinished construction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""&amp;$A30))"),"cash offer for unfinished construction")</f>
        <v>cash offer for unfinished construction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""&amp;$A30))"),"as is buyer for unfinished construction")</f>
        <v>as is buyer for unfinished construction</v>
      </c>
      <c r="L30" s="13"/>
      <c r="M30" s="13" t="str">
        <f>IFERROR(__xludf.DUMMYFUNCTION("""COMPUTED_VALUE"""),"cash sale for damaged house")</f>
        <v>cash sale for damaged house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229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""&amp;$A31))"),"sell rental portfolio")</f>
        <v>sell rental portfolio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""&amp;$A31))"),"sell my rental portfolio")</f>
        <v>sell my rental portfolio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""&amp;$A31))"),"sell your rental portfolio")</f>
        <v>sell your rental portfolio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""&amp;$A31))"),"we buy rental portfolio")</f>
        <v>we buy rental portfolio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""&amp;$A31))"),"cash buyer for rental portfolio")</f>
        <v>cash buyer for rental portfolio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""&amp;$A31))"),"home buyer for rental portfolio")</f>
        <v>home buyer for rental portfolio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""&amp;$A31))"),"fast sale for rental portfolio")</f>
        <v>fast sale for rental portfolio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""&amp;$A31))"),"cash sale for rental portfolio")</f>
        <v>cash sale for rental portfolio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""&amp;$A31))"),"cash offer for rental portfolio")</f>
        <v>cash offer for rental portfolio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""&amp;$A31))"),"as is buyer for rental portfolio")</f>
        <v>as is buyer for rental portfolio</v>
      </c>
      <c r="L31" s="13"/>
      <c r="M31" s="13" t="str">
        <f>IFERROR(__xludf.DUMMYFUNCTION("""COMPUTED_VALUE"""),"cash offer for damaged house")</f>
        <v>cash offer for damaged house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232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""&amp;$A32))"),"sell vacant property")</f>
        <v>sell vacant property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""&amp;$A32))"),"sell my vacant property")</f>
        <v>sell my vacant property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""&amp;$A32))"),"sell your vacant property")</f>
        <v>sell your vacant property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""&amp;$A32))"),"we buy vacant property")</f>
        <v>we buy vacant property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""&amp;$A32))"),"cash buyer for vacant property")</f>
        <v>cash buyer for vacant property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""&amp;$A32))"),"home buyer for vacant property")</f>
        <v>home buyer for vacant property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""&amp;$A32))"),"fast sale for vacant property")</f>
        <v>fast sale for vacant property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""&amp;$A32))"),"cash sale for vacant property")</f>
        <v>cash sale for vacant property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""&amp;$A32))"),"cash offer for vacant property")</f>
        <v>cash offer for vacant property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""&amp;$A32))"),"as is buyer for vacant property")</f>
        <v>as is buyer for vacant property</v>
      </c>
      <c r="L32" s="13"/>
      <c r="M32" s="13" t="str">
        <f>IFERROR(__xludf.DUMMYFUNCTION("""COMPUTED_VALUE"""),"as is buyer for damaged house")</f>
        <v>as is buyer for damaged house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234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""&amp;$A33))"),"sell unwanted property")</f>
        <v>sell unwanted property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""&amp;$A33))"),"sell my unwanted property")</f>
        <v>sell my unwanted property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""&amp;$A33))"),"sell your unwanted property")</f>
        <v>sell your unwanted property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""&amp;$A33))"),"we buy unwanted property")</f>
        <v>we buy unwanted property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""&amp;$A33))"),"cash buyer for unwanted property")</f>
        <v>cash buyer for unwanted property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""&amp;$A33))"),"home buyer for unwanted property")</f>
        <v>home buyer for unwanted property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""&amp;$A33))"),"fast sale for unwanted property")</f>
        <v>fast sale for unwanted property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""&amp;$A33))"),"cash sale for unwanted property")</f>
        <v>cash sale for unwanted property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""&amp;$A33))"),"cash offer for unwanted property")</f>
        <v>cash offer for unwanted property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""&amp;$A33))"),"as is buyer for unwanted property")</f>
        <v>as is buyer for unwanted property</v>
      </c>
      <c r="L33" s="13"/>
      <c r="M33" s="13" t="str">
        <f>IFERROR(__xludf.DUMMYFUNCTION("""COMPUTED_VALUE"""),"sell inherited house")</f>
        <v>sell inherited house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 t="str">
        <f>IFERROR(__xludf.DUMMYFUNCTION("""COMPUTED_VALUE"""),"sell my inherited house")</f>
        <v>sell my inherited house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 t="str">
        <f>IFERROR(__xludf.DUMMYFUNCTION("""COMPUTED_VALUE"""),"sell your inherited house")</f>
        <v>sell your inherited house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 t="str">
        <f>IFERROR(__xludf.DUMMYFUNCTION("""COMPUTED_VALUE"""),"we buy inherited house")</f>
        <v>we buy inherited house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 t="str">
        <f>IFERROR(__xludf.DUMMYFUNCTION("""COMPUTED_VALUE"""),"cash buyer for inherited house")</f>
        <v>cash buyer for inherited house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 t="str">
        <f>IFERROR(__xludf.DUMMYFUNCTION("""COMPUTED_VALUE"""),"home buyer for inherited house")</f>
        <v>home buyer for inherited house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 t="str">
        <f>IFERROR(__xludf.DUMMYFUNCTION("""COMPUTED_VALUE"""),"fast sale for inherited house")</f>
        <v>fast sale for inherited house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IFERROR(__xludf.DUMMYFUNCTION("""COMPUTED_VALUE"""),"cash sale for inherited house")</f>
        <v>cash sale for inherited house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IFERROR(__xludf.DUMMYFUNCTION("""COMPUTED_VALUE"""),"cash offer for inherited house")</f>
        <v>cash offer for inherited house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IFERROR(__xludf.DUMMYFUNCTION("""COMPUTED_VALUE"""),"as is buyer for inherited house")</f>
        <v>as is buyer for inherited house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IFERROR(__xludf.DUMMYFUNCTION("""COMPUTED_VALUE"""),"sell rental property")</f>
        <v>sell rental property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IFERROR(__xludf.DUMMYFUNCTION("""COMPUTED_VALUE"""),"sell my rental property")</f>
        <v>sell my rental property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IFERROR(__xludf.DUMMYFUNCTION("""COMPUTED_VALUE"""),"sell your rental property")</f>
        <v>sell your rental property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IFERROR(__xludf.DUMMYFUNCTION("""COMPUTED_VALUE"""),"we buy rental property")</f>
        <v>we buy rental property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IFERROR(__xludf.DUMMYFUNCTION("""COMPUTED_VALUE"""),"cash buyer for rental property")</f>
        <v>cash buyer for rental property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IFERROR(__xludf.DUMMYFUNCTION("""COMPUTED_VALUE"""),"home buyer for rental property")</f>
        <v>home buyer for rental property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IFERROR(__xludf.DUMMYFUNCTION("""COMPUTED_VALUE"""),"fast sale for rental property")</f>
        <v>fast sale for rental property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IFERROR(__xludf.DUMMYFUNCTION("""COMPUTED_VALUE"""),"cash sale for rental property")</f>
        <v>cash sale for rental property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IFERROR(__xludf.DUMMYFUNCTION("""COMPUTED_VALUE"""),"cash offer for rental property")</f>
        <v>cash offer for rental property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IFERROR(__xludf.DUMMYFUNCTION("""COMPUTED_VALUE"""),"as is buyer for rental property")</f>
        <v>as is buyer for rental property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IFERROR(__xludf.DUMMYFUNCTION("""COMPUTED_VALUE"""),"sell multifamily property")</f>
        <v>sell multifamily property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IFERROR(__xludf.DUMMYFUNCTION("""COMPUTED_VALUE"""),"sell my multifamily property")</f>
        <v>sell my multifamily property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IFERROR(__xludf.DUMMYFUNCTION("""COMPUTED_VALUE"""),"sell your multifamily property")</f>
        <v>sell your multifamily property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IFERROR(__xludf.DUMMYFUNCTION("""COMPUTED_VALUE"""),"we buy multifamily property")</f>
        <v>we buy multifamily property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IFERROR(__xludf.DUMMYFUNCTION("""COMPUTED_VALUE"""),"cash buyer for multifamily property")</f>
        <v>cash buyer for multifamily property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IFERROR(__xludf.DUMMYFUNCTION("""COMPUTED_VALUE"""),"home buyer for multifamily property")</f>
        <v>home buyer for multifamily property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IFERROR(__xludf.DUMMYFUNCTION("""COMPUTED_VALUE"""),"fast sale for multifamily property")</f>
        <v>fast sale for multifamily property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IFERROR(__xludf.DUMMYFUNCTION("""COMPUTED_VALUE"""),"cash sale for multifamily property")</f>
        <v>cash sale for multifamily property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IFERROR(__xludf.DUMMYFUNCTION("""COMPUTED_VALUE"""),"cash offer for multifamily property")</f>
        <v>cash offer for multifamily property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IFERROR(__xludf.DUMMYFUNCTION("""COMPUTED_VALUE"""),"as is buyer for multifamily property")</f>
        <v>as is buyer for multifamily property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IFERROR(__xludf.DUMMYFUNCTION("""COMPUTED_VALUE"""),"sell multi family house")</f>
        <v>sell multi family house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IFERROR(__xludf.DUMMYFUNCTION("""COMPUTED_VALUE"""),"sell my multi family house")</f>
        <v>sell my multi family house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IFERROR(__xludf.DUMMYFUNCTION("""COMPUTED_VALUE"""),"sell your multi family house")</f>
        <v>sell your multi family house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IFERROR(__xludf.DUMMYFUNCTION("""COMPUTED_VALUE"""),"we buy multi family house")</f>
        <v>we buy multi family house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IFERROR(__xludf.DUMMYFUNCTION("""COMPUTED_VALUE"""),"cash buyer for multi family house")</f>
        <v>cash buyer for multi family house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IFERROR(__xludf.DUMMYFUNCTION("""COMPUTED_VALUE"""),"home buyer for multi family house")</f>
        <v>home buyer for multi family house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IFERROR(__xludf.DUMMYFUNCTION("""COMPUTED_VALUE"""),"fast sale for multi family house")</f>
        <v>fast sale for multi family house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IFERROR(__xludf.DUMMYFUNCTION("""COMPUTED_VALUE"""),"cash sale for multi family house")</f>
        <v>cash sale for multi family house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IFERROR(__xludf.DUMMYFUNCTION("""COMPUTED_VALUE"""),"cash offer for multi family house")</f>
        <v>cash offer for multi family house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IFERROR(__xludf.DUMMYFUNCTION("""COMPUTED_VALUE"""),"as is buyer for multi family house")</f>
        <v>as is buyer for multi family house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IFERROR(__xludf.DUMMYFUNCTION("""COMPUTED_VALUE"""),"sell duplex")</f>
        <v>sell duplex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IFERROR(__xludf.DUMMYFUNCTION("""COMPUTED_VALUE"""),"sell my duplex")</f>
        <v>sell my duplex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IFERROR(__xludf.DUMMYFUNCTION("""COMPUTED_VALUE"""),"sell your duplex")</f>
        <v>sell your duplex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 t="str">
        <f>IFERROR(__xludf.DUMMYFUNCTION("""COMPUTED_VALUE"""),"we buy duplex")</f>
        <v>we buy duplex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 t="str">
        <f>IFERROR(__xludf.DUMMYFUNCTION("""COMPUTED_VALUE"""),"cash buyer for duplex")</f>
        <v>cash buyer for duplex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IFERROR(__xludf.DUMMYFUNCTION("""COMPUTED_VALUE"""),"home buyer for duplex")</f>
        <v>home buyer for duplex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IFERROR(__xludf.DUMMYFUNCTION("""COMPUTED_VALUE"""),"fast sale for duplex")</f>
        <v>fast sale for duplex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IFERROR(__xludf.DUMMYFUNCTION("""COMPUTED_VALUE"""),"cash sale for duplex")</f>
        <v>cash sale for duplex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IFERROR(__xludf.DUMMYFUNCTION("""COMPUTED_VALUE"""),"cash offer for duplex")</f>
        <v>cash offer for duplex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IFERROR(__xludf.DUMMYFUNCTION("""COMPUTED_VALUE"""),"as is buyer for duplex")</f>
        <v>as is buyer for duplex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IFERROR(__xludf.DUMMYFUNCTION("""COMPUTED_VALUE"""),"sell rowhome")</f>
        <v>sell rowhome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IFERROR(__xludf.DUMMYFUNCTION("""COMPUTED_VALUE"""),"sell my rowhome")</f>
        <v>sell my rowhome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IFERROR(__xludf.DUMMYFUNCTION("""COMPUTED_VALUE"""),"sell your rowhome")</f>
        <v>sell your rowhome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IFERROR(__xludf.DUMMYFUNCTION("""COMPUTED_VALUE"""),"we buy rowhome")</f>
        <v>we buy rowhome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IFERROR(__xludf.DUMMYFUNCTION("""COMPUTED_VALUE"""),"cash buyer for rowhome")</f>
        <v>cash buyer for rowhome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IFERROR(__xludf.DUMMYFUNCTION("""COMPUTED_VALUE"""),"home buyer for rowhome")</f>
        <v>home buyer for rowhome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IFERROR(__xludf.DUMMYFUNCTION("""COMPUTED_VALUE"""),"fast sale for rowhome")</f>
        <v>fast sale for rowhome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IFERROR(__xludf.DUMMYFUNCTION("""COMPUTED_VALUE"""),"cash sale for rowhome")</f>
        <v>cash sale for rowhome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IFERROR(__xludf.DUMMYFUNCTION("""COMPUTED_VALUE"""),"cash offer for rowhome")</f>
        <v>cash offer for rowhome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IFERROR(__xludf.DUMMYFUNCTION("""COMPUTED_VALUE"""),"as is buyer for rowhome")</f>
        <v>as is buyer for rowhome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IFERROR(__xludf.DUMMYFUNCTION("""COMPUTED_VALUE"""),"sell townhouse")</f>
        <v>sell townhouse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IFERROR(__xludf.DUMMYFUNCTION("""COMPUTED_VALUE"""),"sell my townhouse")</f>
        <v>sell my townhouse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IFERROR(__xludf.DUMMYFUNCTION("""COMPUTED_VALUE"""),"sell your townhouse")</f>
        <v>sell your townhouse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IFERROR(__xludf.DUMMYFUNCTION("""COMPUTED_VALUE"""),"we buy townhouse")</f>
        <v>we buy townhouse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IFERROR(__xludf.DUMMYFUNCTION("""COMPUTED_VALUE"""),"cash buyer for townhouse")</f>
        <v>cash buyer for townhouse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IFERROR(__xludf.DUMMYFUNCTION("""COMPUTED_VALUE"""),"home buyer for townhouse")</f>
        <v>home buyer for townhouse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IFERROR(__xludf.DUMMYFUNCTION("""COMPUTED_VALUE"""),"fast sale for townhouse")</f>
        <v>fast sale for townhouse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IFERROR(__xludf.DUMMYFUNCTION("""COMPUTED_VALUE"""),"cash sale for townhouse")</f>
        <v>cash sale for townhouse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IFERROR(__xludf.DUMMYFUNCTION("""COMPUTED_VALUE"""),"cash offer for townhouse")</f>
        <v>cash offer for townhouse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IFERROR(__xludf.DUMMYFUNCTION("""COMPUTED_VALUE"""),"as is buyer for townhouse")</f>
        <v>as is buyer for townhouse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IFERROR(__xludf.DUMMYFUNCTION("""COMPUTED_VALUE"""),"sell manufactured home")</f>
        <v>sell manufactured home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IFERROR(__xludf.DUMMYFUNCTION("""COMPUTED_VALUE"""),"sell my manufactured home")</f>
        <v>sell my manufactured home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IFERROR(__xludf.DUMMYFUNCTION("""COMPUTED_VALUE"""),"sell your manufactured home")</f>
        <v>sell your manufactured home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IFERROR(__xludf.DUMMYFUNCTION("""COMPUTED_VALUE"""),"we buy manufactured home")</f>
        <v>we buy manufactured home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IFERROR(__xludf.DUMMYFUNCTION("""COMPUTED_VALUE"""),"cash buyer for manufactured home")</f>
        <v>cash buyer for manufactured home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IFERROR(__xludf.DUMMYFUNCTION("""COMPUTED_VALUE"""),"home buyer for manufactured home")</f>
        <v>home buyer for manufactured home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IFERROR(__xludf.DUMMYFUNCTION("""COMPUTED_VALUE"""),"fast sale for manufactured home")</f>
        <v>fast sale for manufactured home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IFERROR(__xludf.DUMMYFUNCTION("""COMPUTED_VALUE"""),"cash sale for manufactured home")</f>
        <v>cash sale for manufactured home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IFERROR(__xludf.DUMMYFUNCTION("""COMPUTED_VALUE"""),"cash offer for manufactured home")</f>
        <v>cash offer for manufactured home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IFERROR(__xludf.DUMMYFUNCTION("""COMPUTED_VALUE"""),"as is buyer for manufactured home")</f>
        <v>as is buyer for manufactured home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IFERROR(__xludf.DUMMYFUNCTION("""COMPUTED_VALUE"""),"sell fixer upper")</f>
        <v>sell fixer upper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IFERROR(__xludf.DUMMYFUNCTION("""COMPUTED_VALUE"""),"sell my fixer upper")</f>
        <v>sell my fixer upper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IFERROR(__xludf.DUMMYFUNCTION("""COMPUTED_VALUE"""),"sell your fixer upper")</f>
        <v>sell your fixer upper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IFERROR(__xludf.DUMMYFUNCTION("""COMPUTED_VALUE"""),"we buy fixer upper")</f>
        <v>we buy fixer upper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IFERROR(__xludf.DUMMYFUNCTION("""COMPUTED_VALUE"""),"cash buyer for fixer upper")</f>
        <v>cash buyer for fixer upper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IFERROR(__xludf.DUMMYFUNCTION("""COMPUTED_VALUE"""),"home buyer for fixer upper")</f>
        <v>home buyer for fixer upper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IFERROR(__xludf.DUMMYFUNCTION("""COMPUTED_VALUE"""),"fast sale for fixer upper")</f>
        <v>fast sale for fixer upper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IFERROR(__xludf.DUMMYFUNCTION("""COMPUTED_VALUE"""),"cash sale for fixer upper")</f>
        <v>cash sale for fixer upper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IFERROR(__xludf.DUMMYFUNCTION("""COMPUTED_VALUE"""),"cash offer for fixer upper")</f>
        <v>cash offer for fixer upper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IFERROR(__xludf.DUMMYFUNCTION("""COMPUTED_VALUE"""),"as is buyer for fixer upper")</f>
        <v>as is buyer for fixer upper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IFERROR(__xludf.DUMMYFUNCTION("""COMPUTED_VALUE"""),"sell ugly house")</f>
        <v>sell ugly house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IFERROR(__xludf.DUMMYFUNCTION("""COMPUTED_VALUE"""),"sell my ugly house")</f>
        <v>sell my ugly house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IFERROR(__xludf.DUMMYFUNCTION("""COMPUTED_VALUE"""),"sell your ugly house")</f>
        <v>sell your ugly house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IFERROR(__xludf.DUMMYFUNCTION("""COMPUTED_VALUE"""),"we buy ugly house")</f>
        <v>we buy ugly house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IFERROR(__xludf.DUMMYFUNCTION("""COMPUTED_VALUE"""),"cash buyer for ugly house")</f>
        <v>cash buyer for ugly house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IFERROR(__xludf.DUMMYFUNCTION("""COMPUTED_VALUE"""),"home buyer for ugly house")</f>
        <v>home buyer for ugly house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IFERROR(__xludf.DUMMYFUNCTION("""COMPUTED_VALUE"""),"fast sale for ugly house")</f>
        <v>fast sale for ugly house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IFERROR(__xludf.DUMMYFUNCTION("""COMPUTED_VALUE"""),"cash sale for ugly house")</f>
        <v>cash sale for ugly house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IFERROR(__xludf.DUMMYFUNCTION("""COMPUTED_VALUE"""),"cash offer for ugly house")</f>
        <v>cash offer for ugly house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IFERROR(__xludf.DUMMYFUNCTION("""COMPUTED_VALUE"""),"as is buyer for ugly house")</f>
        <v>as is buyer for ugly house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IFERROR(__xludf.DUMMYFUNCTION("""COMPUTED_VALUE"""),"sell fire damaged house")</f>
        <v>sell fire damaged house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IFERROR(__xludf.DUMMYFUNCTION("""COMPUTED_VALUE"""),"sell my fire damaged house")</f>
        <v>sell my fire damaged house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IFERROR(__xludf.DUMMYFUNCTION("""COMPUTED_VALUE"""),"sell your fire damaged house")</f>
        <v>sell your fire damaged house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IFERROR(__xludf.DUMMYFUNCTION("""COMPUTED_VALUE"""),"we buy fire damaged house")</f>
        <v>we buy fire damaged house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IFERROR(__xludf.DUMMYFUNCTION("""COMPUTED_VALUE"""),"cash buyer for fire damaged house")</f>
        <v>cash buyer for fire damaged house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IFERROR(__xludf.DUMMYFUNCTION("""COMPUTED_VALUE"""),"home buyer for fire damaged house")</f>
        <v>home buyer for fire damaged house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IFERROR(__xludf.DUMMYFUNCTION("""COMPUTED_VALUE"""),"fast sale for fire damaged house")</f>
        <v>fast sale for fire damaged house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IFERROR(__xludf.DUMMYFUNCTION("""COMPUTED_VALUE"""),"cash sale for fire damaged house")</f>
        <v>cash sale for fire damaged house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IFERROR(__xludf.DUMMYFUNCTION("""COMPUTED_VALUE"""),"cash offer for fire damaged house")</f>
        <v>cash offer for fire damaged house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IFERROR(__xludf.DUMMYFUNCTION("""COMPUTED_VALUE"""),"as is buyer for fire damaged house")</f>
        <v>as is buyer for fire damaged house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IFERROR(__xludf.DUMMYFUNCTION("""COMPUTED_VALUE"""),"sell water damaged house")</f>
        <v>sell water damaged house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IFERROR(__xludf.DUMMYFUNCTION("""COMPUTED_VALUE"""),"sell my water damaged house")</f>
        <v>sell my water damaged house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IFERROR(__xludf.DUMMYFUNCTION("""COMPUTED_VALUE"""),"sell your water damaged house")</f>
        <v>sell your water damaged house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IFERROR(__xludf.DUMMYFUNCTION("""COMPUTED_VALUE"""),"we buy water damaged house")</f>
        <v>we buy water damaged house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IFERROR(__xludf.DUMMYFUNCTION("""COMPUTED_VALUE"""),"cash buyer for water damaged house")</f>
        <v>cash buyer for water damaged house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IFERROR(__xludf.DUMMYFUNCTION("""COMPUTED_VALUE"""),"home buyer for water damaged house")</f>
        <v>home buyer for water damaged house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IFERROR(__xludf.DUMMYFUNCTION("""COMPUTED_VALUE"""),"fast sale for water damaged house")</f>
        <v>fast sale for water damaged house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IFERROR(__xludf.DUMMYFUNCTION("""COMPUTED_VALUE"""),"cash sale for water damaged house")</f>
        <v>cash sale for water damaged house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IFERROR(__xludf.DUMMYFUNCTION("""COMPUTED_VALUE"""),"cash offer for water damaged house")</f>
        <v>cash offer for water damaged house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IFERROR(__xludf.DUMMYFUNCTION("""COMPUTED_VALUE"""),"as is buyer for water damaged house")</f>
        <v>as is buyer for water damaged house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IFERROR(__xludf.DUMMYFUNCTION("""COMPUTED_VALUE"""),"sell hoarder house")</f>
        <v>sell hoarder house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IFERROR(__xludf.DUMMYFUNCTION("""COMPUTED_VALUE"""),"sell my hoarder house")</f>
        <v>sell my hoarder house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IFERROR(__xludf.DUMMYFUNCTION("""COMPUTED_VALUE"""),"sell your hoarder house")</f>
        <v>sell your hoarder house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IFERROR(__xludf.DUMMYFUNCTION("""COMPUTED_VALUE"""),"we buy hoarder house")</f>
        <v>we buy hoarder house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IFERROR(__xludf.DUMMYFUNCTION("""COMPUTED_VALUE"""),"cash buyer for hoarder house")</f>
        <v>cash buyer for hoarder house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IFERROR(__xludf.DUMMYFUNCTION("""COMPUTED_VALUE"""),"home buyer for hoarder house")</f>
        <v>home buyer for hoarder house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IFERROR(__xludf.DUMMYFUNCTION("""COMPUTED_VALUE"""),"fast sale for hoarder house")</f>
        <v>fast sale for hoarder house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IFERROR(__xludf.DUMMYFUNCTION("""COMPUTED_VALUE"""),"cash sale for hoarder house")</f>
        <v>cash sale for hoarder house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IFERROR(__xludf.DUMMYFUNCTION("""COMPUTED_VALUE"""),"cash offer for hoarder house")</f>
        <v>cash offer for hoarder house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IFERROR(__xludf.DUMMYFUNCTION("""COMPUTED_VALUE"""),"as is buyer for hoarder house")</f>
        <v>as is buyer for hoarder house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IFERROR(__xludf.DUMMYFUNCTION("""COMPUTED_VALUE"""),"sell condemned house")</f>
        <v>sell condemned house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IFERROR(__xludf.DUMMYFUNCTION("""COMPUTED_VALUE"""),"sell my condemned house")</f>
        <v>sell my condemned house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IFERROR(__xludf.DUMMYFUNCTION("""COMPUTED_VALUE"""),"sell your condemned house")</f>
        <v>sell your condemned house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IFERROR(__xludf.DUMMYFUNCTION("""COMPUTED_VALUE"""),"we buy condemned house")</f>
        <v>we buy condemned house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IFERROR(__xludf.DUMMYFUNCTION("""COMPUTED_VALUE"""),"cash buyer for condemned house")</f>
        <v>cash buyer for condemned house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IFERROR(__xludf.DUMMYFUNCTION("""COMPUTED_VALUE"""),"home buyer for condemned house")</f>
        <v>home buyer for condemned house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IFERROR(__xludf.DUMMYFUNCTION("""COMPUTED_VALUE"""),"fast sale for condemned house")</f>
        <v>fast sale for condemned house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IFERROR(__xludf.DUMMYFUNCTION("""COMPUTED_VALUE"""),"cash sale for condemned house")</f>
        <v>cash sale for condemned house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IFERROR(__xludf.DUMMYFUNCTION("""COMPUTED_VALUE"""),"cash offer for condemned house")</f>
        <v>cash offer for condemned house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IFERROR(__xludf.DUMMYFUNCTION("""COMPUTED_VALUE"""),"as is buyer for condemned house")</f>
        <v>as is buyer for condemned house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IFERROR(__xludf.DUMMYFUNCTION("""COMPUTED_VALUE"""),"sell house with tenants")</f>
        <v>sell house with tenants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IFERROR(__xludf.DUMMYFUNCTION("""COMPUTED_VALUE"""),"sell my house with tenants")</f>
        <v>sell my house with tenants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IFERROR(__xludf.DUMMYFUNCTION("""COMPUTED_VALUE"""),"sell your house with tenants")</f>
        <v>sell your house with tenants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IFERROR(__xludf.DUMMYFUNCTION("""COMPUTED_VALUE"""),"we buy house with tenants")</f>
        <v>we buy house with tenants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IFERROR(__xludf.DUMMYFUNCTION("""COMPUTED_VALUE"""),"cash buyer for house with tenants")</f>
        <v>cash buyer for house with tenants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IFERROR(__xludf.DUMMYFUNCTION("""COMPUTED_VALUE"""),"home buyer for house with tenants")</f>
        <v>home buyer for house with tenants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IFERROR(__xludf.DUMMYFUNCTION("""COMPUTED_VALUE"""),"fast sale for house with tenants")</f>
        <v>fast sale for house with tenants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IFERROR(__xludf.DUMMYFUNCTION("""COMPUTED_VALUE"""),"cash sale for house with tenants")</f>
        <v>cash sale for house with tenants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IFERROR(__xludf.DUMMYFUNCTION("""COMPUTED_VALUE"""),"cash offer for house with tenants")</f>
        <v>cash offer for house with tenants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IFERROR(__xludf.DUMMYFUNCTION("""COMPUTED_VALUE"""),"as is buyer for house with tenants")</f>
        <v>as is buyer for house with tenants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IFERROR(__xludf.DUMMYFUNCTION("""COMPUTED_VALUE"""),"sell single family home")</f>
        <v>sell single family home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IFERROR(__xludf.DUMMYFUNCTION("""COMPUTED_VALUE"""),"sell my single family home")</f>
        <v>sell my single family home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IFERROR(__xludf.DUMMYFUNCTION("""COMPUTED_VALUE"""),"sell your single family home")</f>
        <v>sell your single family home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IFERROR(__xludf.DUMMYFUNCTION("""COMPUTED_VALUE"""),"we buy single family home")</f>
        <v>we buy single family home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IFERROR(__xludf.DUMMYFUNCTION("""COMPUTED_VALUE"""),"cash buyer for single family home")</f>
        <v>cash buyer for single family home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IFERROR(__xludf.DUMMYFUNCTION("""COMPUTED_VALUE"""),"home buyer for single family home")</f>
        <v>home buyer for single family home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IFERROR(__xludf.DUMMYFUNCTION("""COMPUTED_VALUE"""),"fast sale for single family home")</f>
        <v>fast sale for single family home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IFERROR(__xludf.DUMMYFUNCTION("""COMPUTED_VALUE"""),"cash sale for single family home")</f>
        <v>cash sale for single family home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IFERROR(__xludf.DUMMYFUNCTION("""COMPUTED_VALUE"""),"cash offer for single family home")</f>
        <v>cash offer for single family home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IFERROR(__xludf.DUMMYFUNCTION("""COMPUTED_VALUE"""),"as is buyer for single family home")</f>
        <v>as is buyer for single family home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IFERROR(__xludf.DUMMYFUNCTION("""COMPUTED_VALUE"""),"sell estate property")</f>
        <v>sell estate property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IFERROR(__xludf.DUMMYFUNCTION("""COMPUTED_VALUE"""),"sell my estate property")</f>
        <v>sell my estate property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IFERROR(__xludf.DUMMYFUNCTION("""COMPUTED_VALUE"""),"sell your estate property")</f>
        <v>sell your estate property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IFERROR(__xludf.DUMMYFUNCTION("""COMPUTED_VALUE"""),"we buy estate property")</f>
        <v>we buy estate property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IFERROR(__xludf.DUMMYFUNCTION("""COMPUTED_VALUE"""),"cash buyer for estate property")</f>
        <v>cash buyer for estate property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IFERROR(__xludf.DUMMYFUNCTION("""COMPUTED_VALUE"""),"home buyer for estate property")</f>
        <v>home buyer for estate property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IFERROR(__xludf.DUMMYFUNCTION("""COMPUTED_VALUE"""),"fast sale for estate property")</f>
        <v>fast sale for estate property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IFERROR(__xludf.DUMMYFUNCTION("""COMPUTED_VALUE"""),"cash sale for estate property")</f>
        <v>cash sale for estate property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IFERROR(__xludf.DUMMYFUNCTION("""COMPUTED_VALUE"""),"cash offer for estate property")</f>
        <v>cash offer for estate property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IFERROR(__xludf.DUMMYFUNCTION("""COMPUTED_VALUE"""),"as is buyer for estate property")</f>
        <v>as is buyer for estate property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IFERROR(__xludf.DUMMYFUNCTION("""COMPUTED_VALUE"""),"sell probate property")</f>
        <v>sell probate property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IFERROR(__xludf.DUMMYFUNCTION("""COMPUTED_VALUE"""),"sell my probate property")</f>
        <v>sell my probate property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IFERROR(__xludf.DUMMYFUNCTION("""COMPUTED_VALUE"""),"sell your probate property")</f>
        <v>sell your probate property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IFERROR(__xludf.DUMMYFUNCTION("""COMPUTED_VALUE"""),"we buy probate property")</f>
        <v>we buy probate property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IFERROR(__xludf.DUMMYFUNCTION("""COMPUTED_VALUE"""),"cash buyer for probate property")</f>
        <v>cash buyer for probate property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IFERROR(__xludf.DUMMYFUNCTION("""COMPUTED_VALUE"""),"home buyer for probate property")</f>
        <v>home buyer for probate property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IFERROR(__xludf.DUMMYFUNCTION("""COMPUTED_VALUE"""),"fast sale for probate property")</f>
        <v>fast sale for probate property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IFERROR(__xludf.DUMMYFUNCTION("""COMPUTED_VALUE"""),"cash sale for probate property")</f>
        <v>cash sale for probate property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IFERROR(__xludf.DUMMYFUNCTION("""COMPUTED_VALUE"""),"cash offer for probate property")</f>
        <v>cash offer for probate property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IFERROR(__xludf.DUMMYFUNCTION("""COMPUTED_VALUE"""),"as is buyer for probate property")</f>
        <v>as is buyer for probate property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IFERROR(__xludf.DUMMYFUNCTION("""COMPUTED_VALUE"""),"sell old house")</f>
        <v>sell old house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IFERROR(__xludf.DUMMYFUNCTION("""COMPUTED_VALUE"""),"sell my old house")</f>
        <v>sell my old house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IFERROR(__xludf.DUMMYFUNCTION("""COMPUTED_VALUE"""),"sell your old house")</f>
        <v>sell your old house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IFERROR(__xludf.DUMMYFUNCTION("""COMPUTED_VALUE"""),"we buy old house")</f>
        <v>we buy old house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IFERROR(__xludf.DUMMYFUNCTION("""COMPUTED_VALUE"""),"cash buyer for old house")</f>
        <v>cash buyer for old house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IFERROR(__xludf.DUMMYFUNCTION("""COMPUTED_VALUE"""),"home buyer for old house")</f>
        <v>home buyer for old house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IFERROR(__xludf.DUMMYFUNCTION("""COMPUTED_VALUE"""),"fast sale for old house")</f>
        <v>fast sale for old house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IFERROR(__xludf.DUMMYFUNCTION("""COMPUTED_VALUE"""),"cash sale for old house")</f>
        <v>cash sale for old house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IFERROR(__xludf.DUMMYFUNCTION("""COMPUTED_VALUE"""),"cash offer for old house")</f>
        <v>cash offer for old house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IFERROR(__xludf.DUMMYFUNCTION("""COMPUTED_VALUE"""),"as is buyer for old house")</f>
        <v>as is buyer for old house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IFERROR(__xludf.DUMMYFUNCTION("""COMPUTED_VALUE"""),"sell distressed property")</f>
        <v>sell distressed property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IFERROR(__xludf.DUMMYFUNCTION("""COMPUTED_VALUE"""),"sell my distressed property")</f>
        <v>sell my distressed property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IFERROR(__xludf.DUMMYFUNCTION("""COMPUTED_VALUE"""),"sell your distressed property")</f>
        <v>sell your distressed property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IFERROR(__xludf.DUMMYFUNCTION("""COMPUTED_VALUE"""),"we buy distressed property")</f>
        <v>we buy distressed property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IFERROR(__xludf.DUMMYFUNCTION("""COMPUTED_VALUE"""),"cash buyer for distressed property")</f>
        <v>cash buyer for distressed property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IFERROR(__xludf.DUMMYFUNCTION("""COMPUTED_VALUE"""),"home buyer for distressed property")</f>
        <v>home buyer for distressed property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IFERROR(__xludf.DUMMYFUNCTION("""COMPUTED_VALUE"""),"fast sale for distressed property")</f>
        <v>fast sale for distressed property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IFERROR(__xludf.DUMMYFUNCTION("""COMPUTED_VALUE"""),"cash sale for distressed property")</f>
        <v>cash sale for distressed property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IFERROR(__xludf.DUMMYFUNCTION("""COMPUTED_VALUE"""),"cash offer for distressed property")</f>
        <v>cash offer for distressed property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IFERROR(__xludf.DUMMYFUNCTION("""COMPUTED_VALUE"""),"as is buyer for distressed property")</f>
        <v>as is buyer for distressed property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IFERROR(__xludf.DUMMYFUNCTION("""COMPUTED_VALUE"""),"sell problem property")</f>
        <v>sell problem property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IFERROR(__xludf.DUMMYFUNCTION("""COMPUTED_VALUE"""),"sell my problem property")</f>
        <v>sell my problem property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IFERROR(__xludf.DUMMYFUNCTION("""COMPUTED_VALUE"""),"sell your problem property")</f>
        <v>sell your problem property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IFERROR(__xludf.DUMMYFUNCTION("""COMPUTED_VALUE"""),"we buy problem property")</f>
        <v>we buy problem property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IFERROR(__xludf.DUMMYFUNCTION("""COMPUTED_VALUE"""),"cash buyer for problem property")</f>
        <v>cash buyer for problem property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IFERROR(__xludf.DUMMYFUNCTION("""COMPUTED_VALUE"""),"home buyer for problem property")</f>
        <v>home buyer for problem property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IFERROR(__xludf.DUMMYFUNCTION("""COMPUTED_VALUE"""),"fast sale for problem property")</f>
        <v>fast sale for problem property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IFERROR(__xludf.DUMMYFUNCTION("""COMPUTED_VALUE"""),"cash sale for problem property")</f>
        <v>cash sale for problem property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IFERROR(__xludf.DUMMYFUNCTION("""COMPUTED_VALUE"""),"cash offer for problem property")</f>
        <v>cash offer for problem property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IFERROR(__xludf.DUMMYFUNCTION("""COMPUTED_VALUE"""),"as is buyer for problem property")</f>
        <v>as is buyer for problem property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IFERROR(__xludf.DUMMYFUNCTION("""COMPUTED_VALUE"""),"sell off market property")</f>
        <v>sell off market property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IFERROR(__xludf.DUMMYFUNCTION("""COMPUTED_VALUE"""),"sell my off market property")</f>
        <v>sell my off market property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IFERROR(__xludf.DUMMYFUNCTION("""COMPUTED_VALUE"""),"sell your off market property")</f>
        <v>sell your off market property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IFERROR(__xludf.DUMMYFUNCTION("""COMPUTED_VALUE"""),"we buy off market property")</f>
        <v>we buy off market property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IFERROR(__xludf.DUMMYFUNCTION("""COMPUTED_VALUE"""),"cash buyer for off market property")</f>
        <v>cash buyer for off market property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IFERROR(__xludf.DUMMYFUNCTION("""COMPUTED_VALUE"""),"home buyer for off market property")</f>
        <v>home buyer for off market property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IFERROR(__xludf.DUMMYFUNCTION("""COMPUTED_VALUE"""),"fast sale for off market property")</f>
        <v>fast sale for off market property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IFERROR(__xludf.DUMMYFUNCTION("""COMPUTED_VALUE"""),"cash sale for off market property")</f>
        <v>cash sale for off market property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IFERROR(__xludf.DUMMYFUNCTION("""COMPUTED_VALUE"""),"cash offer for off market property")</f>
        <v>cash offer for off market property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IFERROR(__xludf.DUMMYFUNCTION("""COMPUTED_VALUE"""),"as is buyer for off market property")</f>
        <v>as is buyer for off market property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IFERROR(__xludf.DUMMYFUNCTION("""COMPUTED_VALUE"""),"sell house with code violations")</f>
        <v>sell house with code violations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IFERROR(__xludf.DUMMYFUNCTION("""COMPUTED_VALUE"""),"sell my house with code violations")</f>
        <v>sell my house with code violations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IFERROR(__xludf.DUMMYFUNCTION("""COMPUTED_VALUE"""),"sell your house with code violations")</f>
        <v>sell your house with code violations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IFERROR(__xludf.DUMMYFUNCTION("""COMPUTED_VALUE"""),"we buy house with code violations")</f>
        <v>we buy house with code violations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IFERROR(__xludf.DUMMYFUNCTION("""COMPUTED_VALUE"""),"cash buyer for house with code violations")</f>
        <v>cash buyer for house with code violations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IFERROR(__xludf.DUMMYFUNCTION("""COMPUTED_VALUE"""),"home buyer for house with code violations")</f>
        <v>home buyer for house with code violations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IFERROR(__xludf.DUMMYFUNCTION("""COMPUTED_VALUE"""),"fast sale for house with code violations")</f>
        <v>fast sale for house with code violations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IFERROR(__xludf.DUMMYFUNCTION("""COMPUTED_VALUE"""),"cash sale for house with code violations")</f>
        <v>cash sale for house with code violations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IFERROR(__xludf.DUMMYFUNCTION("""COMPUTED_VALUE"""),"cash offer for house with code violations")</f>
        <v>cash offer for house with code violations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IFERROR(__xludf.DUMMYFUNCTION("""COMPUTED_VALUE"""),"as is buyer for house with code violations")</f>
        <v>as is buyer for house with code violations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IFERROR(__xludf.DUMMYFUNCTION("""COMPUTED_VALUE"""),"sell house with liens")</f>
        <v>sell house with liens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IFERROR(__xludf.DUMMYFUNCTION("""COMPUTED_VALUE"""),"sell my house with liens")</f>
        <v>sell my house with liens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IFERROR(__xludf.DUMMYFUNCTION("""COMPUTED_VALUE"""),"sell your house with liens")</f>
        <v>sell your house with liens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IFERROR(__xludf.DUMMYFUNCTION("""COMPUTED_VALUE"""),"we buy house with liens")</f>
        <v>we buy house with liens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IFERROR(__xludf.DUMMYFUNCTION("""COMPUTED_VALUE"""),"cash buyer for house with liens")</f>
        <v>cash buyer for house with liens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IFERROR(__xludf.DUMMYFUNCTION("""COMPUTED_VALUE"""),"home buyer for house with liens")</f>
        <v>home buyer for house with liens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IFERROR(__xludf.DUMMYFUNCTION("""COMPUTED_VALUE"""),"fast sale for house with liens")</f>
        <v>fast sale for house with liens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IFERROR(__xludf.DUMMYFUNCTION("""COMPUTED_VALUE"""),"cash sale for house with liens")</f>
        <v>cash sale for house with liens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IFERROR(__xludf.DUMMYFUNCTION("""COMPUTED_VALUE"""),"cash offer for house with liens")</f>
        <v>cash offer for house with liens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IFERROR(__xludf.DUMMYFUNCTION("""COMPUTED_VALUE"""),"as is buyer for house with liens")</f>
        <v>as is buyer for house with liens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IFERROR(__xludf.DUMMYFUNCTION("""COMPUTED_VALUE"""),"sell unfinished construction")</f>
        <v>sell unfinished construction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IFERROR(__xludf.DUMMYFUNCTION("""COMPUTED_VALUE"""),"sell my unfinished construction")</f>
        <v>sell my unfinished construction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IFERROR(__xludf.DUMMYFUNCTION("""COMPUTED_VALUE"""),"sell your unfinished construction")</f>
        <v>sell your unfinished construction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IFERROR(__xludf.DUMMYFUNCTION("""COMPUTED_VALUE"""),"we buy unfinished construction")</f>
        <v>we buy unfinished construction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IFERROR(__xludf.DUMMYFUNCTION("""COMPUTED_VALUE"""),"cash buyer for unfinished construction")</f>
        <v>cash buyer for unfinished construction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IFERROR(__xludf.DUMMYFUNCTION("""COMPUTED_VALUE"""),"home buyer for unfinished construction")</f>
        <v>home buyer for unfinished construction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IFERROR(__xludf.DUMMYFUNCTION("""COMPUTED_VALUE"""),"fast sale for unfinished construction")</f>
        <v>fast sale for unfinished construction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IFERROR(__xludf.DUMMYFUNCTION("""COMPUTED_VALUE"""),"cash sale for unfinished construction")</f>
        <v>cash sale for unfinished construction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IFERROR(__xludf.DUMMYFUNCTION("""COMPUTED_VALUE"""),"cash offer for unfinished construction")</f>
        <v>cash offer for unfinished construction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IFERROR(__xludf.DUMMYFUNCTION("""COMPUTED_VALUE"""),"as is buyer for unfinished construction")</f>
        <v>as is buyer for unfinished construction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IFERROR(__xludf.DUMMYFUNCTION("""COMPUTED_VALUE"""),"sell rental portfolio")</f>
        <v>sell rental portfolio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IFERROR(__xludf.DUMMYFUNCTION("""COMPUTED_VALUE"""),"sell my rental portfolio")</f>
        <v>sell my rental portfolio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IFERROR(__xludf.DUMMYFUNCTION("""COMPUTED_VALUE"""),"sell your rental portfolio")</f>
        <v>sell your rental portfolio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IFERROR(__xludf.DUMMYFUNCTION("""COMPUTED_VALUE"""),"we buy rental portfolio")</f>
        <v>we buy rental portfolio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IFERROR(__xludf.DUMMYFUNCTION("""COMPUTED_VALUE"""),"cash buyer for rental portfolio")</f>
        <v>cash buyer for rental portfolio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IFERROR(__xludf.DUMMYFUNCTION("""COMPUTED_VALUE"""),"home buyer for rental portfolio")</f>
        <v>home buyer for rental portfolio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IFERROR(__xludf.DUMMYFUNCTION("""COMPUTED_VALUE"""),"fast sale for rental portfolio")</f>
        <v>fast sale for rental portfolio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IFERROR(__xludf.DUMMYFUNCTION("""COMPUTED_VALUE"""),"cash sale for rental portfolio")</f>
        <v>cash sale for rental portfolio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IFERROR(__xludf.DUMMYFUNCTION("""COMPUTED_VALUE"""),"cash offer for rental portfolio")</f>
        <v>cash offer for rental portfolio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IFERROR(__xludf.DUMMYFUNCTION("""COMPUTED_VALUE"""),"as is buyer for rental portfolio")</f>
        <v>as is buyer for rental portfolio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IFERROR(__xludf.DUMMYFUNCTION("""COMPUTED_VALUE"""),"sell vacant property")</f>
        <v>sell vacant property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IFERROR(__xludf.DUMMYFUNCTION("""COMPUTED_VALUE"""),"sell my vacant property")</f>
        <v>sell my vacant property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IFERROR(__xludf.DUMMYFUNCTION("""COMPUTED_VALUE"""),"sell your vacant property")</f>
        <v>sell your vacant property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IFERROR(__xludf.DUMMYFUNCTION("""COMPUTED_VALUE"""),"we buy vacant property")</f>
        <v>we buy vacant property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IFERROR(__xludf.DUMMYFUNCTION("""COMPUTED_VALUE"""),"cash buyer for vacant property")</f>
        <v>cash buyer for vacant property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IFERROR(__xludf.DUMMYFUNCTION("""COMPUTED_VALUE"""),"home buyer for vacant property")</f>
        <v>home buyer for vacant property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IFERROR(__xludf.DUMMYFUNCTION("""COMPUTED_VALUE"""),"fast sale for vacant property")</f>
        <v>fast sale for vacant property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IFERROR(__xludf.DUMMYFUNCTION("""COMPUTED_VALUE"""),"cash sale for vacant property")</f>
        <v>cash sale for vacant property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IFERROR(__xludf.DUMMYFUNCTION("""COMPUTED_VALUE"""),"cash offer for vacant property")</f>
        <v>cash offer for vacant property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IFERROR(__xludf.DUMMYFUNCTION("""COMPUTED_VALUE"""),"as is buyer for vacant property")</f>
        <v>as is buyer for vacant property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IFERROR(__xludf.DUMMYFUNCTION("""COMPUTED_VALUE"""),"sell unwanted property")</f>
        <v>sell unwanted property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IFERROR(__xludf.DUMMYFUNCTION("""COMPUTED_VALUE"""),"sell my unwanted property")</f>
        <v>sell my unwanted property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IFERROR(__xludf.DUMMYFUNCTION("""COMPUTED_VALUE"""),"sell your unwanted property")</f>
        <v>sell your unwanted property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IFERROR(__xludf.DUMMYFUNCTION("""COMPUTED_VALUE"""),"we buy unwanted property")</f>
        <v>we buy unwanted property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IFERROR(__xludf.DUMMYFUNCTION("""COMPUTED_VALUE"""),"cash buyer for unwanted property")</f>
        <v>cash buyer for unwanted property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IFERROR(__xludf.DUMMYFUNCTION("""COMPUTED_VALUE"""),"home buyer for unwanted property")</f>
        <v>home buyer for unwanted property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IFERROR(__xludf.DUMMYFUNCTION("""COMPUTED_VALUE"""),"fast sale for unwanted property")</f>
        <v>fast sale for unwanted property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IFERROR(__xludf.DUMMYFUNCTION("""COMPUTED_VALUE"""),"cash sale for unwanted property")</f>
        <v>cash sale for unwanted property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IFERROR(__xludf.DUMMYFUNCTION("""COMPUTED_VALUE"""),"cash offer for unwanted property")</f>
        <v>cash offer for unwanted property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IFERROR(__xludf.DUMMYFUNCTION("""COMPUTED_VALUE"""),"as is buyer for unwanted property")</f>
        <v>as is buyer for unwanted property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 t="str">
        <f>IFERROR(__xludf.DUMMYFUNCTION("""COMPUTED_VALUE"""),"sell")</f>
        <v>sell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 t="str">
        <f>IFERROR(__xludf.DUMMYFUNCTION("""COMPUTED_VALUE"""),"sell my")</f>
        <v>sell my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 t="str">
        <f>IFERROR(__xludf.DUMMYFUNCTION("""COMPUTED_VALUE"""),"sell your")</f>
        <v>sell your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 t="str">
        <f>IFERROR(__xludf.DUMMYFUNCTION("""COMPUTED_VALUE"""),"we buy")</f>
        <v>we buy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 t="str">
        <f>IFERROR(__xludf.DUMMYFUNCTION("""COMPUTED_VALUE"""),"cash buyer for")</f>
        <v>cash buyer for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 t="str">
        <f>IFERROR(__xludf.DUMMYFUNCTION("""COMPUTED_VALUE"""),"home buyer for")</f>
        <v>home buyer for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 t="str">
        <f>IFERROR(__xludf.DUMMYFUNCTION("""COMPUTED_VALUE"""),"fast sale for")</f>
        <v>fast sale for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 t="str">
        <f>IFERROR(__xludf.DUMMYFUNCTION("""COMPUTED_VALUE"""),"cash sale for")</f>
        <v>cash sale for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 t="str">
        <f>IFERROR(__xludf.DUMMYFUNCTION("""COMPUTED_VALUE"""),"cash offer for")</f>
        <v>cash offer for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 t="str">
        <f>IFERROR(__xludf.DUMMYFUNCTION("""COMPUTED_VALUE"""),"as is buyer for")</f>
        <v>as is buyer for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10" width="18.0"/>
  </cols>
  <sheetData>
    <row r="1">
      <c r="A1" s="1"/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176</v>
      </c>
      <c r="I1" s="2" t="s">
        <v>200</v>
      </c>
      <c r="J1" s="2" t="s">
        <v>201</v>
      </c>
      <c r="K1" s="21" t="s">
        <v>173</v>
      </c>
      <c r="L1" s="1"/>
      <c r="M1" s="21" t="s">
        <v>38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41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1" t="s">
        <v>203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""&amp;$A3))"),"sell house for homeowners")</f>
        <v>sell house for homeowners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""&amp;$A3))"),"cash home buyer for homeowners")</f>
        <v>cash home buyer for homeowners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""&amp;$A3))"),"home buying help for homeowners")</f>
        <v>home buying help for homeowners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""&amp;$A3))"),"sell property for homeowners")</f>
        <v>sell property for homeowners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""&amp;$A3))"),"sell home fast for homeowners")</f>
        <v>sell home fast for homeowners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""&amp;$A3))"),"sell house as is for homeowners")</f>
        <v>sell house as is for homeowners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""&amp;$A3))"),"cash offer for homeowners")</f>
        <v>cash offer for homeowners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""&amp;$A3))"),"help selling house for homeowners")</f>
        <v>help selling house for homeowners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""&amp;$A3))"),"we buy houses from homeowners")</f>
        <v>we buy houses from homeowners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""&amp;$A3))"),"home buyer for homeowners")</f>
        <v>home buyer for homeowners</v>
      </c>
      <c r="L3" s="13"/>
      <c r="M3" s="13" t="str">
        <f>IFERROR(__xludf.DUMMYFUNCTION("FLATTEN(B3:K38,B1:K1)"),"sell house for homeowners")</f>
        <v>sell house for homeowners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1" t="s">
        <v>205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""&amp;$A4))"),"sell house for motivated sellers")</f>
        <v>sell house for motivated sellers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""&amp;$A4))"),"cash home buyer for motivated sellers")</f>
        <v>cash home buyer for motivated sellers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""&amp;$A4))"),"home buying help for motivated sellers")</f>
        <v>home buying help for motivated sellers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""&amp;$A4))"),"sell property for motivated sellers")</f>
        <v>sell property for motivated sellers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""&amp;$A4))"),"sell home fast for motivated sellers")</f>
        <v>sell home fast for motivated sellers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""&amp;$A4))"),"sell house as is for motivated sellers")</f>
        <v>sell house as is for motivated sellers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""&amp;$A4))"),"cash offer for motivated sellers")</f>
        <v>cash offer for motivated sellers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""&amp;$A4))"),"help selling house for motivated sellers")</f>
        <v>help selling house for motivated sellers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""&amp;$A4))"),"we buy houses from motivated sellers")</f>
        <v>we buy houses from motivated sellers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""&amp;$A4))"),"home buyer for motivated sellers")</f>
        <v>home buyer for motivated sellers</v>
      </c>
      <c r="L4" s="13"/>
      <c r="M4" s="13" t="str">
        <f>IFERROR(__xludf.DUMMYFUNCTION("""COMPUTED_VALUE"""),"cash home buyer for homeowners")</f>
        <v>cash home buyer for homeowners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1" t="s">
        <v>207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""&amp;$A5))"),"sell house for distressed homeowners")</f>
        <v>sell house for distressed homeowners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""&amp;$A5))"),"cash home buyer for distressed homeowners")</f>
        <v>cash home buyer for distressed homeowners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""&amp;$A5))"),"home buying help for distressed homeowners")</f>
        <v>home buying help for distressed homeowners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""&amp;$A5))"),"sell property for distressed homeowners")</f>
        <v>sell property for distressed homeowners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""&amp;$A5))"),"sell home fast for distressed homeowners")</f>
        <v>sell home fast for distressed homeowners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""&amp;$A5))"),"sell house as is for distressed homeowners")</f>
        <v>sell house as is for distressed homeowners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""&amp;$A5))"),"cash offer for distressed homeowners")</f>
        <v>cash offer for distressed homeowners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""&amp;$A5))"),"help selling house for distressed homeowners")</f>
        <v>help selling house for distressed homeowners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""&amp;$A5))"),"we buy houses from distressed homeowners")</f>
        <v>we buy houses from distressed homeowners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""&amp;$A5))"),"home buyer for distressed homeowners")</f>
        <v>home buyer for distressed homeowners</v>
      </c>
      <c r="L5" s="13"/>
      <c r="M5" s="13" t="str">
        <f>IFERROR(__xludf.DUMMYFUNCTION("""COMPUTED_VALUE"""),"home buying help for homeowners")</f>
        <v>home buying help for homeowners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1" t="s">
        <v>216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""&amp;$A6))"),"sell house for tired landlords")</f>
        <v>sell house for tired landlords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""&amp;$A6))"),"cash home buyer for tired landlords")</f>
        <v>cash home buyer for tired landlords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""&amp;$A6))"),"home buying help for tired landlords")</f>
        <v>home buying help for tired landlords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""&amp;$A6))"),"sell property for tired landlords")</f>
        <v>sell property for tired landlords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""&amp;$A6))"),"sell home fast for tired landlords")</f>
        <v>sell home fast for tired landlords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""&amp;$A6))"),"sell house as is for tired landlords")</f>
        <v>sell house as is for tired landlords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""&amp;$A6))"),"cash offer for tired landlords")</f>
        <v>cash offer for tired landlords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""&amp;$A6))"),"help selling house for tired landlords")</f>
        <v>help selling house for tired landlords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""&amp;$A6))"),"we buy houses from tired landlords")</f>
        <v>we buy houses from tired landlords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""&amp;$A6))"),"home buyer for tired landlords")</f>
        <v>home buyer for tired landlords</v>
      </c>
      <c r="L6" s="13"/>
      <c r="M6" s="13" t="str">
        <f>IFERROR(__xludf.DUMMYFUNCTION("""COMPUTED_VALUE"""),"sell property for homeowners")</f>
        <v>sell property for homeowners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1" t="s">
        <v>217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""&amp;$A7))"),"sell house for rental property owners")</f>
        <v>sell house for rental property owners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""&amp;$A7))"),"cash home buyer for rental property owners")</f>
        <v>cash home buyer for rental property owners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""&amp;$A7))"),"home buying help for rental property owners")</f>
        <v>home buying help for rental property owners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""&amp;$A7))"),"sell property for rental property owners")</f>
        <v>sell property for rental property owners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""&amp;$A7))"),"sell home fast for rental property owners")</f>
        <v>sell home fast for rental property owners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""&amp;$A7))"),"sell house as is for rental property owners")</f>
        <v>sell house as is for rental property owners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""&amp;$A7))"),"cash offer for rental property owners")</f>
        <v>cash offer for rental property owners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""&amp;$A7))"),"help selling house for rental property owners")</f>
        <v>help selling house for rental property owners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""&amp;$A7))"),"we buy houses from rental property owners")</f>
        <v>we buy houses from rental property owners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""&amp;$A7))"),"home buyer for rental property owners")</f>
        <v>home buyer for rental property owners</v>
      </c>
      <c r="L7" s="13"/>
      <c r="M7" s="13" t="str">
        <f>IFERROR(__xludf.DUMMYFUNCTION("""COMPUTED_VALUE"""),"sell home fast for homeowners")</f>
        <v>sell home fast for homeowners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1" t="s">
        <v>220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""&amp;$A8))"),"sell house for inherited property owners")</f>
        <v>sell house for inherited property owners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""&amp;$A8))"),"cash home buyer for inherited property owners")</f>
        <v>cash home buyer for inherited property owners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""&amp;$A8))"),"home buying help for inherited property owners")</f>
        <v>home buying help for inherited property owners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""&amp;$A8))"),"sell property for inherited property owners")</f>
        <v>sell property for inherited property owners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""&amp;$A8))"),"sell home fast for inherited property owners")</f>
        <v>sell home fast for inherited property owners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""&amp;$A8))"),"sell house as is for inherited property owners")</f>
        <v>sell house as is for inherited property owners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""&amp;$A8))"),"cash offer for inherited property owners")</f>
        <v>cash offer for inherited property owners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""&amp;$A8))"),"help selling house for inherited property owners")</f>
        <v>help selling house for inherited property owners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""&amp;$A8))"),"we buy houses from inherited property owners")</f>
        <v>we buy houses from inherited property owners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""&amp;$A8))"),"home buyer for inherited property owners")</f>
        <v>home buyer for inherited property owners</v>
      </c>
      <c r="L8" s="13"/>
      <c r="M8" s="13" t="str">
        <f>IFERROR(__xludf.DUMMYFUNCTION("""COMPUTED_VALUE"""),"sell house as is for homeowners")</f>
        <v>sell house as is for homeowners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1" t="s">
        <v>221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""&amp;$A9))"),"sell house for probate sellers")</f>
        <v>sell house for probate sellers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""&amp;$A9))"),"cash home buyer for probate sellers")</f>
        <v>cash home buyer for probate sellers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""&amp;$A9))"),"home buying help for probate sellers")</f>
        <v>home buying help for probate sellers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""&amp;$A9))"),"sell property for probate sellers")</f>
        <v>sell property for probate sellers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""&amp;$A9))"),"sell home fast for probate sellers")</f>
        <v>sell home fast for probate sellers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""&amp;$A9))"),"sell house as is for probate sellers")</f>
        <v>sell house as is for probate sellers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""&amp;$A9))"),"cash offer for probate sellers")</f>
        <v>cash offer for probate sellers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""&amp;$A9))"),"help selling house for probate sellers")</f>
        <v>help selling house for probate sellers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""&amp;$A9))"),"we buy houses from probate sellers")</f>
        <v>we buy houses from probate sellers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""&amp;$A9))"),"home buyer for probate sellers")</f>
        <v>home buyer for probate sellers</v>
      </c>
      <c r="L9" s="13"/>
      <c r="M9" s="13" t="str">
        <f>IFERROR(__xludf.DUMMYFUNCTION("""COMPUTED_VALUE"""),"cash offer for homeowners")</f>
        <v>cash offer for homeowners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1" t="s">
        <v>223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""&amp;$A10))"),"sell house for estate property sellers")</f>
        <v>sell house for estate property sellers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""&amp;$A10))"),"cash home buyer for estate property sellers")</f>
        <v>cash home buyer for estate property sellers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""&amp;$A10))"),"home buying help for estate property sellers")</f>
        <v>home buying help for estate property sellers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""&amp;$A10))"),"sell property for estate property sellers")</f>
        <v>sell property for estate property sellers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""&amp;$A10))"),"sell home fast for estate property sellers")</f>
        <v>sell home fast for estate property sellers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""&amp;$A10))"),"sell house as is for estate property sellers")</f>
        <v>sell house as is for estate property sellers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""&amp;$A10))"),"cash offer for estate property sellers")</f>
        <v>cash offer for estate property sellers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""&amp;$A10))"),"help selling house for estate property sellers")</f>
        <v>help selling house for estate property sellers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""&amp;$A10))"),"we buy houses from estate property sellers")</f>
        <v>we buy houses from estate property sellers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""&amp;$A10))"),"home buyer for estate property sellers")</f>
        <v>home buyer for estate property sellers</v>
      </c>
      <c r="L10" s="13"/>
      <c r="M10" s="13" t="str">
        <f>IFERROR(__xludf.DUMMYFUNCTION("""COMPUTED_VALUE"""),"help selling house for homeowners")</f>
        <v>help selling house for homeowners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1" t="s">
        <v>225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""&amp;$A11))"),"sell house for absentee owners")</f>
        <v>sell house for absentee owners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""&amp;$A11))"),"cash home buyer for absentee owners")</f>
        <v>cash home buyer for absentee owners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""&amp;$A11))"),"home buying help for absentee owners")</f>
        <v>home buying help for absentee owners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""&amp;$A11))"),"sell property for absentee owners")</f>
        <v>sell property for absentee owners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""&amp;$A11))"),"sell home fast for absentee owners")</f>
        <v>sell home fast for absentee owners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""&amp;$A11))"),"sell house as is for absentee owners")</f>
        <v>sell house as is for absentee owners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""&amp;$A11))"),"cash offer for absentee owners")</f>
        <v>cash offer for absentee owners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""&amp;$A11))"),"help selling house for absentee owners")</f>
        <v>help selling house for absentee owners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""&amp;$A11))"),"we buy houses from absentee owners")</f>
        <v>we buy houses from absentee owners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""&amp;$A11))"),"home buyer for absentee owners")</f>
        <v>home buyer for absentee owners</v>
      </c>
      <c r="L11" s="13"/>
      <c r="M11" s="13" t="str">
        <f>IFERROR(__xludf.DUMMYFUNCTION("""COMPUTED_VALUE"""),"we buy houses from homeowners")</f>
        <v>we buy houses from homeowners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1" t="s">
        <v>227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""&amp;$A12))"),"sell house for out of state owners")</f>
        <v>sell house for out of state owners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""&amp;$A12))"),"cash home buyer for out of state owners")</f>
        <v>cash home buyer for out of state owners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""&amp;$A12))"),"home buying help for out of state owners")</f>
        <v>home buying help for out of state owners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""&amp;$A12))"),"sell property for out of state owners")</f>
        <v>sell property for out of state owners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""&amp;$A12))"),"sell home fast for out of state owners")</f>
        <v>sell home fast for out of state owners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""&amp;$A12))"),"sell house as is for out of state owners")</f>
        <v>sell house as is for out of state owners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""&amp;$A12))"),"cash offer for out of state owners")</f>
        <v>cash offer for out of state owners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""&amp;$A12))"),"help selling house for out of state owners")</f>
        <v>help selling house for out of state owners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""&amp;$A12))"),"we buy houses from out of state owners")</f>
        <v>we buy houses from out of state owners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""&amp;$A12))"),"home buyer for out of state owners")</f>
        <v>home buyer for out of state owners</v>
      </c>
      <c r="L12" s="13"/>
      <c r="M12" s="13" t="str">
        <f>IFERROR(__xludf.DUMMYFUNCTION("""COMPUTED_VALUE"""),"home buyer for homeowners")</f>
        <v>home buyer for homeowners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1" t="s">
        <v>228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""&amp;$A13))"),"sell house for property owners")</f>
        <v>sell house for property owners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""&amp;$A13))"),"cash home buyer for property owners")</f>
        <v>cash home buyer for property owners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""&amp;$A13))"),"home buying help for property owners")</f>
        <v>home buying help for property owners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""&amp;$A13))"),"sell property for property owners")</f>
        <v>sell property for property owners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""&amp;$A13))"),"sell home fast for property owners")</f>
        <v>sell home fast for property owners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""&amp;$A13))"),"sell house as is for property owners")</f>
        <v>sell house as is for property owners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""&amp;$A13))"),"cash offer for property owners")</f>
        <v>cash offer for property owners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""&amp;$A13))"),"help selling house for property owners")</f>
        <v>help selling house for property owners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""&amp;$A13))"),"we buy houses from property owners")</f>
        <v>we buy houses from property owners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""&amp;$A13))"),"home buyer for property owners")</f>
        <v>home buyer for property owners</v>
      </c>
      <c r="L13" s="13"/>
      <c r="M13" s="13" t="str">
        <f>IFERROR(__xludf.DUMMYFUNCTION("""COMPUTED_VALUE"""),"sell house for motivated sellers")</f>
        <v>sell house for motivated sellers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230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""&amp;$A14))"),"sell house for homeowners with tenants")</f>
        <v>sell house for homeowners with tenants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""&amp;$A14))"),"cash home buyer for homeowners with tenants")</f>
        <v>cash home buyer for homeowners with tenants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""&amp;$A14))"),"home buying help for homeowners with tenants")</f>
        <v>home buying help for homeowners with tenants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""&amp;$A14))"),"sell property for homeowners with tenants")</f>
        <v>sell property for homeowners with tenants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""&amp;$A14))"),"sell home fast for homeowners with tenants")</f>
        <v>sell home fast for homeowners with tenants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""&amp;$A14))"),"sell house as is for homeowners with tenants")</f>
        <v>sell house as is for homeowners with tenants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""&amp;$A14))"),"cash offer for homeowners with tenants")</f>
        <v>cash offer for homeowners with tenants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""&amp;$A14))"),"help selling house for homeowners with tenants")</f>
        <v>help selling house for homeowners with tenants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""&amp;$A14))"),"we buy houses from homeowners with tenants")</f>
        <v>we buy houses from homeowners with tenants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""&amp;$A14))"),"home buyer for homeowners with tenants")</f>
        <v>home buyer for homeowners with tenants</v>
      </c>
      <c r="L14" s="13"/>
      <c r="M14" s="13" t="str">
        <f>IFERROR(__xludf.DUMMYFUNCTION("""COMPUTED_VALUE"""),"cash home buyer for motivated sellers")</f>
        <v>cash home buyer for motivated sellers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233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""&amp;$A15))"),"sell house for landlords with bad tenants")</f>
        <v>sell house for landlords with bad tenants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""&amp;$A15))"),"cash home buyer for landlords with bad tenants")</f>
        <v>cash home buyer for landlords with bad tenants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""&amp;$A15))"),"home buying help for landlords with bad tenants")</f>
        <v>home buying help for landlords with bad tenants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""&amp;$A15))"),"sell property for landlords with bad tenants")</f>
        <v>sell property for landlords with bad tenants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""&amp;$A15))"),"sell home fast for landlords with bad tenants")</f>
        <v>sell home fast for landlords with bad tenants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""&amp;$A15))"),"sell house as is for landlords with bad tenants")</f>
        <v>sell house as is for landlords with bad tenants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""&amp;$A15))"),"cash offer for landlords with bad tenants")</f>
        <v>cash offer for landlords with bad tenants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""&amp;$A15))"),"help selling house for landlords with bad tenants")</f>
        <v>help selling house for landlords with bad tenants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""&amp;$A15))"),"we buy houses from landlords with bad tenants")</f>
        <v>we buy houses from landlords with bad tenants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""&amp;$A15))"),"home buyer for landlords with bad tenants")</f>
        <v>home buyer for landlords with bad tenants</v>
      </c>
      <c r="L15" s="13"/>
      <c r="M15" s="13" t="str">
        <f>IFERROR(__xludf.DUMMYFUNCTION("""COMPUTED_VALUE"""),"home buying help for motivated sellers")</f>
        <v>home buying help for motivated sellers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236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""&amp;$A16))"),"sell house for families with inherited property")</f>
        <v>sell house for families with inherited property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""&amp;$A16))"),"cash home buyer for families with inherited property")</f>
        <v>cash home buyer for families with inherited property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""&amp;$A16))"),"home buying help for families with inherited property")</f>
        <v>home buying help for families with inherited property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""&amp;$A16))"),"sell property for families with inherited property")</f>
        <v>sell property for families with inherited property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""&amp;$A16))"),"sell home fast for families with inherited property")</f>
        <v>sell home fast for families with inherited property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""&amp;$A16))"),"sell house as is for families with inherited property")</f>
        <v>sell house as is for families with inherited property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""&amp;$A16))"),"cash offer for families with inherited property")</f>
        <v>cash offer for families with inherited property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""&amp;$A16))"),"help selling house for families with inherited property")</f>
        <v>help selling house for families with inherited property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""&amp;$A16))"),"we buy houses from families with inherited property")</f>
        <v>we buy houses from families with inherited property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""&amp;$A16))"),"home buyer for families with inherited property")</f>
        <v>home buyer for families with inherited property</v>
      </c>
      <c r="L16" s="13"/>
      <c r="M16" s="13" t="str">
        <f>IFERROR(__xludf.DUMMYFUNCTION("""COMPUTED_VALUE"""),"sell property for motivated sellers")</f>
        <v>sell property for motivated sellers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237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""&amp;$A17))"),"sell house for divorced homeowners")</f>
        <v>sell house for divorced homeowners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""&amp;$A17))"),"cash home buyer for divorced homeowners")</f>
        <v>cash home buyer for divorced homeowners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""&amp;$A17))"),"home buying help for divorced homeowners")</f>
        <v>home buying help for divorced homeowners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""&amp;$A17))"),"sell property for divorced homeowners")</f>
        <v>sell property for divorced homeowners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""&amp;$A17))"),"sell home fast for divorced homeowners")</f>
        <v>sell home fast for divorced homeowners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""&amp;$A17))"),"sell house as is for divorced homeowners")</f>
        <v>sell house as is for divorced homeowners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""&amp;$A17))"),"cash offer for divorced homeowners")</f>
        <v>cash offer for divorced homeowners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""&amp;$A17))"),"help selling house for divorced homeowners")</f>
        <v>help selling house for divorced homeowners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""&amp;$A17))"),"we buy houses from divorced homeowners")</f>
        <v>we buy houses from divorced homeowners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""&amp;$A17))"),"home buyer for divorced homeowners")</f>
        <v>home buyer for divorced homeowners</v>
      </c>
      <c r="L17" s="13"/>
      <c r="M17" s="13" t="str">
        <f>IFERROR(__xludf.DUMMYFUNCTION("""COMPUTED_VALUE"""),"sell home fast for motivated sellers")</f>
        <v>sell home fast for motivated sellers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239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""&amp;$A18))"),"sell house for homeowners relocating")</f>
        <v>sell house for homeowners relocating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""&amp;$A18))"),"cash home buyer for homeowners relocating")</f>
        <v>cash home buyer for homeowners relocating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""&amp;$A18))"),"home buying help for homeowners relocating")</f>
        <v>home buying help for homeowners relocating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""&amp;$A18))"),"sell property for homeowners relocating")</f>
        <v>sell property for homeowners relocating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""&amp;$A18))"),"sell home fast for homeowners relocating")</f>
        <v>sell home fast for homeowners relocating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""&amp;$A18))"),"sell house as is for homeowners relocating")</f>
        <v>sell house as is for homeowners relocating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""&amp;$A18))"),"cash offer for homeowners relocating")</f>
        <v>cash offer for homeowners relocating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""&amp;$A18))"),"help selling house for homeowners relocating")</f>
        <v>help selling house for homeowners relocating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""&amp;$A18))"),"we buy houses from homeowners relocating")</f>
        <v>we buy houses from homeowners relocating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""&amp;$A18))"),"home buyer for homeowners relocating")</f>
        <v>home buyer for homeowners relocating</v>
      </c>
      <c r="L18" s="13"/>
      <c r="M18" s="13" t="str">
        <f>IFERROR(__xludf.DUMMYFUNCTION("""COMPUTED_VALUE"""),"sell house as is for motivated sellers")</f>
        <v>sell house as is for motivated sellers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241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""&amp;$A19))"),"sell house for downsizing homeowners")</f>
        <v>sell house for downsizing homeowners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""&amp;$A19))"),"cash home buyer for downsizing homeowners")</f>
        <v>cash home buyer for downsizing homeowners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""&amp;$A19))"),"home buying help for downsizing homeowners")</f>
        <v>home buying help for downsizing homeowners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""&amp;$A19))"),"sell property for downsizing homeowners")</f>
        <v>sell property for downsizing homeowners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""&amp;$A19))"),"sell home fast for downsizing homeowners")</f>
        <v>sell home fast for downsizing homeowners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""&amp;$A19))"),"sell house as is for downsizing homeowners")</f>
        <v>sell house as is for downsizing homeowners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""&amp;$A19))"),"cash offer for downsizing homeowners")</f>
        <v>cash offer for downsizing homeowners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""&amp;$A19))"),"help selling house for downsizing homeowners")</f>
        <v>help selling house for downsizing homeowners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""&amp;$A19))"),"we buy houses from downsizing homeowners")</f>
        <v>we buy houses from downsizing homeowners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""&amp;$A19))"),"home buyer for downsizing homeowners")</f>
        <v>home buyer for downsizing homeowners</v>
      </c>
      <c r="L19" s="13"/>
      <c r="M19" s="13" t="str">
        <f>IFERROR(__xludf.DUMMYFUNCTION("""COMPUTED_VALUE"""),"cash offer for motivated sellers")</f>
        <v>cash offer for motivated sellers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242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""&amp;$A20))"),"sell house for homeowners behind on payments")</f>
        <v>sell house for homeowners behind on payments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""&amp;$A20))"),"cash home buyer for homeowners behind on payments")</f>
        <v>cash home buyer for homeowners behind on payments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""&amp;$A20))"),"home buying help for homeowners behind on payments")</f>
        <v>home buying help for homeowners behind on payments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""&amp;$A20))"),"sell property for homeowners behind on payments")</f>
        <v>sell property for homeowners behind on payments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""&amp;$A20))"),"sell home fast for homeowners behind on payments")</f>
        <v>sell home fast for homeowners behind on payments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""&amp;$A20))"),"sell house as is for homeowners behind on payments")</f>
        <v>sell house as is for homeowners behind on payments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""&amp;$A20))"),"cash offer for homeowners behind on payments")</f>
        <v>cash offer for homeowners behind on payments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""&amp;$A20))"),"help selling house for homeowners behind on payments")</f>
        <v>help selling house for homeowners behind on payments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""&amp;$A20))"),"we buy houses from homeowners behind on payments")</f>
        <v>we buy houses from homeowners behind on payments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""&amp;$A20))"),"home buyer for homeowners behind on payments")</f>
        <v>home buyer for homeowners behind on payments</v>
      </c>
      <c r="L20" s="13"/>
      <c r="M20" s="13" t="str">
        <f>IFERROR(__xludf.DUMMYFUNCTION("""COMPUTED_VALUE"""),"help selling house for motivated sellers")</f>
        <v>help selling house for motivated sellers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244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""&amp;$A21))"),"sell house for homeowners in foreclosure")</f>
        <v>sell house for homeowners in foreclosure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""&amp;$A21))"),"cash home buyer for homeowners in foreclosure")</f>
        <v>cash home buyer for homeowners in foreclosure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""&amp;$A21))"),"home buying help for homeowners in foreclosure")</f>
        <v>home buying help for homeowners in foreclosure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""&amp;$A21))"),"sell property for homeowners in foreclosure")</f>
        <v>sell property for homeowners in foreclosure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""&amp;$A21))"),"sell home fast for homeowners in foreclosure")</f>
        <v>sell home fast for homeowners in foreclosure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""&amp;$A21))"),"sell house as is for homeowners in foreclosure")</f>
        <v>sell house as is for homeowners in foreclosure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""&amp;$A21))"),"cash offer for homeowners in foreclosure")</f>
        <v>cash offer for homeowners in foreclosure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""&amp;$A21))"),"help selling house for homeowners in foreclosure")</f>
        <v>help selling house for homeowners in foreclosure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""&amp;$A21))"),"we buy houses from homeowners in foreclosure")</f>
        <v>we buy houses from homeowners in foreclosure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""&amp;$A21))"),"home buyer for homeowners in foreclosure")</f>
        <v>home buyer for homeowners in foreclosure</v>
      </c>
      <c r="L21" s="13"/>
      <c r="M21" s="13" t="str">
        <f>IFERROR(__xludf.DUMMYFUNCTION("""COMPUTED_VALUE"""),"we buy houses from motivated sellers")</f>
        <v>we buy houses from motivated sellers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245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""&amp;$A22))"),"sell house for homeowners with liens")</f>
        <v>sell house for homeowners with liens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""&amp;$A22))"),"cash home buyer for homeowners with liens")</f>
        <v>cash home buyer for homeowners with liens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""&amp;$A22))"),"home buying help for homeowners with liens")</f>
        <v>home buying help for homeowners with liens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""&amp;$A22))"),"sell property for homeowners with liens")</f>
        <v>sell property for homeowners with liens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""&amp;$A22))"),"sell home fast for homeowners with liens")</f>
        <v>sell home fast for homeowners with liens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""&amp;$A22))"),"sell house as is for homeowners with liens")</f>
        <v>sell house as is for homeowners with liens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""&amp;$A22))"),"cash offer for homeowners with liens")</f>
        <v>cash offer for homeowners with liens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""&amp;$A22))"),"help selling house for homeowners with liens")</f>
        <v>help selling house for homeowners with liens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""&amp;$A22))"),"we buy houses from homeowners with liens")</f>
        <v>we buy houses from homeowners with liens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""&amp;$A22))"),"home buyer for homeowners with liens")</f>
        <v>home buyer for homeowners with liens</v>
      </c>
      <c r="L22" s="13"/>
      <c r="M22" s="13" t="str">
        <f>IFERROR(__xludf.DUMMYFUNCTION("""COMPUTED_VALUE"""),"home buyer for motivated sellers")</f>
        <v>home buyer for motivated sellers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247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""&amp;$A23))"),"sell house for owners of vacant homes")</f>
        <v>sell house for owners of vacant homes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""&amp;$A23))"),"cash home buyer for owners of vacant homes")</f>
        <v>cash home buyer for owners of vacant homes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""&amp;$A23))"),"home buying help for owners of vacant homes")</f>
        <v>home buying help for owners of vacant homes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""&amp;$A23))"),"sell property for owners of vacant homes")</f>
        <v>sell property for owners of vacant homes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""&amp;$A23))"),"sell home fast for owners of vacant homes")</f>
        <v>sell home fast for owners of vacant homes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""&amp;$A23))"),"sell house as is for owners of vacant homes")</f>
        <v>sell house as is for owners of vacant homes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""&amp;$A23))"),"cash offer for owners of vacant homes")</f>
        <v>cash offer for owners of vacant homes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""&amp;$A23))"),"help selling house for owners of vacant homes")</f>
        <v>help selling house for owners of vacant homes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""&amp;$A23))"),"we buy houses from owners of vacant homes")</f>
        <v>we buy houses from owners of vacant homes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""&amp;$A23))"),"home buyer for owners of vacant homes")</f>
        <v>home buyer for owners of vacant homes</v>
      </c>
      <c r="L23" s="13"/>
      <c r="M23" s="13" t="str">
        <f>IFERROR(__xludf.DUMMYFUNCTION("""COMPUTED_VALUE"""),"sell house for distressed homeowners")</f>
        <v>sell house for distressed homeowners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248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""&amp;$A24))"),"sell house for owners of damaged homes")</f>
        <v>sell house for owners of damaged homes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""&amp;$A24))"),"cash home buyer for owners of damaged homes")</f>
        <v>cash home buyer for owners of damaged homes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""&amp;$A24))"),"home buying help for owners of damaged homes")</f>
        <v>home buying help for owners of damaged homes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""&amp;$A24))"),"sell property for owners of damaged homes")</f>
        <v>sell property for owners of damaged homes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""&amp;$A24))"),"sell home fast for owners of damaged homes")</f>
        <v>sell home fast for owners of damaged homes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""&amp;$A24))"),"sell house as is for owners of damaged homes")</f>
        <v>sell house as is for owners of damaged homes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""&amp;$A24))"),"cash offer for owners of damaged homes")</f>
        <v>cash offer for owners of damaged homes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""&amp;$A24))"),"help selling house for owners of damaged homes")</f>
        <v>help selling house for owners of damaged homes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""&amp;$A24))"),"we buy houses from owners of damaged homes")</f>
        <v>we buy houses from owners of damaged homes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""&amp;$A24))"),"home buyer for owners of damaged homes")</f>
        <v>home buyer for owners of damaged homes</v>
      </c>
      <c r="L24" s="13"/>
      <c r="M24" s="13" t="str">
        <f>IFERROR(__xludf.DUMMYFUNCTION("""COMPUTED_VALUE"""),"cash home buyer for distressed homeowners")</f>
        <v>cash home buyer for distressed homeowners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249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""&amp;$A25))"),"sell house for senior homeowners")</f>
        <v>sell house for senior homeowners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""&amp;$A25))"),"cash home buyer for senior homeowners")</f>
        <v>cash home buyer for senior homeowners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""&amp;$A25))"),"home buying help for senior homeowners")</f>
        <v>home buying help for senior homeowners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""&amp;$A25))"),"sell property for senior homeowners")</f>
        <v>sell property for senior homeowners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""&amp;$A25))"),"sell home fast for senior homeowners")</f>
        <v>sell home fast for senior homeowners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""&amp;$A25))"),"sell house as is for senior homeowners")</f>
        <v>sell house as is for senior homeowners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""&amp;$A25))"),"cash offer for senior homeowners")</f>
        <v>cash offer for senior homeowners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""&amp;$A25))"),"help selling house for senior homeowners")</f>
        <v>help selling house for senior homeowners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""&amp;$A25))"),"we buy houses from senior homeowners")</f>
        <v>we buy houses from senior homeowners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""&amp;$A25))"),"home buyer for senior homeowners")</f>
        <v>home buyer for senior homeowners</v>
      </c>
      <c r="L25" s="13"/>
      <c r="M25" s="13" t="str">
        <f>IFERROR(__xludf.DUMMYFUNCTION("""COMPUTED_VALUE"""),"home buying help for distressed homeowners")</f>
        <v>home buying help for distressed homeowners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250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""&amp;$A26))"),"sell house for military relocation")</f>
        <v>sell house for military relocation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""&amp;$A26))"),"cash home buyer for military relocation")</f>
        <v>cash home buyer for military relocation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""&amp;$A26))"),"home buying help for military relocation")</f>
        <v>home buying help for military relocation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""&amp;$A26))"),"sell property for military relocation")</f>
        <v>sell property for military relocation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""&amp;$A26))"),"sell home fast for military relocation")</f>
        <v>sell home fast for military relocation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""&amp;$A26))"),"sell house as is for military relocation")</f>
        <v>sell house as is for military relocation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""&amp;$A26))"),"cash offer for military relocation")</f>
        <v>cash offer for military relocation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""&amp;$A26))"),"help selling house for military relocation")</f>
        <v>help selling house for military relocation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""&amp;$A26))"),"we buy houses from military relocation")</f>
        <v>we buy houses from military relocation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""&amp;$A26))"),"home buyer for military relocation")</f>
        <v>home buyer for military relocation</v>
      </c>
      <c r="L26" s="13"/>
      <c r="M26" s="13" t="str">
        <f>IFERROR(__xludf.DUMMYFUNCTION("""COMPUTED_VALUE"""),"sell property for distressed homeowners")</f>
        <v>sell property for distressed homeowners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251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""&amp;$A27))"),"sell house for executors")</f>
        <v>sell house for executors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""&amp;$A27))"),"cash home buyer for executors")</f>
        <v>cash home buyer for executors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""&amp;$A27))"),"home buying help for executors")</f>
        <v>home buying help for executors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""&amp;$A27))"),"sell property for executors")</f>
        <v>sell property for executors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""&amp;$A27))"),"sell home fast for executors")</f>
        <v>sell home fast for executors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""&amp;$A27))"),"sell house as is for executors")</f>
        <v>sell house as is for executors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""&amp;$A27))"),"cash offer for executors")</f>
        <v>cash offer for executors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""&amp;$A27))"),"help selling house for executors")</f>
        <v>help selling house for executors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""&amp;$A27))"),"we buy houses from executors")</f>
        <v>we buy houses from executors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""&amp;$A27))"),"home buyer for executors")</f>
        <v>home buyer for executors</v>
      </c>
      <c r="L27" s="13"/>
      <c r="M27" s="13" t="str">
        <f>IFERROR(__xludf.DUMMYFUNCTION("""COMPUTED_VALUE"""),"sell home fast for distressed homeowners")</f>
        <v>sell home fast for distressed homeowners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252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""&amp;$A28))"),"sell house for heirs")</f>
        <v>sell house for heirs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""&amp;$A28))"),"cash home buyer for heirs")</f>
        <v>cash home buyer for heirs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""&amp;$A28))"),"home buying help for heirs")</f>
        <v>home buying help for heirs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""&amp;$A28))"),"sell property for heirs")</f>
        <v>sell property for heirs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""&amp;$A28))"),"sell home fast for heirs")</f>
        <v>sell home fast for heirs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""&amp;$A28))"),"sell house as is for heirs")</f>
        <v>sell house as is for heirs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""&amp;$A28))"),"cash offer for heirs")</f>
        <v>cash offer for heirs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""&amp;$A28))"),"help selling house for heirs")</f>
        <v>help selling house for heirs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""&amp;$A28))"),"we buy houses from heirs")</f>
        <v>we buy houses from heirs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""&amp;$A28))"),"home buyer for heirs")</f>
        <v>home buyer for heirs</v>
      </c>
      <c r="L28" s="13"/>
      <c r="M28" s="13" t="str">
        <f>IFERROR(__xludf.DUMMYFUNCTION("""COMPUTED_VALUE"""),"sell house as is for distressed homeowners")</f>
        <v>sell house as is for distressed homeowners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254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""&amp;$A29))"),"sell house for trustees")</f>
        <v>sell house for trustees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""&amp;$A29))"),"cash home buyer for trustees")</f>
        <v>cash home buyer for trustees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""&amp;$A29))"),"home buying help for trustees")</f>
        <v>home buying help for trustees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""&amp;$A29))"),"sell property for trustees")</f>
        <v>sell property for trustees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""&amp;$A29))"),"sell home fast for trustees")</f>
        <v>sell home fast for trustees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""&amp;$A29))"),"sell house as is for trustees")</f>
        <v>sell house as is for trustees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""&amp;$A29))"),"cash offer for trustees")</f>
        <v>cash offer for trustees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""&amp;$A29))"),"help selling house for trustees")</f>
        <v>help selling house for trustees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""&amp;$A29))"),"we buy houses from trustees")</f>
        <v>we buy houses from trustees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""&amp;$A29))"),"home buyer for trustees")</f>
        <v>home buyer for trustees</v>
      </c>
      <c r="L29" s="13"/>
      <c r="M29" s="13" t="str">
        <f>IFERROR(__xludf.DUMMYFUNCTION("""COMPUTED_VALUE"""),"cash offer for distressed homeowners")</f>
        <v>cash offer for distressed homeowners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255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""&amp;$A30))"),"sell house for landlords")</f>
        <v>sell house for landlords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""&amp;$A30))"),"cash home buyer for landlords")</f>
        <v>cash home buyer for landlords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""&amp;$A30))"),"home buying help for landlords")</f>
        <v>home buying help for landlords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""&amp;$A30))"),"sell property for landlords")</f>
        <v>sell property for landlords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""&amp;$A30))"),"sell home fast for landlords")</f>
        <v>sell home fast for landlords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""&amp;$A30))"),"sell house as is for landlords")</f>
        <v>sell house as is for landlords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""&amp;$A30))"),"cash offer for landlords")</f>
        <v>cash offer for landlords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""&amp;$A30))"),"help selling house for landlords")</f>
        <v>help selling house for landlords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""&amp;$A30))"),"we buy houses from landlords")</f>
        <v>we buy houses from landlords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""&amp;$A30))"),"home buyer for landlords")</f>
        <v>home buyer for landlords</v>
      </c>
      <c r="L30" s="13"/>
      <c r="M30" s="13" t="str">
        <f>IFERROR(__xludf.DUMMYFUNCTION("""COMPUTED_VALUE"""),"help selling house for distressed homeowners")</f>
        <v>help selling house for distressed homeowners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256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""&amp;$A31))"),"sell house for house sellers")</f>
        <v>sell house for house sellers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""&amp;$A31))"),"cash home buyer for house sellers")</f>
        <v>cash home buyer for house sellers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""&amp;$A31))"),"home buying help for house sellers")</f>
        <v>home buying help for house sellers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""&amp;$A31))"),"sell property for house sellers")</f>
        <v>sell property for house sellers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""&amp;$A31))"),"sell home fast for house sellers")</f>
        <v>sell home fast for house sellers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""&amp;$A31))"),"sell house as is for house sellers")</f>
        <v>sell house as is for house sellers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""&amp;$A31))"),"cash offer for house sellers")</f>
        <v>cash offer for house sellers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""&amp;$A31))"),"help selling house for house sellers")</f>
        <v>help selling house for house sellers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""&amp;$A31))"),"we buy houses from house sellers")</f>
        <v>we buy houses from house sellers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""&amp;$A31))"),"home buyer for house sellers")</f>
        <v>home buyer for house sellers</v>
      </c>
      <c r="L31" s="13"/>
      <c r="M31" s="13" t="str">
        <f>IFERROR(__xludf.DUMMYFUNCTION("""COMPUTED_VALUE"""),"we buy houses from distressed homeowners")</f>
        <v>we buy houses from distressed homeowners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258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""&amp;$A32))"),"sell house for property sellers")</f>
        <v>sell house for property sellers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""&amp;$A32))"),"cash home buyer for property sellers")</f>
        <v>cash home buyer for property sellers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""&amp;$A32))"),"home buying help for property sellers")</f>
        <v>home buying help for property sellers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""&amp;$A32))"),"sell property for property sellers")</f>
        <v>sell property for property sellers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""&amp;$A32))"),"sell home fast for property sellers")</f>
        <v>sell home fast for property sellers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""&amp;$A32))"),"sell house as is for property sellers")</f>
        <v>sell house as is for property sellers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""&amp;$A32))"),"cash offer for property sellers")</f>
        <v>cash offer for property sellers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""&amp;$A32))"),"help selling house for property sellers")</f>
        <v>help selling house for property sellers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""&amp;$A32))"),"we buy houses from property sellers")</f>
        <v>we buy houses from property sellers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""&amp;$A32))"),"home buyer for property sellers")</f>
        <v>home buyer for property sellers</v>
      </c>
      <c r="L32" s="13"/>
      <c r="M32" s="13" t="str">
        <f>IFERROR(__xludf.DUMMYFUNCTION("""COMPUTED_VALUE"""),"home buyer for distressed homeowners")</f>
        <v>home buyer for distressed homeowners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259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""&amp;$A33))"),"sell house for homeowners who need to move")</f>
        <v>sell house for homeowners who need to move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""&amp;$A33))"),"cash home buyer for homeowners who need to move")</f>
        <v>cash home buyer for homeowners who need to move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""&amp;$A33))"),"home buying help for homeowners who need to move")</f>
        <v>home buying help for homeowners who need to move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""&amp;$A33))"),"sell property for homeowners who need to move")</f>
        <v>sell property for homeowners who need to move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""&amp;$A33))"),"sell home fast for homeowners who need to move")</f>
        <v>sell home fast for homeowners who need to move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""&amp;$A33))"),"sell house as is for homeowners who need to move")</f>
        <v>sell house as is for homeowners who need to move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""&amp;$A33))"),"cash offer for homeowners who need to move")</f>
        <v>cash offer for homeowners who need to move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""&amp;$A33))"),"help selling house for homeowners who need to move")</f>
        <v>help selling house for homeowners who need to move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""&amp;$A33))"),"we buy houses from homeowners who need to move")</f>
        <v>we buy houses from homeowners who need to move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""&amp;$A33))"),"home buyer for homeowners who need to move")</f>
        <v>home buyer for homeowners who need to move</v>
      </c>
      <c r="L33" s="13"/>
      <c r="M33" s="13" t="str">
        <f>IFERROR(__xludf.DUMMYFUNCTION("""COMPUTED_VALUE"""),"sell house for tired landlords")</f>
        <v>sell house for tired landlords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261</v>
      </c>
      <c r="B34" s="13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""&amp;$A34))"),"sell house for owners with unwanted property")</f>
        <v>sell house for owners with unwanted property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""&amp;$A34))"),"cash home buyer for owners with unwanted property")</f>
        <v>cash home buyer for owners with unwanted property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""&amp;$A34))"),"home buying help for owners with unwanted property")</f>
        <v>home buying help for owners with unwanted property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""&amp;$A34))"),"sell property for owners with unwanted property")</f>
        <v>sell property for owners with unwanted property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""&amp;$A34))"),"sell home fast for owners with unwanted property")</f>
        <v>sell home fast for owners with unwanted property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""&amp;$A34))"),"sell house as is for owners with unwanted property")</f>
        <v>sell house as is for owners with unwanted property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""&amp;$A34))"),"cash offer for owners with unwanted property")</f>
        <v>cash offer for owners with unwanted property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""&amp;$A34))"),"help selling house for owners with unwanted property")</f>
        <v>help selling house for owners with unwanted property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""&amp;$A34))"),"we buy houses from owners with unwanted property")</f>
        <v>we buy houses from owners with unwanted property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""&amp;$A34))"),"home buyer for owners with unwanted property")</f>
        <v>home buyer for owners with unwanted property</v>
      </c>
      <c r="L34" s="13"/>
      <c r="M34" s="13" t="str">
        <f>IFERROR(__xludf.DUMMYFUNCTION("""COMPUTED_VALUE"""),"cash home buyer for tired landlords")</f>
        <v>cash home buyer for tired landlords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 t="str">
        <f>IFERROR(__xludf.DUMMYFUNCTION("""COMPUTED_VALUE"""),"home buying help for tired landlords")</f>
        <v>home buying help for tired landlords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 t="str">
        <f>IFERROR(__xludf.DUMMYFUNCTION("""COMPUTED_VALUE"""),"sell property for tired landlords")</f>
        <v>sell property for tired landlords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 t="str">
        <f>IFERROR(__xludf.DUMMYFUNCTION("""COMPUTED_VALUE"""),"sell home fast for tired landlords")</f>
        <v>sell home fast for tired landlords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 t="str">
        <f>IFERROR(__xludf.DUMMYFUNCTION("""COMPUTED_VALUE"""),"sell house as is for tired landlords")</f>
        <v>sell house as is for tired landlords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 t="str">
        <f>IFERROR(__xludf.DUMMYFUNCTION("""COMPUTED_VALUE"""),"cash offer for tired landlords")</f>
        <v>cash offer for tired landlords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IFERROR(__xludf.DUMMYFUNCTION("""COMPUTED_VALUE"""),"help selling house for tired landlords")</f>
        <v>help selling house for tired landlords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IFERROR(__xludf.DUMMYFUNCTION("""COMPUTED_VALUE"""),"we buy houses from tired landlords")</f>
        <v>we buy houses from tired landlords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IFERROR(__xludf.DUMMYFUNCTION("""COMPUTED_VALUE"""),"home buyer for tired landlords")</f>
        <v>home buyer for tired landlords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IFERROR(__xludf.DUMMYFUNCTION("""COMPUTED_VALUE"""),"sell house for rental property owners")</f>
        <v>sell house for rental property owners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IFERROR(__xludf.DUMMYFUNCTION("""COMPUTED_VALUE"""),"cash home buyer for rental property owners")</f>
        <v>cash home buyer for rental property owners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IFERROR(__xludf.DUMMYFUNCTION("""COMPUTED_VALUE"""),"home buying help for rental property owners")</f>
        <v>home buying help for rental property owners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IFERROR(__xludf.DUMMYFUNCTION("""COMPUTED_VALUE"""),"sell property for rental property owners")</f>
        <v>sell property for rental property owners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IFERROR(__xludf.DUMMYFUNCTION("""COMPUTED_VALUE"""),"sell home fast for rental property owners")</f>
        <v>sell home fast for rental property owners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IFERROR(__xludf.DUMMYFUNCTION("""COMPUTED_VALUE"""),"sell house as is for rental property owners")</f>
        <v>sell house as is for rental property owners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IFERROR(__xludf.DUMMYFUNCTION("""COMPUTED_VALUE"""),"cash offer for rental property owners")</f>
        <v>cash offer for rental property owners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IFERROR(__xludf.DUMMYFUNCTION("""COMPUTED_VALUE"""),"help selling house for rental property owners")</f>
        <v>help selling house for rental property owners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IFERROR(__xludf.DUMMYFUNCTION("""COMPUTED_VALUE"""),"we buy houses from rental property owners")</f>
        <v>we buy houses from rental property owners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IFERROR(__xludf.DUMMYFUNCTION("""COMPUTED_VALUE"""),"home buyer for rental property owners")</f>
        <v>home buyer for rental property owners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IFERROR(__xludf.DUMMYFUNCTION("""COMPUTED_VALUE"""),"sell house for inherited property owners")</f>
        <v>sell house for inherited property owners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IFERROR(__xludf.DUMMYFUNCTION("""COMPUTED_VALUE"""),"cash home buyer for inherited property owners")</f>
        <v>cash home buyer for inherited property owners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IFERROR(__xludf.DUMMYFUNCTION("""COMPUTED_VALUE"""),"home buying help for inherited property owners")</f>
        <v>home buying help for inherited property owners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IFERROR(__xludf.DUMMYFUNCTION("""COMPUTED_VALUE"""),"sell property for inherited property owners")</f>
        <v>sell property for inherited property owners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IFERROR(__xludf.DUMMYFUNCTION("""COMPUTED_VALUE"""),"sell home fast for inherited property owners")</f>
        <v>sell home fast for inherited property owners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IFERROR(__xludf.DUMMYFUNCTION("""COMPUTED_VALUE"""),"sell house as is for inherited property owners")</f>
        <v>sell house as is for inherited property owners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IFERROR(__xludf.DUMMYFUNCTION("""COMPUTED_VALUE"""),"cash offer for inherited property owners")</f>
        <v>cash offer for inherited property owners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IFERROR(__xludf.DUMMYFUNCTION("""COMPUTED_VALUE"""),"help selling house for inherited property owners")</f>
        <v>help selling house for inherited property owners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IFERROR(__xludf.DUMMYFUNCTION("""COMPUTED_VALUE"""),"we buy houses from inherited property owners")</f>
        <v>we buy houses from inherited property owners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IFERROR(__xludf.DUMMYFUNCTION("""COMPUTED_VALUE"""),"home buyer for inherited property owners")</f>
        <v>home buyer for inherited property owners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IFERROR(__xludf.DUMMYFUNCTION("""COMPUTED_VALUE"""),"sell house for probate sellers")</f>
        <v>sell house for probate sellers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IFERROR(__xludf.DUMMYFUNCTION("""COMPUTED_VALUE"""),"cash home buyer for probate sellers")</f>
        <v>cash home buyer for probate sellers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IFERROR(__xludf.DUMMYFUNCTION("""COMPUTED_VALUE"""),"home buying help for probate sellers")</f>
        <v>home buying help for probate sellers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IFERROR(__xludf.DUMMYFUNCTION("""COMPUTED_VALUE"""),"sell property for probate sellers")</f>
        <v>sell property for probate sellers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IFERROR(__xludf.DUMMYFUNCTION("""COMPUTED_VALUE"""),"sell home fast for probate sellers")</f>
        <v>sell home fast for probate sellers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IFERROR(__xludf.DUMMYFUNCTION("""COMPUTED_VALUE"""),"sell house as is for probate sellers")</f>
        <v>sell house as is for probate sellers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IFERROR(__xludf.DUMMYFUNCTION("""COMPUTED_VALUE"""),"cash offer for probate sellers")</f>
        <v>cash offer for probate sellers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IFERROR(__xludf.DUMMYFUNCTION("""COMPUTED_VALUE"""),"help selling house for probate sellers")</f>
        <v>help selling house for probate sellers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IFERROR(__xludf.DUMMYFUNCTION("""COMPUTED_VALUE"""),"we buy houses from probate sellers")</f>
        <v>we buy houses from probate sellers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IFERROR(__xludf.DUMMYFUNCTION("""COMPUTED_VALUE"""),"home buyer for probate sellers")</f>
        <v>home buyer for probate sellers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IFERROR(__xludf.DUMMYFUNCTION("""COMPUTED_VALUE"""),"sell house for estate property sellers")</f>
        <v>sell house for estate property sellers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IFERROR(__xludf.DUMMYFUNCTION("""COMPUTED_VALUE"""),"cash home buyer for estate property sellers")</f>
        <v>cash home buyer for estate property sellers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IFERROR(__xludf.DUMMYFUNCTION("""COMPUTED_VALUE"""),"home buying help for estate property sellers")</f>
        <v>home buying help for estate property sellers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IFERROR(__xludf.DUMMYFUNCTION("""COMPUTED_VALUE"""),"sell property for estate property sellers")</f>
        <v>sell property for estate property sellers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IFERROR(__xludf.DUMMYFUNCTION("""COMPUTED_VALUE"""),"sell home fast for estate property sellers")</f>
        <v>sell home fast for estate property sellers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IFERROR(__xludf.DUMMYFUNCTION("""COMPUTED_VALUE"""),"sell house as is for estate property sellers")</f>
        <v>sell house as is for estate property sellers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IFERROR(__xludf.DUMMYFUNCTION("""COMPUTED_VALUE"""),"cash offer for estate property sellers")</f>
        <v>cash offer for estate property sellers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IFERROR(__xludf.DUMMYFUNCTION("""COMPUTED_VALUE"""),"help selling house for estate property sellers")</f>
        <v>help selling house for estate property sellers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IFERROR(__xludf.DUMMYFUNCTION("""COMPUTED_VALUE"""),"we buy houses from estate property sellers")</f>
        <v>we buy houses from estate property sellers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IFERROR(__xludf.DUMMYFUNCTION("""COMPUTED_VALUE"""),"home buyer for estate property sellers")</f>
        <v>home buyer for estate property sellers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IFERROR(__xludf.DUMMYFUNCTION("""COMPUTED_VALUE"""),"sell house for absentee owners")</f>
        <v>sell house for absentee owners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IFERROR(__xludf.DUMMYFUNCTION("""COMPUTED_VALUE"""),"cash home buyer for absentee owners")</f>
        <v>cash home buyer for absentee owners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IFERROR(__xludf.DUMMYFUNCTION("""COMPUTED_VALUE"""),"home buying help for absentee owners")</f>
        <v>home buying help for absentee owners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IFERROR(__xludf.DUMMYFUNCTION("""COMPUTED_VALUE"""),"sell property for absentee owners")</f>
        <v>sell property for absentee owners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IFERROR(__xludf.DUMMYFUNCTION("""COMPUTED_VALUE"""),"sell home fast for absentee owners")</f>
        <v>sell home fast for absentee owners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IFERROR(__xludf.DUMMYFUNCTION("""COMPUTED_VALUE"""),"sell house as is for absentee owners")</f>
        <v>sell house as is for absentee owners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IFERROR(__xludf.DUMMYFUNCTION("""COMPUTED_VALUE"""),"cash offer for absentee owners")</f>
        <v>cash offer for absentee owners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IFERROR(__xludf.DUMMYFUNCTION("""COMPUTED_VALUE"""),"help selling house for absentee owners")</f>
        <v>help selling house for absentee owners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IFERROR(__xludf.DUMMYFUNCTION("""COMPUTED_VALUE"""),"we buy houses from absentee owners")</f>
        <v>we buy houses from absentee owners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IFERROR(__xludf.DUMMYFUNCTION("""COMPUTED_VALUE"""),"home buyer for absentee owners")</f>
        <v>home buyer for absentee owners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IFERROR(__xludf.DUMMYFUNCTION("""COMPUTED_VALUE"""),"sell house for out of state owners")</f>
        <v>sell house for out of state owners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IFERROR(__xludf.DUMMYFUNCTION("""COMPUTED_VALUE"""),"cash home buyer for out of state owners")</f>
        <v>cash home buyer for out of state owners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IFERROR(__xludf.DUMMYFUNCTION("""COMPUTED_VALUE"""),"home buying help for out of state owners")</f>
        <v>home buying help for out of state owners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IFERROR(__xludf.DUMMYFUNCTION("""COMPUTED_VALUE"""),"sell property for out of state owners")</f>
        <v>sell property for out of state owners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IFERROR(__xludf.DUMMYFUNCTION("""COMPUTED_VALUE"""),"sell home fast for out of state owners")</f>
        <v>sell home fast for out of state owners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IFERROR(__xludf.DUMMYFUNCTION("""COMPUTED_VALUE"""),"sell house as is for out of state owners")</f>
        <v>sell house as is for out of state owners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IFERROR(__xludf.DUMMYFUNCTION("""COMPUTED_VALUE"""),"cash offer for out of state owners")</f>
        <v>cash offer for out of state owners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IFERROR(__xludf.DUMMYFUNCTION("""COMPUTED_VALUE"""),"help selling house for out of state owners")</f>
        <v>help selling house for out of state owners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IFERROR(__xludf.DUMMYFUNCTION("""COMPUTED_VALUE"""),"we buy houses from out of state owners")</f>
        <v>we buy houses from out of state owners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IFERROR(__xludf.DUMMYFUNCTION("""COMPUTED_VALUE"""),"home buyer for out of state owners")</f>
        <v>home buyer for out of state owners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IFERROR(__xludf.DUMMYFUNCTION("""COMPUTED_VALUE"""),"sell house for property owners")</f>
        <v>sell house for property owners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IFERROR(__xludf.DUMMYFUNCTION("""COMPUTED_VALUE"""),"cash home buyer for property owners")</f>
        <v>cash home buyer for property owners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IFERROR(__xludf.DUMMYFUNCTION("""COMPUTED_VALUE"""),"home buying help for property owners")</f>
        <v>home buying help for property owners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IFERROR(__xludf.DUMMYFUNCTION("""COMPUTED_VALUE"""),"sell property for property owners")</f>
        <v>sell property for property owners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IFERROR(__xludf.DUMMYFUNCTION("""COMPUTED_VALUE"""),"sell home fast for property owners")</f>
        <v>sell home fast for property owners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IFERROR(__xludf.DUMMYFUNCTION("""COMPUTED_VALUE"""),"sell house as is for property owners")</f>
        <v>sell house as is for property owners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IFERROR(__xludf.DUMMYFUNCTION("""COMPUTED_VALUE"""),"cash offer for property owners")</f>
        <v>cash offer for property owners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IFERROR(__xludf.DUMMYFUNCTION("""COMPUTED_VALUE"""),"help selling house for property owners")</f>
        <v>help selling house for property owners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IFERROR(__xludf.DUMMYFUNCTION("""COMPUTED_VALUE"""),"we buy houses from property owners")</f>
        <v>we buy houses from property owners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IFERROR(__xludf.DUMMYFUNCTION("""COMPUTED_VALUE"""),"home buyer for property owners")</f>
        <v>home buyer for property owners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IFERROR(__xludf.DUMMYFUNCTION("""COMPUTED_VALUE"""),"sell house for homeowners with tenants")</f>
        <v>sell house for homeowners with tenants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IFERROR(__xludf.DUMMYFUNCTION("""COMPUTED_VALUE"""),"cash home buyer for homeowners with tenants")</f>
        <v>cash home buyer for homeowners with tenants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IFERROR(__xludf.DUMMYFUNCTION("""COMPUTED_VALUE"""),"home buying help for homeowners with tenants")</f>
        <v>home buying help for homeowners with tenants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IFERROR(__xludf.DUMMYFUNCTION("""COMPUTED_VALUE"""),"sell property for homeowners with tenants")</f>
        <v>sell property for homeowners with tenants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IFERROR(__xludf.DUMMYFUNCTION("""COMPUTED_VALUE"""),"sell home fast for homeowners with tenants")</f>
        <v>sell home fast for homeowners with tenants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IFERROR(__xludf.DUMMYFUNCTION("""COMPUTED_VALUE"""),"sell house as is for homeowners with tenants")</f>
        <v>sell house as is for homeowners with tenants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IFERROR(__xludf.DUMMYFUNCTION("""COMPUTED_VALUE"""),"cash offer for homeowners with tenants")</f>
        <v>cash offer for homeowners with tenants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IFERROR(__xludf.DUMMYFUNCTION("""COMPUTED_VALUE"""),"help selling house for homeowners with tenants")</f>
        <v>help selling house for homeowners with tenants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IFERROR(__xludf.DUMMYFUNCTION("""COMPUTED_VALUE"""),"we buy houses from homeowners with tenants")</f>
        <v>we buy houses from homeowners with tenants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IFERROR(__xludf.DUMMYFUNCTION("""COMPUTED_VALUE"""),"home buyer for homeowners with tenants")</f>
        <v>home buyer for homeowners with tenants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IFERROR(__xludf.DUMMYFUNCTION("""COMPUTED_VALUE"""),"sell house for landlords with bad tenants")</f>
        <v>sell house for landlords with bad tenants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IFERROR(__xludf.DUMMYFUNCTION("""COMPUTED_VALUE"""),"cash home buyer for landlords with bad tenants")</f>
        <v>cash home buyer for landlords with bad tenants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IFERROR(__xludf.DUMMYFUNCTION("""COMPUTED_VALUE"""),"home buying help for landlords with bad tenants")</f>
        <v>home buying help for landlords with bad tenants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IFERROR(__xludf.DUMMYFUNCTION("""COMPUTED_VALUE"""),"sell property for landlords with bad tenants")</f>
        <v>sell property for landlords with bad tenants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IFERROR(__xludf.DUMMYFUNCTION("""COMPUTED_VALUE"""),"sell home fast for landlords with bad tenants")</f>
        <v>sell home fast for landlords with bad tenants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IFERROR(__xludf.DUMMYFUNCTION("""COMPUTED_VALUE"""),"sell house as is for landlords with bad tenants")</f>
        <v>sell house as is for landlords with bad tenants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IFERROR(__xludf.DUMMYFUNCTION("""COMPUTED_VALUE"""),"cash offer for landlords with bad tenants")</f>
        <v>cash offer for landlords with bad tenants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IFERROR(__xludf.DUMMYFUNCTION("""COMPUTED_VALUE"""),"help selling house for landlords with bad tenants")</f>
        <v>help selling house for landlords with bad tenants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IFERROR(__xludf.DUMMYFUNCTION("""COMPUTED_VALUE"""),"we buy houses from landlords with bad tenants")</f>
        <v>we buy houses from landlords with bad tenants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IFERROR(__xludf.DUMMYFUNCTION("""COMPUTED_VALUE"""),"home buyer for landlords with bad tenants")</f>
        <v>home buyer for landlords with bad tenants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IFERROR(__xludf.DUMMYFUNCTION("""COMPUTED_VALUE"""),"sell house for families with inherited property")</f>
        <v>sell house for families with inherited property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IFERROR(__xludf.DUMMYFUNCTION("""COMPUTED_VALUE"""),"cash home buyer for families with inherited property")</f>
        <v>cash home buyer for families with inherited property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IFERROR(__xludf.DUMMYFUNCTION("""COMPUTED_VALUE"""),"home buying help for families with inherited property")</f>
        <v>home buying help for families with inherited property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IFERROR(__xludf.DUMMYFUNCTION("""COMPUTED_VALUE"""),"sell property for families with inherited property")</f>
        <v>sell property for families with inherited property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IFERROR(__xludf.DUMMYFUNCTION("""COMPUTED_VALUE"""),"sell home fast for families with inherited property")</f>
        <v>sell home fast for families with inherited property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IFERROR(__xludf.DUMMYFUNCTION("""COMPUTED_VALUE"""),"sell house as is for families with inherited property")</f>
        <v>sell house as is for families with inherited property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IFERROR(__xludf.DUMMYFUNCTION("""COMPUTED_VALUE"""),"cash offer for families with inherited property")</f>
        <v>cash offer for families with inherited property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IFERROR(__xludf.DUMMYFUNCTION("""COMPUTED_VALUE"""),"help selling house for families with inherited property")</f>
        <v>help selling house for families with inherited property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IFERROR(__xludf.DUMMYFUNCTION("""COMPUTED_VALUE"""),"we buy houses from families with inherited property")</f>
        <v>we buy houses from families with inherited property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IFERROR(__xludf.DUMMYFUNCTION("""COMPUTED_VALUE"""),"home buyer for families with inherited property")</f>
        <v>home buyer for families with inherited property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IFERROR(__xludf.DUMMYFUNCTION("""COMPUTED_VALUE"""),"sell house for divorced homeowners")</f>
        <v>sell house for divorced homeowners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IFERROR(__xludf.DUMMYFUNCTION("""COMPUTED_VALUE"""),"cash home buyer for divorced homeowners")</f>
        <v>cash home buyer for divorced homeowners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IFERROR(__xludf.DUMMYFUNCTION("""COMPUTED_VALUE"""),"home buying help for divorced homeowners")</f>
        <v>home buying help for divorced homeowners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IFERROR(__xludf.DUMMYFUNCTION("""COMPUTED_VALUE"""),"sell property for divorced homeowners")</f>
        <v>sell property for divorced homeowners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IFERROR(__xludf.DUMMYFUNCTION("""COMPUTED_VALUE"""),"sell home fast for divorced homeowners")</f>
        <v>sell home fast for divorced homeowners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IFERROR(__xludf.DUMMYFUNCTION("""COMPUTED_VALUE"""),"sell house as is for divorced homeowners")</f>
        <v>sell house as is for divorced homeowners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IFERROR(__xludf.DUMMYFUNCTION("""COMPUTED_VALUE"""),"cash offer for divorced homeowners")</f>
        <v>cash offer for divorced homeowners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IFERROR(__xludf.DUMMYFUNCTION("""COMPUTED_VALUE"""),"help selling house for divorced homeowners")</f>
        <v>help selling house for divorced homeowners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IFERROR(__xludf.DUMMYFUNCTION("""COMPUTED_VALUE"""),"we buy houses from divorced homeowners")</f>
        <v>we buy houses from divorced homeowners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IFERROR(__xludf.DUMMYFUNCTION("""COMPUTED_VALUE"""),"home buyer for divorced homeowners")</f>
        <v>home buyer for divorced homeowners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IFERROR(__xludf.DUMMYFUNCTION("""COMPUTED_VALUE"""),"sell house for homeowners relocating")</f>
        <v>sell house for homeowners relocating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IFERROR(__xludf.DUMMYFUNCTION("""COMPUTED_VALUE"""),"cash home buyer for homeowners relocating")</f>
        <v>cash home buyer for homeowners relocating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IFERROR(__xludf.DUMMYFUNCTION("""COMPUTED_VALUE"""),"home buying help for homeowners relocating")</f>
        <v>home buying help for homeowners relocating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IFERROR(__xludf.DUMMYFUNCTION("""COMPUTED_VALUE"""),"sell property for homeowners relocating")</f>
        <v>sell property for homeowners relocating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IFERROR(__xludf.DUMMYFUNCTION("""COMPUTED_VALUE"""),"sell home fast for homeowners relocating")</f>
        <v>sell home fast for homeowners relocating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IFERROR(__xludf.DUMMYFUNCTION("""COMPUTED_VALUE"""),"sell house as is for homeowners relocating")</f>
        <v>sell house as is for homeowners relocating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IFERROR(__xludf.DUMMYFUNCTION("""COMPUTED_VALUE"""),"cash offer for homeowners relocating")</f>
        <v>cash offer for homeowners relocating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IFERROR(__xludf.DUMMYFUNCTION("""COMPUTED_VALUE"""),"help selling house for homeowners relocating")</f>
        <v>help selling house for homeowners relocating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IFERROR(__xludf.DUMMYFUNCTION("""COMPUTED_VALUE"""),"we buy houses from homeowners relocating")</f>
        <v>we buy houses from homeowners relocating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IFERROR(__xludf.DUMMYFUNCTION("""COMPUTED_VALUE"""),"home buyer for homeowners relocating")</f>
        <v>home buyer for homeowners relocating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IFERROR(__xludf.DUMMYFUNCTION("""COMPUTED_VALUE"""),"sell house for downsizing homeowners")</f>
        <v>sell house for downsizing homeowners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IFERROR(__xludf.DUMMYFUNCTION("""COMPUTED_VALUE"""),"cash home buyer for downsizing homeowners")</f>
        <v>cash home buyer for downsizing homeowners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IFERROR(__xludf.DUMMYFUNCTION("""COMPUTED_VALUE"""),"home buying help for downsizing homeowners")</f>
        <v>home buying help for downsizing homeowners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IFERROR(__xludf.DUMMYFUNCTION("""COMPUTED_VALUE"""),"sell property for downsizing homeowners")</f>
        <v>sell property for downsizing homeowners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IFERROR(__xludf.DUMMYFUNCTION("""COMPUTED_VALUE"""),"sell home fast for downsizing homeowners")</f>
        <v>sell home fast for downsizing homeowners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IFERROR(__xludf.DUMMYFUNCTION("""COMPUTED_VALUE"""),"sell house as is for downsizing homeowners")</f>
        <v>sell house as is for downsizing homeowners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IFERROR(__xludf.DUMMYFUNCTION("""COMPUTED_VALUE"""),"cash offer for downsizing homeowners")</f>
        <v>cash offer for downsizing homeowners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IFERROR(__xludf.DUMMYFUNCTION("""COMPUTED_VALUE"""),"help selling house for downsizing homeowners")</f>
        <v>help selling house for downsizing homeowners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IFERROR(__xludf.DUMMYFUNCTION("""COMPUTED_VALUE"""),"we buy houses from downsizing homeowners")</f>
        <v>we buy houses from downsizing homeowners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IFERROR(__xludf.DUMMYFUNCTION("""COMPUTED_VALUE"""),"home buyer for downsizing homeowners")</f>
        <v>home buyer for downsizing homeowners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IFERROR(__xludf.DUMMYFUNCTION("""COMPUTED_VALUE"""),"sell house for homeowners behind on payments")</f>
        <v>sell house for homeowners behind on payments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IFERROR(__xludf.DUMMYFUNCTION("""COMPUTED_VALUE"""),"cash home buyer for homeowners behind on payments")</f>
        <v>cash home buyer for homeowners behind on payments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IFERROR(__xludf.DUMMYFUNCTION("""COMPUTED_VALUE"""),"home buying help for homeowners behind on payments")</f>
        <v>home buying help for homeowners behind on payments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IFERROR(__xludf.DUMMYFUNCTION("""COMPUTED_VALUE"""),"sell property for homeowners behind on payments")</f>
        <v>sell property for homeowners behind on payments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IFERROR(__xludf.DUMMYFUNCTION("""COMPUTED_VALUE"""),"sell home fast for homeowners behind on payments")</f>
        <v>sell home fast for homeowners behind on payments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IFERROR(__xludf.DUMMYFUNCTION("""COMPUTED_VALUE"""),"sell house as is for homeowners behind on payments")</f>
        <v>sell house as is for homeowners behind on payments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IFERROR(__xludf.DUMMYFUNCTION("""COMPUTED_VALUE"""),"cash offer for homeowners behind on payments")</f>
        <v>cash offer for homeowners behind on payments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IFERROR(__xludf.DUMMYFUNCTION("""COMPUTED_VALUE"""),"help selling house for homeowners behind on payments")</f>
        <v>help selling house for homeowners behind on payments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IFERROR(__xludf.DUMMYFUNCTION("""COMPUTED_VALUE"""),"we buy houses from homeowners behind on payments")</f>
        <v>we buy houses from homeowners behind on payments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IFERROR(__xludf.DUMMYFUNCTION("""COMPUTED_VALUE"""),"home buyer for homeowners behind on payments")</f>
        <v>home buyer for homeowners behind on payments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IFERROR(__xludf.DUMMYFUNCTION("""COMPUTED_VALUE"""),"sell house for homeowners in foreclosure")</f>
        <v>sell house for homeowners in foreclosure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IFERROR(__xludf.DUMMYFUNCTION("""COMPUTED_VALUE"""),"cash home buyer for homeowners in foreclosure")</f>
        <v>cash home buyer for homeowners in foreclosure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IFERROR(__xludf.DUMMYFUNCTION("""COMPUTED_VALUE"""),"home buying help for homeowners in foreclosure")</f>
        <v>home buying help for homeowners in foreclosure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IFERROR(__xludf.DUMMYFUNCTION("""COMPUTED_VALUE"""),"sell property for homeowners in foreclosure")</f>
        <v>sell property for homeowners in foreclosure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IFERROR(__xludf.DUMMYFUNCTION("""COMPUTED_VALUE"""),"sell home fast for homeowners in foreclosure")</f>
        <v>sell home fast for homeowners in foreclosure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IFERROR(__xludf.DUMMYFUNCTION("""COMPUTED_VALUE"""),"sell house as is for homeowners in foreclosure")</f>
        <v>sell house as is for homeowners in foreclosure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IFERROR(__xludf.DUMMYFUNCTION("""COMPUTED_VALUE"""),"cash offer for homeowners in foreclosure")</f>
        <v>cash offer for homeowners in foreclosure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IFERROR(__xludf.DUMMYFUNCTION("""COMPUTED_VALUE"""),"help selling house for homeowners in foreclosure")</f>
        <v>help selling house for homeowners in foreclosure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IFERROR(__xludf.DUMMYFUNCTION("""COMPUTED_VALUE"""),"we buy houses from homeowners in foreclosure")</f>
        <v>we buy houses from homeowners in foreclosure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IFERROR(__xludf.DUMMYFUNCTION("""COMPUTED_VALUE"""),"home buyer for homeowners in foreclosure")</f>
        <v>home buyer for homeowners in foreclosure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IFERROR(__xludf.DUMMYFUNCTION("""COMPUTED_VALUE"""),"sell house for homeowners with liens")</f>
        <v>sell house for homeowners with liens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IFERROR(__xludf.DUMMYFUNCTION("""COMPUTED_VALUE"""),"cash home buyer for homeowners with liens")</f>
        <v>cash home buyer for homeowners with liens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IFERROR(__xludf.DUMMYFUNCTION("""COMPUTED_VALUE"""),"home buying help for homeowners with liens")</f>
        <v>home buying help for homeowners with liens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IFERROR(__xludf.DUMMYFUNCTION("""COMPUTED_VALUE"""),"sell property for homeowners with liens")</f>
        <v>sell property for homeowners with liens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IFERROR(__xludf.DUMMYFUNCTION("""COMPUTED_VALUE"""),"sell home fast for homeowners with liens")</f>
        <v>sell home fast for homeowners with liens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IFERROR(__xludf.DUMMYFUNCTION("""COMPUTED_VALUE"""),"sell house as is for homeowners with liens")</f>
        <v>sell house as is for homeowners with liens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IFERROR(__xludf.DUMMYFUNCTION("""COMPUTED_VALUE"""),"cash offer for homeowners with liens")</f>
        <v>cash offer for homeowners with liens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IFERROR(__xludf.DUMMYFUNCTION("""COMPUTED_VALUE"""),"help selling house for homeowners with liens")</f>
        <v>help selling house for homeowners with liens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IFERROR(__xludf.DUMMYFUNCTION("""COMPUTED_VALUE"""),"we buy houses from homeowners with liens")</f>
        <v>we buy houses from homeowners with liens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IFERROR(__xludf.DUMMYFUNCTION("""COMPUTED_VALUE"""),"home buyer for homeowners with liens")</f>
        <v>home buyer for homeowners with liens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IFERROR(__xludf.DUMMYFUNCTION("""COMPUTED_VALUE"""),"sell house for owners of vacant homes")</f>
        <v>sell house for owners of vacant homes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IFERROR(__xludf.DUMMYFUNCTION("""COMPUTED_VALUE"""),"cash home buyer for owners of vacant homes")</f>
        <v>cash home buyer for owners of vacant homes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IFERROR(__xludf.DUMMYFUNCTION("""COMPUTED_VALUE"""),"home buying help for owners of vacant homes")</f>
        <v>home buying help for owners of vacant homes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IFERROR(__xludf.DUMMYFUNCTION("""COMPUTED_VALUE"""),"sell property for owners of vacant homes")</f>
        <v>sell property for owners of vacant homes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IFERROR(__xludf.DUMMYFUNCTION("""COMPUTED_VALUE"""),"sell home fast for owners of vacant homes")</f>
        <v>sell home fast for owners of vacant homes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IFERROR(__xludf.DUMMYFUNCTION("""COMPUTED_VALUE"""),"sell house as is for owners of vacant homes")</f>
        <v>sell house as is for owners of vacant homes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IFERROR(__xludf.DUMMYFUNCTION("""COMPUTED_VALUE"""),"cash offer for owners of vacant homes")</f>
        <v>cash offer for owners of vacant homes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IFERROR(__xludf.DUMMYFUNCTION("""COMPUTED_VALUE"""),"help selling house for owners of vacant homes")</f>
        <v>help selling house for owners of vacant homes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IFERROR(__xludf.DUMMYFUNCTION("""COMPUTED_VALUE"""),"we buy houses from owners of vacant homes")</f>
        <v>we buy houses from owners of vacant homes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IFERROR(__xludf.DUMMYFUNCTION("""COMPUTED_VALUE"""),"home buyer for owners of vacant homes")</f>
        <v>home buyer for owners of vacant homes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IFERROR(__xludf.DUMMYFUNCTION("""COMPUTED_VALUE"""),"sell house for owners of damaged homes")</f>
        <v>sell house for owners of damaged homes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IFERROR(__xludf.DUMMYFUNCTION("""COMPUTED_VALUE"""),"cash home buyer for owners of damaged homes")</f>
        <v>cash home buyer for owners of damaged homes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IFERROR(__xludf.DUMMYFUNCTION("""COMPUTED_VALUE"""),"home buying help for owners of damaged homes")</f>
        <v>home buying help for owners of damaged homes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IFERROR(__xludf.DUMMYFUNCTION("""COMPUTED_VALUE"""),"sell property for owners of damaged homes")</f>
        <v>sell property for owners of damaged homes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IFERROR(__xludf.DUMMYFUNCTION("""COMPUTED_VALUE"""),"sell home fast for owners of damaged homes")</f>
        <v>sell home fast for owners of damaged homes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IFERROR(__xludf.DUMMYFUNCTION("""COMPUTED_VALUE"""),"sell house as is for owners of damaged homes")</f>
        <v>sell house as is for owners of damaged homes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IFERROR(__xludf.DUMMYFUNCTION("""COMPUTED_VALUE"""),"cash offer for owners of damaged homes")</f>
        <v>cash offer for owners of damaged homes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IFERROR(__xludf.DUMMYFUNCTION("""COMPUTED_VALUE"""),"help selling house for owners of damaged homes")</f>
        <v>help selling house for owners of damaged homes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IFERROR(__xludf.DUMMYFUNCTION("""COMPUTED_VALUE"""),"we buy houses from owners of damaged homes")</f>
        <v>we buy houses from owners of damaged homes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IFERROR(__xludf.DUMMYFUNCTION("""COMPUTED_VALUE"""),"home buyer for owners of damaged homes")</f>
        <v>home buyer for owners of damaged homes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IFERROR(__xludf.DUMMYFUNCTION("""COMPUTED_VALUE"""),"sell house for senior homeowners")</f>
        <v>sell house for senior homeowners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IFERROR(__xludf.DUMMYFUNCTION("""COMPUTED_VALUE"""),"cash home buyer for senior homeowners")</f>
        <v>cash home buyer for senior homeowners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IFERROR(__xludf.DUMMYFUNCTION("""COMPUTED_VALUE"""),"home buying help for senior homeowners")</f>
        <v>home buying help for senior homeowners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IFERROR(__xludf.DUMMYFUNCTION("""COMPUTED_VALUE"""),"sell property for senior homeowners")</f>
        <v>sell property for senior homeowners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IFERROR(__xludf.DUMMYFUNCTION("""COMPUTED_VALUE"""),"sell home fast for senior homeowners")</f>
        <v>sell home fast for senior homeowners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IFERROR(__xludf.DUMMYFUNCTION("""COMPUTED_VALUE"""),"sell house as is for senior homeowners")</f>
        <v>sell house as is for senior homeowners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IFERROR(__xludf.DUMMYFUNCTION("""COMPUTED_VALUE"""),"cash offer for senior homeowners")</f>
        <v>cash offer for senior homeowners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IFERROR(__xludf.DUMMYFUNCTION("""COMPUTED_VALUE"""),"help selling house for senior homeowners")</f>
        <v>help selling house for senior homeowners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IFERROR(__xludf.DUMMYFUNCTION("""COMPUTED_VALUE"""),"we buy houses from senior homeowners")</f>
        <v>we buy houses from senior homeowners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IFERROR(__xludf.DUMMYFUNCTION("""COMPUTED_VALUE"""),"home buyer for senior homeowners")</f>
        <v>home buyer for senior homeowners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IFERROR(__xludf.DUMMYFUNCTION("""COMPUTED_VALUE"""),"sell house for military relocation")</f>
        <v>sell house for military relocation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IFERROR(__xludf.DUMMYFUNCTION("""COMPUTED_VALUE"""),"cash home buyer for military relocation")</f>
        <v>cash home buyer for military relocation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IFERROR(__xludf.DUMMYFUNCTION("""COMPUTED_VALUE"""),"home buying help for military relocation")</f>
        <v>home buying help for military relocation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IFERROR(__xludf.DUMMYFUNCTION("""COMPUTED_VALUE"""),"sell property for military relocation")</f>
        <v>sell property for military relocation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IFERROR(__xludf.DUMMYFUNCTION("""COMPUTED_VALUE"""),"sell home fast for military relocation")</f>
        <v>sell home fast for military relocation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IFERROR(__xludf.DUMMYFUNCTION("""COMPUTED_VALUE"""),"sell house as is for military relocation")</f>
        <v>sell house as is for military relocation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IFERROR(__xludf.DUMMYFUNCTION("""COMPUTED_VALUE"""),"cash offer for military relocation")</f>
        <v>cash offer for military relocation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IFERROR(__xludf.DUMMYFUNCTION("""COMPUTED_VALUE"""),"help selling house for military relocation")</f>
        <v>help selling house for military relocation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IFERROR(__xludf.DUMMYFUNCTION("""COMPUTED_VALUE"""),"we buy houses from military relocation")</f>
        <v>we buy houses from military relocation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IFERROR(__xludf.DUMMYFUNCTION("""COMPUTED_VALUE"""),"home buyer for military relocation")</f>
        <v>home buyer for military relocation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IFERROR(__xludf.DUMMYFUNCTION("""COMPUTED_VALUE"""),"sell house for executors")</f>
        <v>sell house for executors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IFERROR(__xludf.DUMMYFUNCTION("""COMPUTED_VALUE"""),"cash home buyer for executors")</f>
        <v>cash home buyer for executors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IFERROR(__xludf.DUMMYFUNCTION("""COMPUTED_VALUE"""),"home buying help for executors")</f>
        <v>home buying help for executors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IFERROR(__xludf.DUMMYFUNCTION("""COMPUTED_VALUE"""),"sell property for executors")</f>
        <v>sell property for executors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IFERROR(__xludf.DUMMYFUNCTION("""COMPUTED_VALUE"""),"sell home fast for executors")</f>
        <v>sell home fast for executors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IFERROR(__xludf.DUMMYFUNCTION("""COMPUTED_VALUE"""),"sell house as is for executors")</f>
        <v>sell house as is for executors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IFERROR(__xludf.DUMMYFUNCTION("""COMPUTED_VALUE"""),"cash offer for executors")</f>
        <v>cash offer for executors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IFERROR(__xludf.DUMMYFUNCTION("""COMPUTED_VALUE"""),"help selling house for executors")</f>
        <v>help selling house for executors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IFERROR(__xludf.DUMMYFUNCTION("""COMPUTED_VALUE"""),"we buy houses from executors")</f>
        <v>we buy houses from executors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IFERROR(__xludf.DUMMYFUNCTION("""COMPUTED_VALUE"""),"home buyer for executors")</f>
        <v>home buyer for executors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IFERROR(__xludf.DUMMYFUNCTION("""COMPUTED_VALUE"""),"sell house for heirs")</f>
        <v>sell house for heirs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IFERROR(__xludf.DUMMYFUNCTION("""COMPUTED_VALUE"""),"cash home buyer for heirs")</f>
        <v>cash home buyer for heirs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IFERROR(__xludf.DUMMYFUNCTION("""COMPUTED_VALUE"""),"home buying help for heirs")</f>
        <v>home buying help for heirs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IFERROR(__xludf.DUMMYFUNCTION("""COMPUTED_VALUE"""),"sell property for heirs")</f>
        <v>sell property for heirs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IFERROR(__xludf.DUMMYFUNCTION("""COMPUTED_VALUE"""),"sell home fast for heirs")</f>
        <v>sell home fast for heirs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IFERROR(__xludf.DUMMYFUNCTION("""COMPUTED_VALUE"""),"sell house as is for heirs")</f>
        <v>sell house as is for heirs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IFERROR(__xludf.DUMMYFUNCTION("""COMPUTED_VALUE"""),"cash offer for heirs")</f>
        <v>cash offer for heirs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IFERROR(__xludf.DUMMYFUNCTION("""COMPUTED_VALUE"""),"help selling house for heirs")</f>
        <v>help selling house for heirs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IFERROR(__xludf.DUMMYFUNCTION("""COMPUTED_VALUE"""),"we buy houses from heirs")</f>
        <v>we buy houses from heirs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IFERROR(__xludf.DUMMYFUNCTION("""COMPUTED_VALUE"""),"home buyer for heirs")</f>
        <v>home buyer for heirs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IFERROR(__xludf.DUMMYFUNCTION("""COMPUTED_VALUE"""),"sell house for trustees")</f>
        <v>sell house for trustees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IFERROR(__xludf.DUMMYFUNCTION("""COMPUTED_VALUE"""),"cash home buyer for trustees")</f>
        <v>cash home buyer for trustees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IFERROR(__xludf.DUMMYFUNCTION("""COMPUTED_VALUE"""),"home buying help for trustees")</f>
        <v>home buying help for trustees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IFERROR(__xludf.DUMMYFUNCTION("""COMPUTED_VALUE"""),"sell property for trustees")</f>
        <v>sell property for trustees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IFERROR(__xludf.DUMMYFUNCTION("""COMPUTED_VALUE"""),"sell home fast for trustees")</f>
        <v>sell home fast for trustees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IFERROR(__xludf.DUMMYFUNCTION("""COMPUTED_VALUE"""),"sell house as is for trustees")</f>
        <v>sell house as is for trustees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IFERROR(__xludf.DUMMYFUNCTION("""COMPUTED_VALUE"""),"cash offer for trustees")</f>
        <v>cash offer for trustees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IFERROR(__xludf.DUMMYFUNCTION("""COMPUTED_VALUE"""),"help selling house for trustees")</f>
        <v>help selling house for trustees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IFERROR(__xludf.DUMMYFUNCTION("""COMPUTED_VALUE"""),"we buy houses from trustees")</f>
        <v>we buy houses from trustees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IFERROR(__xludf.DUMMYFUNCTION("""COMPUTED_VALUE"""),"home buyer for trustees")</f>
        <v>home buyer for trustees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IFERROR(__xludf.DUMMYFUNCTION("""COMPUTED_VALUE"""),"sell house for landlords")</f>
        <v>sell house for landlords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IFERROR(__xludf.DUMMYFUNCTION("""COMPUTED_VALUE"""),"cash home buyer for landlords")</f>
        <v>cash home buyer for landlords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IFERROR(__xludf.DUMMYFUNCTION("""COMPUTED_VALUE"""),"home buying help for landlords")</f>
        <v>home buying help for landlords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IFERROR(__xludf.DUMMYFUNCTION("""COMPUTED_VALUE"""),"sell property for landlords")</f>
        <v>sell property for landlords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IFERROR(__xludf.DUMMYFUNCTION("""COMPUTED_VALUE"""),"sell home fast for landlords")</f>
        <v>sell home fast for landlords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IFERROR(__xludf.DUMMYFUNCTION("""COMPUTED_VALUE"""),"sell house as is for landlords")</f>
        <v>sell house as is for landlords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IFERROR(__xludf.DUMMYFUNCTION("""COMPUTED_VALUE"""),"cash offer for landlords")</f>
        <v>cash offer for landlords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IFERROR(__xludf.DUMMYFUNCTION("""COMPUTED_VALUE"""),"help selling house for landlords")</f>
        <v>help selling house for landlords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IFERROR(__xludf.DUMMYFUNCTION("""COMPUTED_VALUE"""),"we buy houses from landlords")</f>
        <v>we buy houses from landlords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IFERROR(__xludf.DUMMYFUNCTION("""COMPUTED_VALUE"""),"home buyer for landlords")</f>
        <v>home buyer for landlords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IFERROR(__xludf.DUMMYFUNCTION("""COMPUTED_VALUE"""),"sell house for house sellers")</f>
        <v>sell house for house sellers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IFERROR(__xludf.DUMMYFUNCTION("""COMPUTED_VALUE"""),"cash home buyer for house sellers")</f>
        <v>cash home buyer for house sellers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IFERROR(__xludf.DUMMYFUNCTION("""COMPUTED_VALUE"""),"home buying help for house sellers")</f>
        <v>home buying help for house sellers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IFERROR(__xludf.DUMMYFUNCTION("""COMPUTED_VALUE"""),"sell property for house sellers")</f>
        <v>sell property for house sellers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IFERROR(__xludf.DUMMYFUNCTION("""COMPUTED_VALUE"""),"sell home fast for house sellers")</f>
        <v>sell home fast for house sellers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IFERROR(__xludf.DUMMYFUNCTION("""COMPUTED_VALUE"""),"sell house as is for house sellers")</f>
        <v>sell house as is for house sellers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IFERROR(__xludf.DUMMYFUNCTION("""COMPUTED_VALUE"""),"cash offer for house sellers")</f>
        <v>cash offer for house sellers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IFERROR(__xludf.DUMMYFUNCTION("""COMPUTED_VALUE"""),"help selling house for house sellers")</f>
        <v>help selling house for house sellers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IFERROR(__xludf.DUMMYFUNCTION("""COMPUTED_VALUE"""),"we buy houses from house sellers")</f>
        <v>we buy houses from house sellers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IFERROR(__xludf.DUMMYFUNCTION("""COMPUTED_VALUE"""),"home buyer for house sellers")</f>
        <v>home buyer for house sellers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IFERROR(__xludf.DUMMYFUNCTION("""COMPUTED_VALUE"""),"sell house for property sellers")</f>
        <v>sell house for property sellers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IFERROR(__xludf.DUMMYFUNCTION("""COMPUTED_VALUE"""),"cash home buyer for property sellers")</f>
        <v>cash home buyer for property sellers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IFERROR(__xludf.DUMMYFUNCTION("""COMPUTED_VALUE"""),"home buying help for property sellers")</f>
        <v>home buying help for property sellers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IFERROR(__xludf.DUMMYFUNCTION("""COMPUTED_VALUE"""),"sell property for property sellers")</f>
        <v>sell property for property sellers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IFERROR(__xludf.DUMMYFUNCTION("""COMPUTED_VALUE"""),"sell home fast for property sellers")</f>
        <v>sell home fast for property sellers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IFERROR(__xludf.DUMMYFUNCTION("""COMPUTED_VALUE"""),"sell house as is for property sellers")</f>
        <v>sell house as is for property sellers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IFERROR(__xludf.DUMMYFUNCTION("""COMPUTED_VALUE"""),"cash offer for property sellers")</f>
        <v>cash offer for property sellers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IFERROR(__xludf.DUMMYFUNCTION("""COMPUTED_VALUE"""),"help selling house for property sellers")</f>
        <v>help selling house for property sellers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IFERROR(__xludf.DUMMYFUNCTION("""COMPUTED_VALUE"""),"we buy houses from property sellers")</f>
        <v>we buy houses from property sellers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IFERROR(__xludf.DUMMYFUNCTION("""COMPUTED_VALUE"""),"home buyer for property sellers")</f>
        <v>home buyer for property sellers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IFERROR(__xludf.DUMMYFUNCTION("""COMPUTED_VALUE"""),"sell house for homeowners who need to move")</f>
        <v>sell house for homeowners who need to move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IFERROR(__xludf.DUMMYFUNCTION("""COMPUTED_VALUE"""),"cash home buyer for homeowners who need to move")</f>
        <v>cash home buyer for homeowners who need to move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IFERROR(__xludf.DUMMYFUNCTION("""COMPUTED_VALUE"""),"home buying help for homeowners who need to move")</f>
        <v>home buying help for homeowners who need to move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IFERROR(__xludf.DUMMYFUNCTION("""COMPUTED_VALUE"""),"sell property for homeowners who need to move")</f>
        <v>sell property for homeowners who need to move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IFERROR(__xludf.DUMMYFUNCTION("""COMPUTED_VALUE"""),"sell home fast for homeowners who need to move")</f>
        <v>sell home fast for homeowners who need to move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IFERROR(__xludf.DUMMYFUNCTION("""COMPUTED_VALUE"""),"sell house as is for homeowners who need to move")</f>
        <v>sell house as is for homeowners who need to move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IFERROR(__xludf.DUMMYFUNCTION("""COMPUTED_VALUE"""),"cash offer for homeowners who need to move")</f>
        <v>cash offer for homeowners who need to move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IFERROR(__xludf.DUMMYFUNCTION("""COMPUTED_VALUE"""),"help selling house for homeowners who need to move")</f>
        <v>help selling house for homeowners who need to move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IFERROR(__xludf.DUMMYFUNCTION("""COMPUTED_VALUE"""),"we buy houses from homeowners who need to move")</f>
        <v>we buy houses from homeowners who need to move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IFERROR(__xludf.DUMMYFUNCTION("""COMPUTED_VALUE"""),"home buyer for homeowners who need to move")</f>
        <v>home buyer for homeowners who need to move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IFERROR(__xludf.DUMMYFUNCTION("""COMPUTED_VALUE"""),"sell house for owners with unwanted property")</f>
        <v>sell house for owners with unwanted property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IFERROR(__xludf.DUMMYFUNCTION("""COMPUTED_VALUE"""),"cash home buyer for owners with unwanted property")</f>
        <v>cash home buyer for owners with unwanted property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IFERROR(__xludf.DUMMYFUNCTION("""COMPUTED_VALUE"""),"home buying help for owners with unwanted property")</f>
        <v>home buying help for owners with unwanted property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IFERROR(__xludf.DUMMYFUNCTION("""COMPUTED_VALUE"""),"sell property for owners with unwanted property")</f>
        <v>sell property for owners with unwanted property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IFERROR(__xludf.DUMMYFUNCTION("""COMPUTED_VALUE"""),"sell home fast for owners with unwanted property")</f>
        <v>sell home fast for owners with unwanted property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IFERROR(__xludf.DUMMYFUNCTION("""COMPUTED_VALUE"""),"sell house as is for owners with unwanted property")</f>
        <v>sell house as is for owners with unwanted property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IFERROR(__xludf.DUMMYFUNCTION("""COMPUTED_VALUE"""),"cash offer for owners with unwanted property")</f>
        <v>cash offer for owners with unwanted property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IFERROR(__xludf.DUMMYFUNCTION("""COMPUTED_VALUE"""),"help selling house for owners with unwanted property")</f>
        <v>help selling house for owners with unwanted property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IFERROR(__xludf.DUMMYFUNCTION("""COMPUTED_VALUE"""),"we buy houses from owners with unwanted property")</f>
        <v>we buy houses from owners with unwanted property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IFERROR(__xludf.DUMMYFUNCTION("""COMPUTED_VALUE"""),"home buyer for owners with unwanted property")</f>
        <v>home buyer for owners with unwanted property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 t="str">
        <f>IFERROR(__xludf.DUMMYFUNCTION("""COMPUTED_VALUE"""),"sell house for")</f>
        <v>sell house for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 t="str">
        <f>IFERROR(__xludf.DUMMYFUNCTION("""COMPUTED_VALUE"""),"cash home buyer for")</f>
        <v>cash home buyer for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 t="str">
        <f>IFERROR(__xludf.DUMMYFUNCTION("""COMPUTED_VALUE"""),"home buying help for")</f>
        <v>home buying help for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 t="str">
        <f>IFERROR(__xludf.DUMMYFUNCTION("""COMPUTED_VALUE"""),"sell property for")</f>
        <v>sell property for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 t="str">
        <f>IFERROR(__xludf.DUMMYFUNCTION("""COMPUTED_VALUE"""),"sell home fast for")</f>
        <v>sell home fast for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 t="str">
        <f>IFERROR(__xludf.DUMMYFUNCTION("""COMPUTED_VALUE"""),"sell house as is for")</f>
        <v>sell house as is for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 t="str">
        <f>IFERROR(__xludf.DUMMYFUNCTION("""COMPUTED_VALUE"""),"cash offer for")</f>
        <v>cash offer for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 t="str">
        <f>IFERROR(__xludf.DUMMYFUNCTION("""COMPUTED_VALUE"""),"help selling house for")</f>
        <v>help selling house for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 t="str">
        <f>IFERROR(__xludf.DUMMYFUNCTION("""COMPUTED_VALUE"""),"we buy houses from")</f>
        <v>we buy houses from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 t="str">
        <f>IFERROR(__xludf.DUMMYFUNCTION("""COMPUTED_VALUE"""),"home buyer for")</f>
        <v>home buyer for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11" width="18.0"/>
  </cols>
  <sheetData>
    <row r="1">
      <c r="A1" s="1"/>
      <c r="B1" s="2" t="s">
        <v>15</v>
      </c>
      <c r="C1" s="2" t="s">
        <v>209</v>
      </c>
      <c r="D1" s="2" t="s">
        <v>210</v>
      </c>
      <c r="E1" s="2" t="s">
        <v>211</v>
      </c>
      <c r="F1" s="2" t="s">
        <v>212</v>
      </c>
      <c r="G1" s="2" t="s">
        <v>25</v>
      </c>
      <c r="H1" s="2" t="s">
        <v>29</v>
      </c>
      <c r="I1" s="2" t="s">
        <v>213</v>
      </c>
      <c r="J1" s="2" t="s">
        <v>214</v>
      </c>
      <c r="K1" s="2" t="s">
        <v>215</v>
      </c>
      <c r="L1" s="1"/>
      <c r="M1" s="2" t="s">
        <v>38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41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1" t="s">
        <v>218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""&amp;$A3))"),"get cash offer for house online")</f>
        <v>get cash offer for house online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""&amp;$A3))"),"request cash offer for house online")</f>
        <v>request cash offer for house online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""&amp;$A3))"),"get fair offer for house online")</f>
        <v>get fair offer for house online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""&amp;$A3))"),"free offer for house online")</f>
        <v>free offer for house online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""&amp;$A3))"),"no obligation offer house online")</f>
        <v>no obligation offer house online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""&amp;$A3))"),"sell house in 7 days online")</f>
        <v>sell house in 7 days online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""&amp;$A3))"),"close house sale fast online")</f>
        <v>close house sale fast online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""&amp;$A3))"),"choose closing date house sale online")</f>
        <v>choose closing date house sale online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""&amp;$A3))"),"sell house without showings online")</f>
        <v>sell house without showings online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""&amp;$A3))"),"sell house closing costs paid online")</f>
        <v>sell house closing costs paid online</v>
      </c>
      <c r="L3" s="13"/>
      <c r="M3" s="13" t="str">
        <f>IFERROR(__xludf.DUMMYFUNCTION("FLATTEN(B3:K37,B1:K1)"),"get cash offer for house online")</f>
        <v>get cash offer for house online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1" t="s">
        <v>43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""&amp;$A4))"),"get cash offer for house today")</f>
        <v>get cash offer for house today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""&amp;$A4))"),"request cash offer for house today")</f>
        <v>request cash offer for house today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""&amp;$A4))"),"get fair offer for house today")</f>
        <v>get fair offer for house today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""&amp;$A4))"),"free offer for house today")</f>
        <v>free offer for house today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""&amp;$A4))"),"no obligation offer house today")</f>
        <v>no obligation offer house today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""&amp;$A4))"),"sell house in 7 days today")</f>
        <v>sell house in 7 days today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""&amp;$A4))"),"close house sale fast today")</f>
        <v>close house sale fast today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""&amp;$A4))"),"choose closing date house sale today")</f>
        <v>choose closing date house sale today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""&amp;$A4))"),"sell house without showings today")</f>
        <v>sell house without showings today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""&amp;$A4))"),"sell house closing costs paid today")</f>
        <v>sell house closing costs paid today</v>
      </c>
      <c r="L4" s="13"/>
      <c r="M4" s="13" t="str">
        <f>IFERROR(__xludf.DUMMYFUNCTION("""COMPUTED_VALUE"""),"request cash offer for house online")</f>
        <v>request cash offer for house online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1" t="s">
        <v>52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""&amp;$A5))"),"get cash offer for house within 24 hours")</f>
        <v>get cash offer for house within 24 hours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""&amp;$A5))"),"request cash offer for house within 24 hours")</f>
        <v>request cash offer for house within 24 hours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""&amp;$A5))"),"get fair offer for house within 24 hours")</f>
        <v>get fair offer for house within 24 hours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""&amp;$A5))"),"free offer for house within 24 hours")</f>
        <v>free offer for house within 24 hours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""&amp;$A5))"),"no obligation offer house within 24 hours")</f>
        <v>no obligation offer house within 24 hours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""&amp;$A5))"),"sell house in 7 days within 24 hours")</f>
        <v>sell house in 7 days within 24 hours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""&amp;$A5))"),"close house sale fast within 24 hours")</f>
        <v>close house sale fast within 24 hours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""&amp;$A5))"),"choose closing date house sale within 24 hours")</f>
        <v>choose closing date house sale within 24 hours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""&amp;$A5))"),"sell house without showings within 24 hours")</f>
        <v>sell house without showings within 24 hours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""&amp;$A5))"),"sell house closing costs paid within 24 hours")</f>
        <v>sell house closing costs paid within 24 hours</v>
      </c>
      <c r="L5" s="13"/>
      <c r="M5" s="13" t="str">
        <f>IFERROR(__xludf.DUMMYFUNCTION("""COMPUTED_VALUE"""),"get fair offer for house online")</f>
        <v>get fair offer for house online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1" t="s">
        <v>88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""&amp;$A6))"),"get cash offer for house no obligation")</f>
        <v>get cash offer for house no obligation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""&amp;$A6))"),"request cash offer for house no obligation")</f>
        <v>request cash offer for house no obligation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""&amp;$A6))"),"get fair offer for house no obligation")</f>
        <v>get fair offer for house no obligation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""&amp;$A6))"),"free offer for house no obligation")</f>
        <v>free offer for house no obligation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""&amp;$A6))"),"no obligation offer house")</f>
        <v>no obligation offer house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""&amp;$A6))"),"sell house in 7 days no obligation")</f>
        <v>sell house in 7 days no obligation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""&amp;$A6))"),"close house sale fast no obligation")</f>
        <v>close house sale fast no obligation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""&amp;$A6))"),"choose closing date house sale no obligation")</f>
        <v>choose closing date house sale no obligation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""&amp;$A6))"),"sell house without showings no obligation")</f>
        <v>sell house without showings no obligation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""&amp;$A6))"),"sell house closing costs paid no obligation")</f>
        <v>sell house closing costs paid no obligation</v>
      </c>
      <c r="L6" s="13"/>
      <c r="M6" s="13" t="str">
        <f>IFERROR(__xludf.DUMMYFUNCTION("""COMPUTED_VALUE"""),"free offer for house online")</f>
        <v>free offer for house online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1" t="s">
        <v>231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""&amp;$A7))"),"get cash offer for house free")</f>
        <v>get cash offer for house free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""&amp;$A7))"),"request cash offer for house free")</f>
        <v>request cash offer for house free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""&amp;$A7))"),"get fair offer for house free")</f>
        <v>get fair offer for house free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""&amp;$A7))"),"free offer for house")</f>
        <v>free offer for house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""&amp;$A7))"),"no obligation offer house free")</f>
        <v>no obligation offer house free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""&amp;$A7))"),"sell house in 7 days free")</f>
        <v>sell house in 7 days free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""&amp;$A7))"),"close house sale fast free")</f>
        <v>close house sale fast free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""&amp;$A7))"),"choose closing date house sale free")</f>
        <v>choose closing date house sale free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""&amp;$A7))"),"sell house without showings free")</f>
        <v>sell house without showings free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""&amp;$A7))"),"sell house closing costs paid free")</f>
        <v>sell house closing costs paid free</v>
      </c>
      <c r="L7" s="13"/>
      <c r="M7" s="13" t="str">
        <f>IFERROR(__xludf.DUMMYFUNCTION("""COMPUTED_VALUE"""),"no obligation offer house online")</f>
        <v>no obligation offer house online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1" t="s">
        <v>235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""&amp;$A8))"),"get cash offer for house simple")</f>
        <v>get cash offer for house simple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""&amp;$A8))"),"request cash offer for house simple")</f>
        <v>request cash offer for house simple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""&amp;$A8))"),"get fair offer for house simple")</f>
        <v>get fair offer for house simple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""&amp;$A8))"),"free offer for house simple")</f>
        <v>free offer for house simple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""&amp;$A8))"),"no obligation offer house simple")</f>
        <v>no obligation offer house simple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""&amp;$A8))"),"sell house in 7 days simple")</f>
        <v>sell house in 7 days simple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""&amp;$A8))"),"close house sale fast simple")</f>
        <v>close house sale fast simple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""&amp;$A8))"),"choose closing date house sale simple")</f>
        <v>choose closing date house sale simple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""&amp;$A8))"),"sell house without showings simple")</f>
        <v>sell house without showings simple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""&amp;$A8))"),"sell house closing costs paid simple")</f>
        <v>sell house closing costs paid simple</v>
      </c>
      <c r="L8" s="13"/>
      <c r="M8" s="13" t="str">
        <f>IFERROR(__xludf.DUMMYFUNCTION("""COMPUTED_VALUE"""),"sell house in 7 days online")</f>
        <v>sell house in 7 days online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1" t="s">
        <v>238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""&amp;$A9))"),"get cash offer for house easy")</f>
        <v>get cash offer for house easy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""&amp;$A9))"),"request cash offer for house easy")</f>
        <v>request cash offer for house easy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""&amp;$A9))"),"get fair offer for house easy")</f>
        <v>get fair offer for house easy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""&amp;$A9))"),"free offer for house easy")</f>
        <v>free offer for house easy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""&amp;$A9))"),"no obligation offer house easy")</f>
        <v>no obligation offer house easy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""&amp;$A9))"),"sell house in 7 days easy")</f>
        <v>sell house in 7 days easy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""&amp;$A9))"),"close house sale fast easy")</f>
        <v>close house sale fast easy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""&amp;$A9))"),"choose closing date house sale easy")</f>
        <v>choose closing date house sale easy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""&amp;$A9))"),"sell house without showings easy")</f>
        <v>sell house without showings easy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""&amp;$A9))"),"sell house closing costs paid easy")</f>
        <v>sell house closing costs paid easy</v>
      </c>
      <c r="L9" s="13"/>
      <c r="M9" s="13" t="str">
        <f>IFERROR(__xludf.DUMMYFUNCTION("""COMPUTED_VALUE"""),"close house sale fast online")</f>
        <v>close house sale fast online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1" t="s">
        <v>240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""&amp;$A10))"),"get cash offer for house three step process")</f>
        <v>get cash offer for house three step process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""&amp;$A10))"),"request cash offer for house three step process")</f>
        <v>request cash offer for house three step process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""&amp;$A10))"),"get fair offer for house three step process")</f>
        <v>get fair offer for house three step process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""&amp;$A10))"),"free offer for house three step process")</f>
        <v>free offer for house three step process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""&amp;$A10))"),"no obligation offer house three step process")</f>
        <v>no obligation offer house three step process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""&amp;$A10))"),"sell house in 7 days three step process")</f>
        <v>sell house in 7 days three step process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""&amp;$A10))"),"close house sale fast three step process")</f>
        <v>close house sale fast three step process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""&amp;$A10))"),"choose closing date house sale three step process")</f>
        <v>choose closing date house sale three step process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""&amp;$A10))"),"sell house without showings three step process")</f>
        <v>sell house without showings three step process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""&amp;$A10))"),"sell house closing costs paid three step process")</f>
        <v>sell house closing costs paid three step process</v>
      </c>
      <c r="L10" s="13"/>
      <c r="M10" s="13" t="str">
        <f>IFERROR(__xludf.DUMMYFUNCTION("""COMPUTED_VALUE"""),"choose closing date house sale online")</f>
        <v>choose closing date house sale online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1" t="s">
        <v>243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""&amp;$A11))"),"get cash offer for house property walkthrough")</f>
        <v>get cash offer for house property walkthrough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""&amp;$A11))"),"request cash offer for house property walkthrough")</f>
        <v>request cash offer for house property walkthrough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""&amp;$A11))"),"get fair offer for house property walkthrough")</f>
        <v>get fair offer for house property walkthrough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""&amp;$A11))"),"free offer for house property walkthrough")</f>
        <v>free offer for house property walkthrough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""&amp;$A11))"),"no obligation offer house property walkthrough")</f>
        <v>no obligation offer house property walkthrough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""&amp;$A11))"),"sell house in 7 days property walkthrough")</f>
        <v>sell house in 7 days property walkthrough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""&amp;$A11))"),"close house sale fast property walkthrough")</f>
        <v>close house sale fast property walkthrough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""&amp;$A11))"),"choose closing date house sale property walkthrough")</f>
        <v>choose closing date house sale property walkthrough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""&amp;$A11))"),"sell house without showings property walkthrough")</f>
        <v>sell house without showings property walkthrough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""&amp;$A11))"),"sell house closing costs paid property walkthrough")</f>
        <v>sell house closing costs paid property walkthrough</v>
      </c>
      <c r="L11" s="13"/>
      <c r="M11" s="13" t="str">
        <f>IFERROR(__xludf.DUMMYFUNCTION("""COMPUTED_VALUE"""),"sell house without showings online")</f>
        <v>sell house without showings online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1" t="s">
        <v>246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""&amp;$A12))"),"get cash offer for house phone consultation")</f>
        <v>get cash offer for house phone consultation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""&amp;$A12))"),"request cash offer for house phone consultation")</f>
        <v>request cash offer for house phone consultation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""&amp;$A12))"),"get fair offer for house phone consultation")</f>
        <v>get fair offer for house phone consultation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""&amp;$A12))"),"free offer for house phone consultation")</f>
        <v>free offer for house phone consultation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""&amp;$A12))"),"no obligation offer house phone consultation")</f>
        <v>no obligation offer house phone consultation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""&amp;$A12))"),"sell house in 7 days phone consultation")</f>
        <v>sell house in 7 days phone consultation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""&amp;$A12))"),"close house sale fast phone consultation")</f>
        <v>close house sale fast phone consultation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""&amp;$A12))"),"choose closing date house sale phone consultation")</f>
        <v>choose closing date house sale phone consultation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""&amp;$A12))"),"sell house without showings phone consultation")</f>
        <v>sell house without showings phone consultation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""&amp;$A12))"),"sell house closing costs paid phone consultation")</f>
        <v>sell house closing costs paid phone consultation</v>
      </c>
      <c r="L12" s="13"/>
      <c r="M12" s="13" t="str">
        <f>IFERROR(__xludf.DUMMYFUNCTION("""COMPUTED_VALUE"""),"sell house closing costs paid online")</f>
        <v>sell house closing costs paid online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1" t="s">
        <v>132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""&amp;$A13))"),"get cash offer for house appointment")</f>
        <v>get cash offer for house appointment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""&amp;$A13))"),"request cash offer for house appointment")</f>
        <v>request cash offer for house appointment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""&amp;$A13))"),"get fair offer for house appointment")</f>
        <v>get fair offer for house appointment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""&amp;$A13))"),"free offer for house appointment")</f>
        <v>free offer for house appointment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""&amp;$A13))"),"no obligation offer house appointment")</f>
        <v>no obligation offer house appointment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""&amp;$A13))"),"sell house in 7 days appointment")</f>
        <v>sell house in 7 days appointment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""&amp;$A13))"),"close house sale fast appointment")</f>
        <v>close house sale fast appointment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""&amp;$A13))"),"choose closing date house sale appointment")</f>
        <v>choose closing date house sale appointment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""&amp;$A13))"),"sell house without showings appointment")</f>
        <v>sell house without showings appointment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""&amp;$A13))"),"sell house closing costs paid appointment")</f>
        <v>sell house closing costs paid appointment</v>
      </c>
      <c r="L13" s="13"/>
      <c r="M13" s="13" t="str">
        <f>IFERROR(__xludf.DUMMYFUNCTION("""COMPUTED_VALUE"""),"get cash offer for house today")</f>
        <v>get cash offer for house today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75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""&amp;$A14))"),"get cash offer for house fast closing")</f>
        <v>get cash offer for house fast closing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""&amp;$A14))"),"request cash offer for house fast closing")</f>
        <v>request cash offer for house fast closing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""&amp;$A14))"),"get fair offer for house fast closing")</f>
        <v>get fair offer for house fast closing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""&amp;$A14))"),"free offer for house fast closing")</f>
        <v>free offer for house fast closing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""&amp;$A14))"),"no obligation offer house fast closing")</f>
        <v>no obligation offer house fast closing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""&amp;$A14))"),"sell house in 7 days fast closing")</f>
        <v>sell house in 7 days fast closing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""&amp;$A14))"),"close house sale fast fast closing")</f>
        <v>close house sale fast fast closing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""&amp;$A14))"),"choose closing date house sale fast closing")</f>
        <v>choose closing date house sale fast closing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""&amp;$A14))"),"sell house without showings fast closing")</f>
        <v>sell house without showings fast closing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""&amp;$A14))"),"sell house closing costs paid fast closing")</f>
        <v>sell house closing costs paid fast closing</v>
      </c>
      <c r="L14" s="13"/>
      <c r="M14" s="13" t="str">
        <f>IFERROR(__xludf.DUMMYFUNCTION("""COMPUTED_VALUE"""),"request cash offer for house today")</f>
        <v>request cash offer for house today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153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""&amp;$A15))"),"get cash offer for house flexible closing")</f>
        <v>get cash offer for house flexible closing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""&amp;$A15))"),"request cash offer for house flexible closing")</f>
        <v>request cash offer for house flexible closing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""&amp;$A15))"),"get fair offer for house flexible closing")</f>
        <v>get fair offer for house flexible closing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""&amp;$A15))"),"free offer for house flexible closing")</f>
        <v>free offer for house flexible closing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""&amp;$A15))"),"no obligation offer house flexible closing")</f>
        <v>no obligation offer house flexible closing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""&amp;$A15))"),"sell house in 7 days flexible closing")</f>
        <v>sell house in 7 days flexible closing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""&amp;$A15))"),"close house sale fast flexible closing")</f>
        <v>close house sale fast flexible closing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""&amp;$A15))"),"choose closing date house sale flexible closing")</f>
        <v>choose closing date house sale flexible closing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""&amp;$A15))"),"sell house without showings flexible closing")</f>
        <v>sell house without showings flexible closing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""&amp;$A15))"),"sell house closing costs paid flexible closing")</f>
        <v>sell house closing costs paid flexible closing</v>
      </c>
      <c r="L15" s="13"/>
      <c r="M15" s="13" t="str">
        <f>IFERROR(__xludf.DUMMYFUNCTION("""COMPUTED_VALUE"""),"get fair offer for house today")</f>
        <v>get fair offer for house today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253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""&amp;$A16))"),"get cash offer for house seller timeline")</f>
        <v>get cash offer for house seller timeline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""&amp;$A16))"),"request cash offer for house seller timeline")</f>
        <v>request cash offer for house seller timeline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""&amp;$A16))"),"get fair offer for house seller timeline")</f>
        <v>get fair offer for house seller timeline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""&amp;$A16))"),"free offer for house seller timeline")</f>
        <v>free offer for house seller timeline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""&amp;$A16))"),"no obligation offer house seller timeline")</f>
        <v>no obligation offer house seller timeline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""&amp;$A16))"),"sell house in 7 days seller timeline")</f>
        <v>sell house in 7 days seller timeline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""&amp;$A16))"),"close house sale fast seller timeline")</f>
        <v>close house sale fast seller timeline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""&amp;$A16))"),"choose closing date house sale seller timeline")</f>
        <v>choose closing date house sale seller timeline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""&amp;$A16))"),"sell house without showings seller timeline")</f>
        <v>sell house without showings seller timeline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""&amp;$A16))"),"sell house closing costs paid seller timeline")</f>
        <v>sell house closing costs paid seller timeline</v>
      </c>
      <c r="L16" s="13"/>
      <c r="M16" s="13" t="str">
        <f>IFERROR(__xludf.DUMMYFUNCTION("""COMPUTED_VALUE"""),"free offer for house today")</f>
        <v>free offer for house today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136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""&amp;$A17))"),"get cash offer for house closing costs paid")</f>
        <v>get cash offer for house closing costs paid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""&amp;$A17))"),"request cash offer for house closing costs paid")</f>
        <v>request cash offer for house closing costs paid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""&amp;$A17))"),"get fair offer for house closing costs paid")</f>
        <v>get fair offer for house closing costs paid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""&amp;$A17))"),"free offer for house closing costs paid")</f>
        <v>free offer for house closing costs paid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""&amp;$A17))"),"no obligation offer house closing costs paid")</f>
        <v>no obligation offer house closing costs paid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""&amp;$A17))"),"sell house in 7 days closing costs paid")</f>
        <v>sell house in 7 days closing costs paid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""&amp;$A17))"),"close house sale fast closing costs paid")</f>
        <v>close house sale fast closing costs paid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""&amp;$A17))"),"choose closing date house sale closing costs paid")</f>
        <v>choose closing date house sale closing costs paid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""&amp;$A17))"),"sell house without showings closing costs paid")</f>
        <v>sell house without showings closing costs paid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""&amp;$A17))"),"sell house closing costs paid")</f>
        <v>sell house closing costs paid</v>
      </c>
      <c r="L17" s="13"/>
      <c r="M17" s="13" t="str">
        <f>IFERROR(__xludf.DUMMYFUNCTION("""COMPUTED_VALUE"""),"no obligation offer house today")</f>
        <v>no obligation offer house today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257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""&amp;$A18))"),"get cash offer for house no inspections")</f>
        <v>get cash offer for house no inspections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""&amp;$A18))"),"request cash offer for house no inspections")</f>
        <v>request cash offer for house no inspections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""&amp;$A18))"),"get fair offer for house no inspections")</f>
        <v>get fair offer for house no inspections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""&amp;$A18))"),"free offer for house no inspections")</f>
        <v>free offer for house no inspections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""&amp;$A18))"),"no obligation offer house no inspections")</f>
        <v>no obligation offer house no inspections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""&amp;$A18))"),"sell house in 7 days no inspections")</f>
        <v>sell house in 7 days no inspections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""&amp;$A18))"),"close house sale fast no inspections")</f>
        <v>close house sale fast no inspections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""&amp;$A18))"),"choose closing date house sale no inspections")</f>
        <v>choose closing date house sale no inspections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""&amp;$A18))"),"sell house without showings no inspections")</f>
        <v>sell house without showings no inspections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""&amp;$A18))"),"sell house closing costs paid no inspections")</f>
        <v>sell house closing costs paid no inspections</v>
      </c>
      <c r="L18" s="13"/>
      <c r="M18" s="13" t="str">
        <f>IFERROR(__xludf.DUMMYFUNCTION("""COMPUTED_VALUE"""),"sell house in 7 days today")</f>
        <v>sell house in 7 days today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260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""&amp;$A19))"),"get cash offer for house no appraisals")</f>
        <v>get cash offer for house no appraisals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""&amp;$A19))"),"request cash offer for house no appraisals")</f>
        <v>request cash offer for house no appraisals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""&amp;$A19))"),"get fair offer for house no appraisals")</f>
        <v>get fair offer for house no appraisals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""&amp;$A19))"),"free offer for house no appraisals")</f>
        <v>free offer for house no appraisals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""&amp;$A19))"),"no obligation offer house no appraisals")</f>
        <v>no obligation offer house no appraisals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""&amp;$A19))"),"sell house in 7 days no appraisals")</f>
        <v>sell house in 7 days no appraisals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""&amp;$A19))"),"close house sale fast no appraisals")</f>
        <v>close house sale fast no appraisals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""&amp;$A19))"),"choose closing date house sale no appraisals")</f>
        <v>choose closing date house sale no appraisals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""&amp;$A19))"),"sell house without showings no appraisals")</f>
        <v>sell house without showings no appraisals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""&amp;$A19))"),"sell house closing costs paid no appraisals")</f>
        <v>sell house closing costs paid no appraisals</v>
      </c>
      <c r="L19" s="13"/>
      <c r="M19" s="13" t="str">
        <f>IFERROR(__xludf.DUMMYFUNCTION("""COMPUTED_VALUE"""),"close house sale fast today")</f>
        <v>close house sale fast today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262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""&amp;$A20))"),"get cash offer for house no repairs required")</f>
        <v>get cash offer for house no repairs required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""&amp;$A20))"),"request cash offer for house no repairs required")</f>
        <v>request cash offer for house no repairs required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""&amp;$A20))"),"get fair offer for house no repairs required")</f>
        <v>get fair offer for house no repairs required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""&amp;$A20))"),"free offer for house no repairs required")</f>
        <v>free offer for house no repairs required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""&amp;$A20))"),"no obligation offer house no repairs required")</f>
        <v>no obligation offer house no repairs required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""&amp;$A20))"),"sell house in 7 days no repairs required")</f>
        <v>sell house in 7 days no repairs required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""&amp;$A20))"),"close house sale fast no repairs required")</f>
        <v>close house sale fast no repairs required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""&amp;$A20))"),"choose closing date house sale no repairs required")</f>
        <v>choose closing date house sale no repairs required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""&amp;$A20))"),"sell house without showings no repairs required")</f>
        <v>sell house without showings no repairs required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""&amp;$A20))"),"sell house closing costs paid no repairs required")</f>
        <v>sell house closing costs paid no repairs required</v>
      </c>
      <c r="L20" s="13"/>
      <c r="M20" s="13" t="str">
        <f>IFERROR(__xludf.DUMMYFUNCTION("""COMPUTED_VALUE"""),"choose closing date house sale today")</f>
        <v>choose closing date house sale today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263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""&amp;$A21))"),"get cash offer for house no open houses")</f>
        <v>get cash offer for house no open houses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""&amp;$A21))"),"request cash offer for house no open houses")</f>
        <v>request cash offer for house no open houses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""&amp;$A21))"),"get fair offer for house no open houses")</f>
        <v>get fair offer for house no open houses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""&amp;$A21))"),"free offer for house no open houses")</f>
        <v>free offer for house no open houses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""&amp;$A21))"),"no obligation offer house no open houses")</f>
        <v>no obligation offer house no open houses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""&amp;$A21))"),"sell house in 7 days no open houses")</f>
        <v>sell house in 7 days no open houses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""&amp;$A21))"),"close house sale fast no open houses")</f>
        <v>close house sale fast no open houses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""&amp;$A21))"),"choose closing date house sale no open houses")</f>
        <v>choose closing date house sale no open houses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""&amp;$A21))"),"sell house without showings no open houses")</f>
        <v>sell house without showings no open houses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""&amp;$A21))"),"sell house closing costs paid no open houses")</f>
        <v>sell house closing costs paid no open houses</v>
      </c>
      <c r="L21" s="13"/>
      <c r="M21" s="13" t="str">
        <f>IFERROR(__xludf.DUMMYFUNCTION("""COMPUTED_VALUE"""),"sell house without showings today")</f>
        <v>sell house without showings today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264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""&amp;$A22))"),"get cash offer for house no realtor commissions")</f>
        <v>get cash offer for house no realtor commissions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""&amp;$A22))"),"request cash offer for house no realtor commissions")</f>
        <v>request cash offer for house no realtor commissions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""&amp;$A22))"),"get fair offer for house no realtor commissions")</f>
        <v>get fair offer for house no realtor commissions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""&amp;$A22))"),"free offer for house no realtor commissions")</f>
        <v>free offer for house no realtor commissions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""&amp;$A22))"),"no obligation offer house no realtor commissions")</f>
        <v>no obligation offer house no realtor commissions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""&amp;$A22))"),"sell house in 7 days no realtor commissions")</f>
        <v>sell house in 7 days no realtor commissions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""&amp;$A22))"),"close house sale fast no realtor commissions")</f>
        <v>close house sale fast no realtor commissions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""&amp;$A22))"),"choose closing date house sale no realtor commissions")</f>
        <v>choose closing date house sale no realtor commissions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""&amp;$A22))"),"sell house without showings no realtor commissions")</f>
        <v>sell house without showings no realtor commissions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""&amp;$A22))"),"sell house closing costs paid no realtor commissions")</f>
        <v>sell house closing costs paid no realtor commissions</v>
      </c>
      <c r="L22" s="13"/>
      <c r="M22" s="13" t="str">
        <f>IFERROR(__xludf.DUMMYFUNCTION("""COMPUTED_VALUE"""),"sell house closing costs paid today")</f>
        <v>sell house closing costs paid today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265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""&amp;$A23))"),"get cash offer for house no hidden fees")</f>
        <v>get cash offer for house no hidden fees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""&amp;$A23))"),"request cash offer for house no hidden fees")</f>
        <v>request cash offer for house no hidden fees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""&amp;$A23))"),"get fair offer for house no hidden fees")</f>
        <v>get fair offer for house no hidden fees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""&amp;$A23))"),"free offer for house no hidden fees")</f>
        <v>free offer for house no hidden fees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""&amp;$A23))"),"no obligation offer house no hidden fees")</f>
        <v>no obligation offer house no hidden fees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""&amp;$A23))"),"sell house in 7 days no hidden fees")</f>
        <v>sell house in 7 days no hidden fees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""&amp;$A23))"),"close house sale fast no hidden fees")</f>
        <v>close house sale fast no hidden fees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""&amp;$A23))"),"choose closing date house sale no hidden fees")</f>
        <v>choose closing date house sale no hidden fees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""&amp;$A23))"),"sell house without showings no hidden fees")</f>
        <v>sell house without showings no hidden fees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""&amp;$A23))"),"sell house closing costs paid no hidden fees")</f>
        <v>sell house closing costs paid no hidden fees</v>
      </c>
      <c r="L23" s="13"/>
      <c r="M23" s="13" t="str">
        <f>IFERROR(__xludf.DUMMYFUNCTION("""COMPUTED_VALUE"""),"get cash offer for house within 24 hours")</f>
        <v>get cash offer for house within 24 hours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266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""&amp;$A24))"),"get cash offer for house")</f>
        <v>get cash offer for house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""&amp;$A24))"),"request cash offer for house")</f>
        <v>request cash offer for house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""&amp;$A24))"),"get fair offer for house cash offer")</f>
        <v>get fair offer for house cash offer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""&amp;$A24))"),"free offer for house cash offer")</f>
        <v>free offer for house cash offer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""&amp;$A24))"),"no obligation offer house cash offer")</f>
        <v>no obligation offer house cash offer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""&amp;$A24))"),"sell house in 7 days cash offer")</f>
        <v>sell house in 7 days cash offer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""&amp;$A24))"),"close house sale fast cash offer")</f>
        <v>close house sale fast cash offer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""&amp;$A24))"),"choose closing date house sale cash offer")</f>
        <v>choose closing date house sale cash offer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""&amp;$A24))"),"sell house without showings cash offer")</f>
        <v>sell house without showings cash offer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""&amp;$A24))"),"sell house closing costs paid cash offer")</f>
        <v>sell house closing costs paid cash offer</v>
      </c>
      <c r="L24" s="13"/>
      <c r="M24" s="13" t="str">
        <f>IFERROR(__xludf.DUMMYFUNCTION("""COMPUTED_VALUE"""),"request cash offer for house within 24 hours")</f>
        <v>request cash offer for house within 24 hours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267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""&amp;$A25))"),"get cash offer for house written offer")</f>
        <v>get cash offer for house written offer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""&amp;$A25))"),"request cash offer for house written offer")</f>
        <v>request cash offer for house written offer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""&amp;$A25))"),"get fair offer for house written offer")</f>
        <v>get fair offer for house written offer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""&amp;$A25))"),"free offer for house written offer")</f>
        <v>free offer for house written offer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""&amp;$A25))"),"no obligation offer house written offer")</f>
        <v>no obligation offer house written offer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""&amp;$A25))"),"sell house in 7 days written offer")</f>
        <v>sell house in 7 days written offer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""&amp;$A25))"),"close house sale fast written offer")</f>
        <v>close house sale fast written offer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""&amp;$A25))"),"choose closing date house sale written offer")</f>
        <v>choose closing date house sale written offer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""&amp;$A25))"),"sell house without showings written offer")</f>
        <v>sell house without showings written offer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""&amp;$A25))"),"sell house closing costs paid written offer")</f>
        <v>sell house closing costs paid written offer</v>
      </c>
      <c r="L25" s="13"/>
      <c r="M25" s="13" t="str">
        <f>IFERROR(__xludf.DUMMYFUNCTION("""COMPUTED_VALUE"""),"get fair offer for house within 24 hours")</f>
        <v>get fair offer for house within 24 hours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268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""&amp;$A26))"),"get cash offer for house accept offer")</f>
        <v>get cash offer for house accept offer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""&amp;$A26))"),"request cash offer for house accept offer")</f>
        <v>request cash offer for house accept offer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""&amp;$A26))"),"get fair offer for house accept offer")</f>
        <v>get fair offer for house accept offer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""&amp;$A26))"),"free offer for house accept offer")</f>
        <v>free offer for house accept offer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""&amp;$A26))"),"no obligation offer house accept offer")</f>
        <v>no obligation offer house accept offer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""&amp;$A26))"),"sell house in 7 days accept offer")</f>
        <v>sell house in 7 days accept offer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""&amp;$A26))"),"close house sale fast accept offer")</f>
        <v>close house sale fast accept offer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""&amp;$A26))"),"choose closing date house sale accept offer")</f>
        <v>choose closing date house sale accept offer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""&amp;$A26))"),"sell house without showings accept offer")</f>
        <v>sell house without showings accept offer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""&amp;$A26))"),"sell house closing costs paid accept offer")</f>
        <v>sell house closing costs paid accept offer</v>
      </c>
      <c r="L26" s="13"/>
      <c r="M26" s="13" t="str">
        <f>IFERROR(__xludf.DUMMYFUNCTION("""COMPUTED_VALUE"""),"free offer for house within 24 hours")</f>
        <v>free offer for house within 24 hours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269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""&amp;$A27))"),"get cash offer for house close in 7 days")</f>
        <v>get cash offer for house close in 7 days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""&amp;$A27))"),"request cash offer for house close in 7 days")</f>
        <v>request cash offer for house close in 7 days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""&amp;$A27))"),"get fair offer for house close in 7 days")</f>
        <v>get fair offer for house close in 7 days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""&amp;$A27))"),"free offer for house close in 7 days")</f>
        <v>free offer for house close in 7 days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""&amp;$A27))"),"no obligation offer house close in 7 days")</f>
        <v>no obligation offer house close in 7 days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""&amp;$A27))"),"sell house in 7 days close in 7 days")</f>
        <v>sell house in 7 days close in 7 days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""&amp;$A27))"),"close house sale fast close in 7 days")</f>
        <v>close house sale fast close in 7 days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""&amp;$A27))"),"choose closing date house sale close in 7 days")</f>
        <v>choose closing date house sale close in 7 days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""&amp;$A27))"),"sell house without showings close in 7 days")</f>
        <v>sell house without showings close in 7 days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""&amp;$A27))"),"sell house closing costs paid close in 7 days")</f>
        <v>sell house closing costs paid close in 7 days</v>
      </c>
      <c r="L27" s="13"/>
      <c r="M27" s="13" t="str">
        <f>IFERROR(__xludf.DUMMYFUNCTION("""COMPUTED_VALUE"""),"no obligation offer house within 24 hours")</f>
        <v>no obligation offer house within 24 hours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270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""&amp;$A28))"),"get cash offer for house moving assistance")</f>
        <v>get cash offer for house moving assistance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""&amp;$A28))"),"request cash offer for house moving assistance")</f>
        <v>request cash offer for house moving assistance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""&amp;$A28))"),"get fair offer for house moving assistance")</f>
        <v>get fair offer for house moving assistance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""&amp;$A28))"),"free offer for house moving assistance")</f>
        <v>free offer for house moving assistance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""&amp;$A28))"),"no obligation offer house moving assistance")</f>
        <v>no obligation offer house moving assistance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""&amp;$A28))"),"sell house in 7 days moving assistance")</f>
        <v>sell house in 7 days moving assistance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""&amp;$A28))"),"close house sale fast moving assistance")</f>
        <v>close house sale fast moving assistance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""&amp;$A28))"),"choose closing date house sale moving assistance")</f>
        <v>choose closing date house sale moving assistance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""&amp;$A28))"),"sell house without showings moving assistance")</f>
        <v>sell house without showings moving assistance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""&amp;$A28))"),"sell house closing costs paid moving assistance")</f>
        <v>sell house closing costs paid moving assistance</v>
      </c>
      <c r="L28" s="13"/>
      <c r="M28" s="13" t="str">
        <f>IFERROR(__xludf.DUMMYFUNCTION("""COMPUTED_VALUE"""),"sell house in 7 days within 24 hours")</f>
        <v>sell house in 7 days within 24 hours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271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""&amp;$A29))"),"get cash offer for house relocation assistance")</f>
        <v>get cash offer for house relocation assistance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""&amp;$A29))"),"request cash offer for house relocation assistance")</f>
        <v>request cash offer for house relocation assistance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""&amp;$A29))"),"get fair offer for house relocation assistance")</f>
        <v>get fair offer for house relocation assistance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""&amp;$A29))"),"free offer for house relocation assistance")</f>
        <v>free offer for house relocation assistance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""&amp;$A29))"),"no obligation offer house relocation assistance")</f>
        <v>no obligation offer house relocation assistance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""&amp;$A29))"),"sell house in 7 days relocation assistance")</f>
        <v>sell house in 7 days relocation assistance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""&amp;$A29))"),"close house sale fast relocation assistance")</f>
        <v>close house sale fast relocation assistance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""&amp;$A29))"),"choose closing date house sale relocation assistance")</f>
        <v>choose closing date house sale relocation assistance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""&amp;$A29))"),"sell house without showings relocation assistance")</f>
        <v>sell house without showings relocation assistance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""&amp;$A29))"),"sell house closing costs paid relocation assistance")</f>
        <v>sell house closing costs paid relocation assistance</v>
      </c>
      <c r="L29" s="13"/>
      <c r="M29" s="13" t="str">
        <f>IFERROR(__xludf.DUMMYFUNCTION("""COMPUTED_VALUE"""),"close house sale fast within 24 hours")</f>
        <v>close house sale fast within 24 hours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272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""&amp;$A30))"),"get cash offer for house paperwork")</f>
        <v>get cash offer for house paperwork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""&amp;$A30))"),"request cash offer for house paperwork")</f>
        <v>request cash offer for house paperwork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""&amp;$A30))"),"get fair offer for house paperwork")</f>
        <v>get fair offer for house paperwork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""&amp;$A30))"),"free offer for house paperwork")</f>
        <v>free offer for house paperwork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""&amp;$A30))"),"no obligation offer house paperwork")</f>
        <v>no obligation offer house paperwork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""&amp;$A30))"),"sell house in 7 days paperwork")</f>
        <v>sell house in 7 days paperwork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""&amp;$A30))"),"close house sale fast paperwork")</f>
        <v>close house sale fast paperwork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""&amp;$A30))"),"choose closing date house sale paperwork")</f>
        <v>choose closing date house sale paperwork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""&amp;$A30))"),"sell house without showings paperwork")</f>
        <v>sell house without showings paperwork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""&amp;$A30))"),"sell house closing costs paid paperwork")</f>
        <v>sell house closing costs paid paperwork</v>
      </c>
      <c r="L30" s="13"/>
      <c r="M30" s="13" t="str">
        <f>IFERROR(__xludf.DUMMYFUNCTION("""COMPUTED_VALUE"""),"choose closing date house sale within 24 hours")</f>
        <v>choose closing date house sale within 24 hours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273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""&amp;$A31))"),"get cash offer for house title company")</f>
        <v>get cash offer for house title company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""&amp;$A31))"),"request cash offer for house title company")</f>
        <v>request cash offer for house title company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""&amp;$A31))"),"get fair offer for house title company")</f>
        <v>get fair offer for house title company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""&amp;$A31))"),"free offer for house title company")</f>
        <v>free offer for house title company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""&amp;$A31))"),"no obligation offer house title company")</f>
        <v>no obligation offer house title company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""&amp;$A31))"),"sell house in 7 days title company")</f>
        <v>sell house in 7 days title company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""&amp;$A31))"),"close house sale fast title company")</f>
        <v>close house sale fast title company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""&amp;$A31))"),"choose closing date house sale title company")</f>
        <v>choose closing date house sale title company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""&amp;$A31))"),"sell house without showings title company")</f>
        <v>sell house without showings title company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""&amp;$A31))"),"sell house closing costs paid title company")</f>
        <v>sell house closing costs paid title company</v>
      </c>
      <c r="L31" s="13"/>
      <c r="M31" s="13" t="str">
        <f>IFERROR(__xludf.DUMMYFUNCTION("""COMPUTED_VALUE"""),"sell house without showings within 24 hours")</f>
        <v>sell house without showings within 24 hours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120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""&amp;$A32))"),"get cash offer for house stress free")</f>
        <v>get cash offer for house stress free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""&amp;$A32))"),"request cash offer for house stress free")</f>
        <v>request cash offer for house stress free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""&amp;$A32))"),"get fair offer for house stress free")</f>
        <v>get fair offer for house stress free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""&amp;$A32))"),"free offer for house stress free")</f>
        <v>free offer for house stress free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""&amp;$A32))"),"no obligation offer house stress free")</f>
        <v>no obligation offer house stress free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""&amp;$A32))"),"sell house in 7 days stress free")</f>
        <v>sell house in 7 days stress free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""&amp;$A32))"),"close house sale fast stress free")</f>
        <v>close house sale fast stress free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""&amp;$A32))"),"choose closing date house sale stress free")</f>
        <v>choose closing date house sale stress free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""&amp;$A32))"),"sell house without showings stress free")</f>
        <v>sell house without showings stress free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""&amp;$A32))"),"sell house closing costs paid stress free")</f>
        <v>sell house closing costs paid stress free</v>
      </c>
      <c r="L32" s="13"/>
      <c r="M32" s="13" t="str">
        <f>IFERROR(__xludf.DUMMYFUNCTION("""COMPUTED_VALUE"""),"sell house closing costs paid within 24 hours")</f>
        <v>sell house closing costs paid within 24 hours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274</v>
      </c>
      <c r="B33" s="13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""&amp;$A33))"),"get cash offer for house direct sale")</f>
        <v>get cash offer for house direct sale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""&amp;$A33))"),"request cash offer for house direct sale")</f>
        <v>request cash offer for house direct sale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""&amp;$A33))"),"get fair offer for house direct sale")</f>
        <v>get fair offer for house direct sale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""&amp;$A33))"),"free offer for house direct sale")</f>
        <v>free offer for house direct sale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""&amp;$A33))"),"no obligation offer house direct sale")</f>
        <v>no obligation offer house direct sale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""&amp;$A33))"),"sell house in 7 days direct sale")</f>
        <v>sell house in 7 days direct sale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""&amp;$A33))"),"close house sale fast direct sale")</f>
        <v>close house sale fast direct sale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""&amp;$A33))"),"choose closing date house sale direct sale")</f>
        <v>choose closing date house sale direct sale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""&amp;$A33))"),"sell house without showings direct sale")</f>
        <v>sell house without showings direct sale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""&amp;$A33))"),"sell house closing costs paid direct sale")</f>
        <v>sell house closing costs paid direct sale</v>
      </c>
      <c r="L33" s="13"/>
      <c r="M33" s="13" t="str">
        <f>IFERROR(__xludf.DUMMYFUNCTION("""COMPUTED_VALUE"""),"get cash offer for house no obligation")</f>
        <v>get cash offer for house no obligation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275</v>
      </c>
      <c r="B34" s="13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""&amp;$A34))"),"get cash offer for house private sale")</f>
        <v>get cash offer for house private sale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""&amp;$A34))"),"request cash offer for house private sale")</f>
        <v>request cash offer for house private sale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""&amp;$A34))"),"get fair offer for house private sale")</f>
        <v>get fair offer for house private sale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""&amp;$A34))"),"free offer for house private sale")</f>
        <v>free offer for house private sale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""&amp;$A34))"),"no obligation offer house private sale")</f>
        <v>no obligation offer house private sale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""&amp;$A34))"),"sell house in 7 days private sale")</f>
        <v>sell house in 7 days private sale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""&amp;$A34))"),"close house sale fast private sale")</f>
        <v>close house sale fast private sale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""&amp;$A34))"),"choose closing date house sale private sale")</f>
        <v>choose closing date house sale private sale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""&amp;$A34))"),"sell house without showings private sale")</f>
        <v>sell house without showings private sale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""&amp;$A34))"),"sell house closing costs paid private sale")</f>
        <v>sell house closing costs paid private sale</v>
      </c>
      <c r="L34" s="13"/>
      <c r="M34" s="13" t="str">
        <f>IFERROR(__xludf.DUMMYFUNCTION("""COMPUTED_VALUE"""),"request cash offer for house no obligation")</f>
        <v>request cash offer for house no obligation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/>
      <c r="B35" s="13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""&amp;$A35))"),"")</f>
        <v/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""&amp;$A35))"),"")</f>
        <v/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""&amp;$A35))"),"")</f>
        <v/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""&amp;$A35))"),"")</f>
        <v/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""&amp;$A35))"),"")</f>
        <v/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""&amp;$A35))"),"")</f>
        <v/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""&amp;$A35))"),"")</f>
        <v/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""&amp;$A35))"),"")</f>
        <v/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""&amp;$A35))"),"")</f>
        <v/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""&amp;$A35))"),"")</f>
        <v/>
      </c>
      <c r="L35" s="13"/>
      <c r="M35" s="13" t="str">
        <f>IFERROR(__xludf.DUMMYFUNCTION("""COMPUTED_VALUE"""),"get fair offer for house no obligation")</f>
        <v>get fair offer for house no obligation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3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""&amp;$A36))"),"")</f>
        <v/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""&amp;$A36))"),"")</f>
        <v/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""&amp;$A36))"),"")</f>
        <v/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""&amp;$A36))"),"")</f>
        <v/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""&amp;$A36))"),"")</f>
        <v/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""&amp;$A36))"),"")</f>
        <v/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""&amp;$A36))"),"")</f>
        <v/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""&amp;$A36))"),"")</f>
        <v/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""&amp;$A36))"),"")</f>
        <v/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""&amp;$A36))"),"")</f>
        <v/>
      </c>
      <c r="L36" s="13"/>
      <c r="M36" s="13" t="str">
        <f>IFERROR(__xludf.DUMMYFUNCTION("""COMPUTED_VALUE"""),"free offer for house no obligation")</f>
        <v>free offer for house no obligation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3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""&amp;$A37))"),"")</f>
        <v/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""&amp;$A37))"),"")</f>
        <v/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""&amp;$A37))"),"")</f>
        <v/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""&amp;$A37))"),"")</f>
        <v/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""&amp;$A37))"),"")</f>
        <v/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""&amp;$A37))"),"")</f>
        <v/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""&amp;$A37))"),"")</f>
        <v/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""&amp;$A37))"),"")</f>
        <v/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""&amp;$A37))"),"")</f>
        <v/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""&amp;$A37))"),"")</f>
        <v/>
      </c>
      <c r="L37" s="13"/>
      <c r="M37" s="13" t="str">
        <f>IFERROR(__xludf.DUMMYFUNCTION("""COMPUTED_VALUE"""),"no obligation offer house")</f>
        <v>no obligation offer house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 t="str">
        <f>IFERROR(__xludf.DUMMYFUNCTION("""COMPUTED_VALUE"""),"sell house in 7 days no obligation")</f>
        <v>sell house in 7 days no obligation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 t="str">
        <f>IFERROR(__xludf.DUMMYFUNCTION("""COMPUTED_VALUE"""),"close house sale fast no obligation")</f>
        <v>close house sale fast no obligation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IFERROR(__xludf.DUMMYFUNCTION("""COMPUTED_VALUE"""),"choose closing date house sale no obligation")</f>
        <v>choose closing date house sale no obligation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IFERROR(__xludf.DUMMYFUNCTION("""COMPUTED_VALUE"""),"sell house without showings no obligation")</f>
        <v>sell house without showings no obligation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IFERROR(__xludf.DUMMYFUNCTION("""COMPUTED_VALUE"""),"sell house closing costs paid no obligation")</f>
        <v>sell house closing costs paid no obligation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IFERROR(__xludf.DUMMYFUNCTION("""COMPUTED_VALUE"""),"get cash offer for house free")</f>
        <v>get cash offer for house free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IFERROR(__xludf.DUMMYFUNCTION("""COMPUTED_VALUE"""),"request cash offer for house free")</f>
        <v>request cash offer for house free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IFERROR(__xludf.DUMMYFUNCTION("""COMPUTED_VALUE"""),"get fair offer for house free")</f>
        <v>get fair offer for house free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IFERROR(__xludf.DUMMYFUNCTION("""COMPUTED_VALUE"""),"free offer for house")</f>
        <v>free offer for house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IFERROR(__xludf.DUMMYFUNCTION("""COMPUTED_VALUE"""),"no obligation offer house free")</f>
        <v>no obligation offer house free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IFERROR(__xludf.DUMMYFUNCTION("""COMPUTED_VALUE"""),"sell house in 7 days free")</f>
        <v>sell house in 7 days free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IFERROR(__xludf.DUMMYFUNCTION("""COMPUTED_VALUE"""),"close house sale fast free")</f>
        <v>close house sale fast free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IFERROR(__xludf.DUMMYFUNCTION("""COMPUTED_VALUE"""),"choose closing date house sale free")</f>
        <v>choose closing date house sale free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IFERROR(__xludf.DUMMYFUNCTION("""COMPUTED_VALUE"""),"sell house without showings free")</f>
        <v>sell house without showings free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IFERROR(__xludf.DUMMYFUNCTION("""COMPUTED_VALUE"""),"sell house closing costs paid free")</f>
        <v>sell house closing costs paid free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IFERROR(__xludf.DUMMYFUNCTION("""COMPUTED_VALUE"""),"get cash offer for house simple")</f>
        <v>get cash offer for house simple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IFERROR(__xludf.DUMMYFUNCTION("""COMPUTED_VALUE"""),"request cash offer for house simple")</f>
        <v>request cash offer for house simple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6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IFERROR(__xludf.DUMMYFUNCTION("""COMPUTED_VALUE"""),"get fair offer for house simple")</f>
        <v>get fair offer for house simple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6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IFERROR(__xludf.DUMMYFUNCTION("""COMPUTED_VALUE"""),"free offer for house simple")</f>
        <v>free offer for house simple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IFERROR(__xludf.DUMMYFUNCTION("""COMPUTED_VALUE"""),"no obligation offer house simple")</f>
        <v>no obligation offer house simple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IFERROR(__xludf.DUMMYFUNCTION("""COMPUTED_VALUE"""),"sell house in 7 days simple")</f>
        <v>sell house in 7 days simple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IFERROR(__xludf.DUMMYFUNCTION("""COMPUTED_VALUE"""),"close house sale fast simple")</f>
        <v>close house sale fast simple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IFERROR(__xludf.DUMMYFUNCTION("""COMPUTED_VALUE"""),"choose closing date house sale simple")</f>
        <v>choose closing date house sale simple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IFERROR(__xludf.DUMMYFUNCTION("""COMPUTED_VALUE"""),"sell house without showings simple")</f>
        <v>sell house without showings simple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IFERROR(__xludf.DUMMYFUNCTION("""COMPUTED_VALUE"""),"sell house closing costs paid simple")</f>
        <v>sell house closing costs paid simple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IFERROR(__xludf.DUMMYFUNCTION("""COMPUTED_VALUE"""),"get cash offer for house easy")</f>
        <v>get cash offer for house easy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IFERROR(__xludf.DUMMYFUNCTION("""COMPUTED_VALUE"""),"request cash offer for house easy")</f>
        <v>request cash offer for house easy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IFERROR(__xludf.DUMMYFUNCTION("""COMPUTED_VALUE"""),"get fair offer for house easy")</f>
        <v>get fair offer for house easy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IFERROR(__xludf.DUMMYFUNCTION("""COMPUTED_VALUE"""),"free offer for house easy")</f>
        <v>free offer for house easy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IFERROR(__xludf.DUMMYFUNCTION("""COMPUTED_VALUE"""),"no obligation offer house easy")</f>
        <v>no obligation offer house easy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IFERROR(__xludf.DUMMYFUNCTION("""COMPUTED_VALUE"""),"sell house in 7 days easy")</f>
        <v>sell house in 7 days easy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IFERROR(__xludf.DUMMYFUNCTION("""COMPUTED_VALUE"""),"close house sale fast easy")</f>
        <v>close house sale fast easy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IFERROR(__xludf.DUMMYFUNCTION("""COMPUTED_VALUE"""),"choose closing date house sale easy")</f>
        <v>choose closing date house sale easy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IFERROR(__xludf.DUMMYFUNCTION("""COMPUTED_VALUE"""),"sell house without showings easy")</f>
        <v>sell house without showings easy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IFERROR(__xludf.DUMMYFUNCTION("""COMPUTED_VALUE"""),"sell house closing costs paid easy")</f>
        <v>sell house closing costs paid easy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IFERROR(__xludf.DUMMYFUNCTION("""COMPUTED_VALUE"""),"get cash offer for house three step process")</f>
        <v>get cash offer for house three step process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IFERROR(__xludf.DUMMYFUNCTION("""COMPUTED_VALUE"""),"request cash offer for house three step process")</f>
        <v>request cash offer for house three step process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IFERROR(__xludf.DUMMYFUNCTION("""COMPUTED_VALUE"""),"get fair offer for house three step process")</f>
        <v>get fair offer for house three step process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IFERROR(__xludf.DUMMYFUNCTION("""COMPUTED_VALUE"""),"free offer for house three step process")</f>
        <v>free offer for house three step process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IFERROR(__xludf.DUMMYFUNCTION("""COMPUTED_VALUE"""),"no obligation offer house three step process")</f>
        <v>no obligation offer house three step process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IFERROR(__xludf.DUMMYFUNCTION("""COMPUTED_VALUE"""),"sell house in 7 days three step process")</f>
        <v>sell house in 7 days three step process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IFERROR(__xludf.DUMMYFUNCTION("""COMPUTED_VALUE"""),"close house sale fast three step process")</f>
        <v>close house sale fast three step process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IFERROR(__xludf.DUMMYFUNCTION("""COMPUTED_VALUE"""),"choose closing date house sale three step process")</f>
        <v>choose closing date house sale three step process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IFERROR(__xludf.DUMMYFUNCTION("""COMPUTED_VALUE"""),"sell house without showings three step process")</f>
        <v>sell house without showings three step process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IFERROR(__xludf.DUMMYFUNCTION("""COMPUTED_VALUE"""),"sell house closing costs paid three step process")</f>
        <v>sell house closing costs paid three step process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IFERROR(__xludf.DUMMYFUNCTION("""COMPUTED_VALUE"""),"get cash offer for house property walkthrough")</f>
        <v>get cash offer for house property walkthrough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IFERROR(__xludf.DUMMYFUNCTION("""COMPUTED_VALUE"""),"request cash offer for house property walkthrough")</f>
        <v>request cash offer for house property walkthrough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IFERROR(__xludf.DUMMYFUNCTION("""COMPUTED_VALUE"""),"get fair offer for house property walkthrough")</f>
        <v>get fair offer for house property walkthrough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IFERROR(__xludf.DUMMYFUNCTION("""COMPUTED_VALUE"""),"free offer for house property walkthrough")</f>
        <v>free offer for house property walkthrough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IFERROR(__xludf.DUMMYFUNCTION("""COMPUTED_VALUE"""),"no obligation offer house property walkthrough")</f>
        <v>no obligation offer house property walkthrough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IFERROR(__xludf.DUMMYFUNCTION("""COMPUTED_VALUE"""),"sell house in 7 days property walkthrough")</f>
        <v>sell house in 7 days property walkthrough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IFERROR(__xludf.DUMMYFUNCTION("""COMPUTED_VALUE"""),"close house sale fast property walkthrough")</f>
        <v>close house sale fast property walkthrough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IFERROR(__xludf.DUMMYFUNCTION("""COMPUTED_VALUE"""),"choose closing date house sale property walkthrough")</f>
        <v>choose closing date house sale property walkthrough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IFERROR(__xludf.DUMMYFUNCTION("""COMPUTED_VALUE"""),"sell house without showings property walkthrough")</f>
        <v>sell house without showings property walkthrough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IFERROR(__xludf.DUMMYFUNCTION("""COMPUTED_VALUE"""),"sell house closing costs paid property walkthrough")</f>
        <v>sell house closing costs paid property walkthrough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IFERROR(__xludf.DUMMYFUNCTION("""COMPUTED_VALUE"""),"get cash offer for house phone consultation")</f>
        <v>get cash offer for house phone consultation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IFERROR(__xludf.DUMMYFUNCTION("""COMPUTED_VALUE"""),"request cash offer for house phone consultation")</f>
        <v>request cash offer for house phone consultation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IFERROR(__xludf.DUMMYFUNCTION("""COMPUTED_VALUE"""),"get fair offer for house phone consultation")</f>
        <v>get fair offer for house phone consultation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IFERROR(__xludf.DUMMYFUNCTION("""COMPUTED_VALUE"""),"free offer for house phone consultation")</f>
        <v>free offer for house phone consultation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IFERROR(__xludf.DUMMYFUNCTION("""COMPUTED_VALUE"""),"no obligation offer house phone consultation")</f>
        <v>no obligation offer house phone consultation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IFERROR(__xludf.DUMMYFUNCTION("""COMPUTED_VALUE"""),"sell house in 7 days phone consultation")</f>
        <v>sell house in 7 days phone consultation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IFERROR(__xludf.DUMMYFUNCTION("""COMPUTED_VALUE"""),"close house sale fast phone consultation")</f>
        <v>close house sale fast phone consultation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IFERROR(__xludf.DUMMYFUNCTION("""COMPUTED_VALUE"""),"choose closing date house sale phone consultation")</f>
        <v>choose closing date house sale phone consultation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IFERROR(__xludf.DUMMYFUNCTION("""COMPUTED_VALUE"""),"sell house without showings phone consultation")</f>
        <v>sell house without showings phone consultation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IFERROR(__xludf.DUMMYFUNCTION("""COMPUTED_VALUE"""),"sell house closing costs paid phone consultation")</f>
        <v>sell house closing costs paid phone consultation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IFERROR(__xludf.DUMMYFUNCTION("""COMPUTED_VALUE"""),"get cash offer for house appointment")</f>
        <v>get cash offer for house appointment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IFERROR(__xludf.DUMMYFUNCTION("""COMPUTED_VALUE"""),"request cash offer for house appointment")</f>
        <v>request cash offer for house appointment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IFERROR(__xludf.DUMMYFUNCTION("""COMPUTED_VALUE"""),"get fair offer for house appointment")</f>
        <v>get fair offer for house appointment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IFERROR(__xludf.DUMMYFUNCTION("""COMPUTED_VALUE"""),"free offer for house appointment")</f>
        <v>free offer for house appointment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IFERROR(__xludf.DUMMYFUNCTION("""COMPUTED_VALUE"""),"no obligation offer house appointment")</f>
        <v>no obligation offer house appointment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IFERROR(__xludf.DUMMYFUNCTION("""COMPUTED_VALUE"""),"sell house in 7 days appointment")</f>
        <v>sell house in 7 days appointment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IFERROR(__xludf.DUMMYFUNCTION("""COMPUTED_VALUE"""),"close house sale fast appointment")</f>
        <v>close house sale fast appointment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IFERROR(__xludf.DUMMYFUNCTION("""COMPUTED_VALUE"""),"choose closing date house sale appointment")</f>
        <v>choose closing date house sale appointment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IFERROR(__xludf.DUMMYFUNCTION("""COMPUTED_VALUE"""),"sell house without showings appointment")</f>
        <v>sell house without showings appointment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IFERROR(__xludf.DUMMYFUNCTION("""COMPUTED_VALUE"""),"sell house closing costs paid appointment")</f>
        <v>sell house closing costs paid appointment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IFERROR(__xludf.DUMMYFUNCTION("""COMPUTED_VALUE"""),"get cash offer for house fast closing")</f>
        <v>get cash offer for house fast closing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IFERROR(__xludf.DUMMYFUNCTION("""COMPUTED_VALUE"""),"request cash offer for house fast closing")</f>
        <v>request cash offer for house fast closing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IFERROR(__xludf.DUMMYFUNCTION("""COMPUTED_VALUE"""),"get fair offer for house fast closing")</f>
        <v>get fair offer for house fast closing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IFERROR(__xludf.DUMMYFUNCTION("""COMPUTED_VALUE"""),"free offer for house fast closing")</f>
        <v>free offer for house fast closing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IFERROR(__xludf.DUMMYFUNCTION("""COMPUTED_VALUE"""),"no obligation offer house fast closing")</f>
        <v>no obligation offer house fast closing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IFERROR(__xludf.DUMMYFUNCTION("""COMPUTED_VALUE"""),"sell house in 7 days fast closing")</f>
        <v>sell house in 7 days fast closing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IFERROR(__xludf.DUMMYFUNCTION("""COMPUTED_VALUE"""),"close house sale fast fast closing")</f>
        <v>close house sale fast fast closing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IFERROR(__xludf.DUMMYFUNCTION("""COMPUTED_VALUE"""),"choose closing date house sale fast closing")</f>
        <v>choose closing date house sale fast closing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IFERROR(__xludf.DUMMYFUNCTION("""COMPUTED_VALUE"""),"sell house without showings fast closing")</f>
        <v>sell house without showings fast closing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IFERROR(__xludf.DUMMYFUNCTION("""COMPUTED_VALUE"""),"sell house closing costs paid fast closing")</f>
        <v>sell house closing costs paid fast closing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IFERROR(__xludf.DUMMYFUNCTION("""COMPUTED_VALUE"""),"get cash offer for house flexible closing")</f>
        <v>get cash offer for house flexible closing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IFERROR(__xludf.DUMMYFUNCTION("""COMPUTED_VALUE"""),"request cash offer for house flexible closing")</f>
        <v>request cash offer for house flexible closing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IFERROR(__xludf.DUMMYFUNCTION("""COMPUTED_VALUE"""),"get fair offer for house flexible closing")</f>
        <v>get fair offer for house flexible closing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IFERROR(__xludf.DUMMYFUNCTION("""COMPUTED_VALUE"""),"free offer for house flexible closing")</f>
        <v>free offer for house flexible closing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IFERROR(__xludf.DUMMYFUNCTION("""COMPUTED_VALUE"""),"no obligation offer house flexible closing")</f>
        <v>no obligation offer house flexible closing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IFERROR(__xludf.DUMMYFUNCTION("""COMPUTED_VALUE"""),"sell house in 7 days flexible closing")</f>
        <v>sell house in 7 days flexible closing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IFERROR(__xludf.DUMMYFUNCTION("""COMPUTED_VALUE"""),"close house sale fast flexible closing")</f>
        <v>close house sale fast flexible closing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IFERROR(__xludf.DUMMYFUNCTION("""COMPUTED_VALUE"""),"choose closing date house sale flexible closing")</f>
        <v>choose closing date house sale flexible closing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IFERROR(__xludf.DUMMYFUNCTION("""COMPUTED_VALUE"""),"sell house without showings flexible closing")</f>
        <v>sell house without showings flexible closing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IFERROR(__xludf.DUMMYFUNCTION("""COMPUTED_VALUE"""),"sell house closing costs paid flexible closing")</f>
        <v>sell house closing costs paid flexible closing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IFERROR(__xludf.DUMMYFUNCTION("""COMPUTED_VALUE"""),"get cash offer for house seller timeline")</f>
        <v>get cash offer for house seller timeline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IFERROR(__xludf.DUMMYFUNCTION("""COMPUTED_VALUE"""),"request cash offer for house seller timeline")</f>
        <v>request cash offer for house seller timeline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IFERROR(__xludf.DUMMYFUNCTION("""COMPUTED_VALUE"""),"get fair offer for house seller timeline")</f>
        <v>get fair offer for house seller timeline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IFERROR(__xludf.DUMMYFUNCTION("""COMPUTED_VALUE"""),"free offer for house seller timeline")</f>
        <v>free offer for house seller timeline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IFERROR(__xludf.DUMMYFUNCTION("""COMPUTED_VALUE"""),"no obligation offer house seller timeline")</f>
        <v>no obligation offer house seller timeline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IFERROR(__xludf.DUMMYFUNCTION("""COMPUTED_VALUE"""),"sell house in 7 days seller timeline")</f>
        <v>sell house in 7 days seller timeline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IFERROR(__xludf.DUMMYFUNCTION("""COMPUTED_VALUE"""),"close house sale fast seller timeline")</f>
        <v>close house sale fast seller timeline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IFERROR(__xludf.DUMMYFUNCTION("""COMPUTED_VALUE"""),"choose closing date house sale seller timeline")</f>
        <v>choose closing date house sale seller timeline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IFERROR(__xludf.DUMMYFUNCTION("""COMPUTED_VALUE"""),"sell house without showings seller timeline")</f>
        <v>sell house without showings seller timeline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IFERROR(__xludf.DUMMYFUNCTION("""COMPUTED_VALUE"""),"sell house closing costs paid seller timeline")</f>
        <v>sell house closing costs paid seller timeline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IFERROR(__xludf.DUMMYFUNCTION("""COMPUTED_VALUE"""),"get cash offer for house closing costs paid")</f>
        <v>get cash offer for house closing costs paid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IFERROR(__xludf.DUMMYFUNCTION("""COMPUTED_VALUE"""),"request cash offer for house closing costs paid")</f>
        <v>request cash offer for house closing costs paid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IFERROR(__xludf.DUMMYFUNCTION("""COMPUTED_VALUE"""),"get fair offer for house closing costs paid")</f>
        <v>get fair offer for house closing costs paid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IFERROR(__xludf.DUMMYFUNCTION("""COMPUTED_VALUE"""),"free offer for house closing costs paid")</f>
        <v>free offer for house closing costs paid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IFERROR(__xludf.DUMMYFUNCTION("""COMPUTED_VALUE"""),"no obligation offer house closing costs paid")</f>
        <v>no obligation offer house closing costs paid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IFERROR(__xludf.DUMMYFUNCTION("""COMPUTED_VALUE"""),"sell house in 7 days closing costs paid")</f>
        <v>sell house in 7 days closing costs paid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IFERROR(__xludf.DUMMYFUNCTION("""COMPUTED_VALUE"""),"close house sale fast closing costs paid")</f>
        <v>close house sale fast closing costs paid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IFERROR(__xludf.DUMMYFUNCTION("""COMPUTED_VALUE"""),"choose closing date house sale closing costs paid")</f>
        <v>choose closing date house sale closing costs paid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IFERROR(__xludf.DUMMYFUNCTION("""COMPUTED_VALUE"""),"sell house without showings closing costs paid")</f>
        <v>sell house without showings closing costs paid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IFERROR(__xludf.DUMMYFUNCTION("""COMPUTED_VALUE"""),"sell house closing costs paid")</f>
        <v>sell house closing costs paid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IFERROR(__xludf.DUMMYFUNCTION("""COMPUTED_VALUE"""),"get cash offer for house no inspections")</f>
        <v>get cash offer for house no inspections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IFERROR(__xludf.DUMMYFUNCTION("""COMPUTED_VALUE"""),"request cash offer for house no inspections")</f>
        <v>request cash offer for house no inspections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IFERROR(__xludf.DUMMYFUNCTION("""COMPUTED_VALUE"""),"get fair offer for house no inspections")</f>
        <v>get fair offer for house no inspections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IFERROR(__xludf.DUMMYFUNCTION("""COMPUTED_VALUE"""),"free offer for house no inspections")</f>
        <v>free offer for house no inspections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IFERROR(__xludf.DUMMYFUNCTION("""COMPUTED_VALUE"""),"no obligation offer house no inspections")</f>
        <v>no obligation offer house no inspections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IFERROR(__xludf.DUMMYFUNCTION("""COMPUTED_VALUE"""),"sell house in 7 days no inspections")</f>
        <v>sell house in 7 days no inspections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IFERROR(__xludf.DUMMYFUNCTION("""COMPUTED_VALUE"""),"close house sale fast no inspections")</f>
        <v>close house sale fast no inspections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IFERROR(__xludf.DUMMYFUNCTION("""COMPUTED_VALUE"""),"choose closing date house sale no inspections")</f>
        <v>choose closing date house sale no inspections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IFERROR(__xludf.DUMMYFUNCTION("""COMPUTED_VALUE"""),"sell house without showings no inspections")</f>
        <v>sell house without showings no inspections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IFERROR(__xludf.DUMMYFUNCTION("""COMPUTED_VALUE"""),"sell house closing costs paid no inspections")</f>
        <v>sell house closing costs paid no inspections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IFERROR(__xludf.DUMMYFUNCTION("""COMPUTED_VALUE"""),"get cash offer for house no appraisals")</f>
        <v>get cash offer for house no appraisals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IFERROR(__xludf.DUMMYFUNCTION("""COMPUTED_VALUE"""),"request cash offer for house no appraisals")</f>
        <v>request cash offer for house no appraisals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IFERROR(__xludf.DUMMYFUNCTION("""COMPUTED_VALUE"""),"get fair offer for house no appraisals")</f>
        <v>get fair offer for house no appraisals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IFERROR(__xludf.DUMMYFUNCTION("""COMPUTED_VALUE"""),"free offer for house no appraisals")</f>
        <v>free offer for house no appraisals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IFERROR(__xludf.DUMMYFUNCTION("""COMPUTED_VALUE"""),"no obligation offer house no appraisals")</f>
        <v>no obligation offer house no appraisals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IFERROR(__xludf.DUMMYFUNCTION("""COMPUTED_VALUE"""),"sell house in 7 days no appraisals")</f>
        <v>sell house in 7 days no appraisals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IFERROR(__xludf.DUMMYFUNCTION("""COMPUTED_VALUE"""),"close house sale fast no appraisals")</f>
        <v>close house sale fast no appraisals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IFERROR(__xludf.DUMMYFUNCTION("""COMPUTED_VALUE"""),"choose closing date house sale no appraisals")</f>
        <v>choose closing date house sale no appraisals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IFERROR(__xludf.DUMMYFUNCTION("""COMPUTED_VALUE"""),"sell house without showings no appraisals")</f>
        <v>sell house without showings no appraisals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IFERROR(__xludf.DUMMYFUNCTION("""COMPUTED_VALUE"""),"sell house closing costs paid no appraisals")</f>
        <v>sell house closing costs paid no appraisals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IFERROR(__xludf.DUMMYFUNCTION("""COMPUTED_VALUE"""),"get cash offer for house no repairs required")</f>
        <v>get cash offer for house no repairs required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IFERROR(__xludf.DUMMYFUNCTION("""COMPUTED_VALUE"""),"request cash offer for house no repairs required")</f>
        <v>request cash offer for house no repairs required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IFERROR(__xludf.DUMMYFUNCTION("""COMPUTED_VALUE"""),"get fair offer for house no repairs required")</f>
        <v>get fair offer for house no repairs required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IFERROR(__xludf.DUMMYFUNCTION("""COMPUTED_VALUE"""),"free offer for house no repairs required")</f>
        <v>free offer for house no repairs required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IFERROR(__xludf.DUMMYFUNCTION("""COMPUTED_VALUE"""),"no obligation offer house no repairs required")</f>
        <v>no obligation offer house no repairs required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IFERROR(__xludf.DUMMYFUNCTION("""COMPUTED_VALUE"""),"sell house in 7 days no repairs required")</f>
        <v>sell house in 7 days no repairs required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IFERROR(__xludf.DUMMYFUNCTION("""COMPUTED_VALUE"""),"close house sale fast no repairs required")</f>
        <v>close house sale fast no repairs required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IFERROR(__xludf.DUMMYFUNCTION("""COMPUTED_VALUE"""),"choose closing date house sale no repairs required")</f>
        <v>choose closing date house sale no repairs required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IFERROR(__xludf.DUMMYFUNCTION("""COMPUTED_VALUE"""),"sell house without showings no repairs required")</f>
        <v>sell house without showings no repairs required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IFERROR(__xludf.DUMMYFUNCTION("""COMPUTED_VALUE"""),"sell house closing costs paid no repairs required")</f>
        <v>sell house closing costs paid no repairs required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IFERROR(__xludf.DUMMYFUNCTION("""COMPUTED_VALUE"""),"get cash offer for house no open houses")</f>
        <v>get cash offer for house no open houses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IFERROR(__xludf.DUMMYFUNCTION("""COMPUTED_VALUE"""),"request cash offer for house no open houses")</f>
        <v>request cash offer for house no open houses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IFERROR(__xludf.DUMMYFUNCTION("""COMPUTED_VALUE"""),"get fair offer for house no open houses")</f>
        <v>get fair offer for house no open houses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IFERROR(__xludf.DUMMYFUNCTION("""COMPUTED_VALUE"""),"free offer for house no open houses")</f>
        <v>free offer for house no open houses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IFERROR(__xludf.DUMMYFUNCTION("""COMPUTED_VALUE"""),"no obligation offer house no open houses")</f>
        <v>no obligation offer house no open houses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IFERROR(__xludf.DUMMYFUNCTION("""COMPUTED_VALUE"""),"sell house in 7 days no open houses")</f>
        <v>sell house in 7 days no open houses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IFERROR(__xludf.DUMMYFUNCTION("""COMPUTED_VALUE"""),"close house sale fast no open houses")</f>
        <v>close house sale fast no open houses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IFERROR(__xludf.DUMMYFUNCTION("""COMPUTED_VALUE"""),"choose closing date house sale no open houses")</f>
        <v>choose closing date house sale no open houses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IFERROR(__xludf.DUMMYFUNCTION("""COMPUTED_VALUE"""),"sell house without showings no open houses")</f>
        <v>sell house without showings no open houses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IFERROR(__xludf.DUMMYFUNCTION("""COMPUTED_VALUE"""),"sell house closing costs paid no open houses")</f>
        <v>sell house closing costs paid no open houses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IFERROR(__xludf.DUMMYFUNCTION("""COMPUTED_VALUE"""),"get cash offer for house no realtor commissions")</f>
        <v>get cash offer for house no realtor commissions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IFERROR(__xludf.DUMMYFUNCTION("""COMPUTED_VALUE"""),"request cash offer for house no realtor commissions")</f>
        <v>request cash offer for house no realtor commissions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IFERROR(__xludf.DUMMYFUNCTION("""COMPUTED_VALUE"""),"get fair offer for house no realtor commissions")</f>
        <v>get fair offer for house no realtor commissions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IFERROR(__xludf.DUMMYFUNCTION("""COMPUTED_VALUE"""),"free offer for house no realtor commissions")</f>
        <v>free offer for house no realtor commissions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IFERROR(__xludf.DUMMYFUNCTION("""COMPUTED_VALUE"""),"no obligation offer house no realtor commissions")</f>
        <v>no obligation offer house no realtor commissions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IFERROR(__xludf.DUMMYFUNCTION("""COMPUTED_VALUE"""),"sell house in 7 days no realtor commissions")</f>
        <v>sell house in 7 days no realtor commissions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IFERROR(__xludf.DUMMYFUNCTION("""COMPUTED_VALUE"""),"close house sale fast no realtor commissions")</f>
        <v>close house sale fast no realtor commissions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IFERROR(__xludf.DUMMYFUNCTION("""COMPUTED_VALUE"""),"choose closing date house sale no realtor commissions")</f>
        <v>choose closing date house sale no realtor commissions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IFERROR(__xludf.DUMMYFUNCTION("""COMPUTED_VALUE"""),"sell house without showings no realtor commissions")</f>
        <v>sell house without showings no realtor commissions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IFERROR(__xludf.DUMMYFUNCTION("""COMPUTED_VALUE"""),"sell house closing costs paid no realtor commissions")</f>
        <v>sell house closing costs paid no realtor commissions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IFERROR(__xludf.DUMMYFUNCTION("""COMPUTED_VALUE"""),"get cash offer for house no hidden fees")</f>
        <v>get cash offer for house no hidden fees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IFERROR(__xludf.DUMMYFUNCTION("""COMPUTED_VALUE"""),"request cash offer for house no hidden fees")</f>
        <v>request cash offer for house no hidden fees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IFERROR(__xludf.DUMMYFUNCTION("""COMPUTED_VALUE"""),"get fair offer for house no hidden fees")</f>
        <v>get fair offer for house no hidden fees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IFERROR(__xludf.DUMMYFUNCTION("""COMPUTED_VALUE"""),"free offer for house no hidden fees")</f>
        <v>free offer for house no hidden fees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IFERROR(__xludf.DUMMYFUNCTION("""COMPUTED_VALUE"""),"no obligation offer house no hidden fees")</f>
        <v>no obligation offer house no hidden fees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IFERROR(__xludf.DUMMYFUNCTION("""COMPUTED_VALUE"""),"sell house in 7 days no hidden fees")</f>
        <v>sell house in 7 days no hidden fees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IFERROR(__xludf.DUMMYFUNCTION("""COMPUTED_VALUE"""),"close house sale fast no hidden fees")</f>
        <v>close house sale fast no hidden fees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IFERROR(__xludf.DUMMYFUNCTION("""COMPUTED_VALUE"""),"choose closing date house sale no hidden fees")</f>
        <v>choose closing date house sale no hidden fees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IFERROR(__xludf.DUMMYFUNCTION("""COMPUTED_VALUE"""),"sell house without showings no hidden fees")</f>
        <v>sell house without showings no hidden fees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IFERROR(__xludf.DUMMYFUNCTION("""COMPUTED_VALUE"""),"sell house closing costs paid no hidden fees")</f>
        <v>sell house closing costs paid no hidden fees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IFERROR(__xludf.DUMMYFUNCTION("""COMPUTED_VALUE"""),"get cash offer for house")</f>
        <v>get cash offer for house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IFERROR(__xludf.DUMMYFUNCTION("""COMPUTED_VALUE"""),"request cash offer for house")</f>
        <v>request cash offer for house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IFERROR(__xludf.DUMMYFUNCTION("""COMPUTED_VALUE"""),"get fair offer for house cash offer")</f>
        <v>get fair offer for house cash offer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IFERROR(__xludf.DUMMYFUNCTION("""COMPUTED_VALUE"""),"free offer for house cash offer")</f>
        <v>free offer for house cash offer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IFERROR(__xludf.DUMMYFUNCTION("""COMPUTED_VALUE"""),"no obligation offer house cash offer")</f>
        <v>no obligation offer house cash offer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IFERROR(__xludf.DUMMYFUNCTION("""COMPUTED_VALUE"""),"sell house in 7 days cash offer")</f>
        <v>sell house in 7 days cash offer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IFERROR(__xludf.DUMMYFUNCTION("""COMPUTED_VALUE"""),"close house sale fast cash offer")</f>
        <v>close house sale fast cash offer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IFERROR(__xludf.DUMMYFUNCTION("""COMPUTED_VALUE"""),"choose closing date house sale cash offer")</f>
        <v>choose closing date house sale cash offer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IFERROR(__xludf.DUMMYFUNCTION("""COMPUTED_VALUE"""),"sell house without showings cash offer")</f>
        <v>sell house without showings cash offer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IFERROR(__xludf.DUMMYFUNCTION("""COMPUTED_VALUE"""),"sell house closing costs paid cash offer")</f>
        <v>sell house closing costs paid cash offer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IFERROR(__xludf.DUMMYFUNCTION("""COMPUTED_VALUE"""),"get cash offer for house written offer")</f>
        <v>get cash offer for house written offer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IFERROR(__xludf.DUMMYFUNCTION("""COMPUTED_VALUE"""),"request cash offer for house written offer")</f>
        <v>request cash offer for house written offer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IFERROR(__xludf.DUMMYFUNCTION("""COMPUTED_VALUE"""),"get fair offer for house written offer")</f>
        <v>get fair offer for house written offer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IFERROR(__xludf.DUMMYFUNCTION("""COMPUTED_VALUE"""),"free offer for house written offer")</f>
        <v>free offer for house written offer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IFERROR(__xludf.DUMMYFUNCTION("""COMPUTED_VALUE"""),"no obligation offer house written offer")</f>
        <v>no obligation offer house written offer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IFERROR(__xludf.DUMMYFUNCTION("""COMPUTED_VALUE"""),"sell house in 7 days written offer")</f>
        <v>sell house in 7 days written offer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IFERROR(__xludf.DUMMYFUNCTION("""COMPUTED_VALUE"""),"close house sale fast written offer")</f>
        <v>close house sale fast written offer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IFERROR(__xludf.DUMMYFUNCTION("""COMPUTED_VALUE"""),"choose closing date house sale written offer")</f>
        <v>choose closing date house sale written offer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IFERROR(__xludf.DUMMYFUNCTION("""COMPUTED_VALUE"""),"sell house without showings written offer")</f>
        <v>sell house without showings written offer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IFERROR(__xludf.DUMMYFUNCTION("""COMPUTED_VALUE"""),"sell house closing costs paid written offer")</f>
        <v>sell house closing costs paid written offer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IFERROR(__xludf.DUMMYFUNCTION("""COMPUTED_VALUE"""),"get cash offer for house accept offer")</f>
        <v>get cash offer for house accept offer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IFERROR(__xludf.DUMMYFUNCTION("""COMPUTED_VALUE"""),"request cash offer for house accept offer")</f>
        <v>request cash offer for house accept offer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IFERROR(__xludf.DUMMYFUNCTION("""COMPUTED_VALUE"""),"get fair offer for house accept offer")</f>
        <v>get fair offer for house accept offer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IFERROR(__xludf.DUMMYFUNCTION("""COMPUTED_VALUE"""),"free offer for house accept offer")</f>
        <v>free offer for house accept offer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IFERROR(__xludf.DUMMYFUNCTION("""COMPUTED_VALUE"""),"no obligation offer house accept offer")</f>
        <v>no obligation offer house accept offer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IFERROR(__xludf.DUMMYFUNCTION("""COMPUTED_VALUE"""),"sell house in 7 days accept offer")</f>
        <v>sell house in 7 days accept offer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IFERROR(__xludf.DUMMYFUNCTION("""COMPUTED_VALUE"""),"close house sale fast accept offer")</f>
        <v>close house sale fast accept offer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IFERROR(__xludf.DUMMYFUNCTION("""COMPUTED_VALUE"""),"choose closing date house sale accept offer")</f>
        <v>choose closing date house sale accept offer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IFERROR(__xludf.DUMMYFUNCTION("""COMPUTED_VALUE"""),"sell house without showings accept offer")</f>
        <v>sell house without showings accept offer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IFERROR(__xludf.DUMMYFUNCTION("""COMPUTED_VALUE"""),"sell house closing costs paid accept offer")</f>
        <v>sell house closing costs paid accept offer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IFERROR(__xludf.DUMMYFUNCTION("""COMPUTED_VALUE"""),"get cash offer for house close in 7 days")</f>
        <v>get cash offer for house close in 7 days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IFERROR(__xludf.DUMMYFUNCTION("""COMPUTED_VALUE"""),"request cash offer for house close in 7 days")</f>
        <v>request cash offer for house close in 7 days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IFERROR(__xludf.DUMMYFUNCTION("""COMPUTED_VALUE"""),"get fair offer for house close in 7 days")</f>
        <v>get fair offer for house close in 7 days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IFERROR(__xludf.DUMMYFUNCTION("""COMPUTED_VALUE"""),"free offer for house close in 7 days")</f>
        <v>free offer for house close in 7 days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IFERROR(__xludf.DUMMYFUNCTION("""COMPUTED_VALUE"""),"no obligation offer house close in 7 days")</f>
        <v>no obligation offer house close in 7 days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IFERROR(__xludf.DUMMYFUNCTION("""COMPUTED_VALUE"""),"sell house in 7 days close in 7 days")</f>
        <v>sell house in 7 days close in 7 days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IFERROR(__xludf.DUMMYFUNCTION("""COMPUTED_VALUE"""),"close house sale fast close in 7 days")</f>
        <v>close house sale fast close in 7 days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IFERROR(__xludf.DUMMYFUNCTION("""COMPUTED_VALUE"""),"choose closing date house sale close in 7 days")</f>
        <v>choose closing date house sale close in 7 days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IFERROR(__xludf.DUMMYFUNCTION("""COMPUTED_VALUE"""),"sell house without showings close in 7 days")</f>
        <v>sell house without showings close in 7 days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IFERROR(__xludf.DUMMYFUNCTION("""COMPUTED_VALUE"""),"sell house closing costs paid close in 7 days")</f>
        <v>sell house closing costs paid close in 7 days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IFERROR(__xludf.DUMMYFUNCTION("""COMPUTED_VALUE"""),"get cash offer for house moving assistance")</f>
        <v>get cash offer for house moving assistance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IFERROR(__xludf.DUMMYFUNCTION("""COMPUTED_VALUE"""),"request cash offer for house moving assistance")</f>
        <v>request cash offer for house moving assistance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IFERROR(__xludf.DUMMYFUNCTION("""COMPUTED_VALUE"""),"get fair offer for house moving assistance")</f>
        <v>get fair offer for house moving assistance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IFERROR(__xludf.DUMMYFUNCTION("""COMPUTED_VALUE"""),"free offer for house moving assistance")</f>
        <v>free offer for house moving assistance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IFERROR(__xludf.DUMMYFUNCTION("""COMPUTED_VALUE"""),"no obligation offer house moving assistance")</f>
        <v>no obligation offer house moving assistance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IFERROR(__xludf.DUMMYFUNCTION("""COMPUTED_VALUE"""),"sell house in 7 days moving assistance")</f>
        <v>sell house in 7 days moving assistance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IFERROR(__xludf.DUMMYFUNCTION("""COMPUTED_VALUE"""),"close house sale fast moving assistance")</f>
        <v>close house sale fast moving assistance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IFERROR(__xludf.DUMMYFUNCTION("""COMPUTED_VALUE"""),"choose closing date house sale moving assistance")</f>
        <v>choose closing date house sale moving assistance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IFERROR(__xludf.DUMMYFUNCTION("""COMPUTED_VALUE"""),"sell house without showings moving assistance")</f>
        <v>sell house without showings moving assistance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IFERROR(__xludf.DUMMYFUNCTION("""COMPUTED_VALUE"""),"sell house closing costs paid moving assistance")</f>
        <v>sell house closing costs paid moving assistance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IFERROR(__xludf.DUMMYFUNCTION("""COMPUTED_VALUE"""),"get cash offer for house relocation assistance")</f>
        <v>get cash offer for house relocation assistance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IFERROR(__xludf.DUMMYFUNCTION("""COMPUTED_VALUE"""),"request cash offer for house relocation assistance")</f>
        <v>request cash offer for house relocation assistance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IFERROR(__xludf.DUMMYFUNCTION("""COMPUTED_VALUE"""),"get fair offer for house relocation assistance")</f>
        <v>get fair offer for house relocation assistance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IFERROR(__xludf.DUMMYFUNCTION("""COMPUTED_VALUE"""),"free offer for house relocation assistance")</f>
        <v>free offer for house relocation assistance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IFERROR(__xludf.DUMMYFUNCTION("""COMPUTED_VALUE"""),"no obligation offer house relocation assistance")</f>
        <v>no obligation offer house relocation assistance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IFERROR(__xludf.DUMMYFUNCTION("""COMPUTED_VALUE"""),"sell house in 7 days relocation assistance")</f>
        <v>sell house in 7 days relocation assistance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IFERROR(__xludf.DUMMYFUNCTION("""COMPUTED_VALUE"""),"close house sale fast relocation assistance")</f>
        <v>close house sale fast relocation assistance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IFERROR(__xludf.DUMMYFUNCTION("""COMPUTED_VALUE"""),"choose closing date house sale relocation assistance")</f>
        <v>choose closing date house sale relocation assistance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IFERROR(__xludf.DUMMYFUNCTION("""COMPUTED_VALUE"""),"sell house without showings relocation assistance")</f>
        <v>sell house without showings relocation assistance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IFERROR(__xludf.DUMMYFUNCTION("""COMPUTED_VALUE"""),"sell house closing costs paid relocation assistance")</f>
        <v>sell house closing costs paid relocation assistance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IFERROR(__xludf.DUMMYFUNCTION("""COMPUTED_VALUE"""),"get cash offer for house paperwork")</f>
        <v>get cash offer for house paperwork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IFERROR(__xludf.DUMMYFUNCTION("""COMPUTED_VALUE"""),"request cash offer for house paperwork")</f>
        <v>request cash offer for house paperwork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IFERROR(__xludf.DUMMYFUNCTION("""COMPUTED_VALUE"""),"get fair offer for house paperwork")</f>
        <v>get fair offer for house paperwork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IFERROR(__xludf.DUMMYFUNCTION("""COMPUTED_VALUE"""),"free offer for house paperwork")</f>
        <v>free offer for house paperwork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IFERROR(__xludf.DUMMYFUNCTION("""COMPUTED_VALUE"""),"no obligation offer house paperwork")</f>
        <v>no obligation offer house paperwork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IFERROR(__xludf.DUMMYFUNCTION("""COMPUTED_VALUE"""),"sell house in 7 days paperwork")</f>
        <v>sell house in 7 days paperwork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IFERROR(__xludf.DUMMYFUNCTION("""COMPUTED_VALUE"""),"close house sale fast paperwork")</f>
        <v>close house sale fast paperwork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IFERROR(__xludf.DUMMYFUNCTION("""COMPUTED_VALUE"""),"choose closing date house sale paperwork")</f>
        <v>choose closing date house sale paperwork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IFERROR(__xludf.DUMMYFUNCTION("""COMPUTED_VALUE"""),"sell house without showings paperwork")</f>
        <v>sell house without showings paperwork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IFERROR(__xludf.DUMMYFUNCTION("""COMPUTED_VALUE"""),"sell house closing costs paid paperwork")</f>
        <v>sell house closing costs paid paperwork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IFERROR(__xludf.DUMMYFUNCTION("""COMPUTED_VALUE"""),"get cash offer for house title company")</f>
        <v>get cash offer for house title company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IFERROR(__xludf.DUMMYFUNCTION("""COMPUTED_VALUE"""),"request cash offer for house title company")</f>
        <v>request cash offer for house title company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IFERROR(__xludf.DUMMYFUNCTION("""COMPUTED_VALUE"""),"get fair offer for house title company")</f>
        <v>get fair offer for house title company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IFERROR(__xludf.DUMMYFUNCTION("""COMPUTED_VALUE"""),"free offer for house title company")</f>
        <v>free offer for house title company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IFERROR(__xludf.DUMMYFUNCTION("""COMPUTED_VALUE"""),"no obligation offer house title company")</f>
        <v>no obligation offer house title company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IFERROR(__xludf.DUMMYFUNCTION("""COMPUTED_VALUE"""),"sell house in 7 days title company")</f>
        <v>sell house in 7 days title company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IFERROR(__xludf.DUMMYFUNCTION("""COMPUTED_VALUE"""),"close house sale fast title company")</f>
        <v>close house sale fast title company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IFERROR(__xludf.DUMMYFUNCTION("""COMPUTED_VALUE"""),"choose closing date house sale title company")</f>
        <v>choose closing date house sale title company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IFERROR(__xludf.DUMMYFUNCTION("""COMPUTED_VALUE"""),"sell house without showings title company")</f>
        <v>sell house without showings title company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IFERROR(__xludf.DUMMYFUNCTION("""COMPUTED_VALUE"""),"sell house closing costs paid title company")</f>
        <v>sell house closing costs paid title company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IFERROR(__xludf.DUMMYFUNCTION("""COMPUTED_VALUE"""),"get cash offer for house stress free")</f>
        <v>get cash offer for house stress free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IFERROR(__xludf.DUMMYFUNCTION("""COMPUTED_VALUE"""),"request cash offer for house stress free")</f>
        <v>request cash offer for house stress free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IFERROR(__xludf.DUMMYFUNCTION("""COMPUTED_VALUE"""),"get fair offer for house stress free")</f>
        <v>get fair offer for house stress free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IFERROR(__xludf.DUMMYFUNCTION("""COMPUTED_VALUE"""),"free offer for house stress free")</f>
        <v>free offer for house stress free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IFERROR(__xludf.DUMMYFUNCTION("""COMPUTED_VALUE"""),"no obligation offer house stress free")</f>
        <v>no obligation offer house stress free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IFERROR(__xludf.DUMMYFUNCTION("""COMPUTED_VALUE"""),"sell house in 7 days stress free")</f>
        <v>sell house in 7 days stress free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IFERROR(__xludf.DUMMYFUNCTION("""COMPUTED_VALUE"""),"close house sale fast stress free")</f>
        <v>close house sale fast stress free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IFERROR(__xludf.DUMMYFUNCTION("""COMPUTED_VALUE"""),"choose closing date house sale stress free")</f>
        <v>choose closing date house sale stress free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IFERROR(__xludf.DUMMYFUNCTION("""COMPUTED_VALUE"""),"sell house without showings stress free")</f>
        <v>sell house without showings stress free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IFERROR(__xludf.DUMMYFUNCTION("""COMPUTED_VALUE"""),"sell house closing costs paid stress free")</f>
        <v>sell house closing costs paid stress free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IFERROR(__xludf.DUMMYFUNCTION("""COMPUTED_VALUE"""),"get cash offer for house direct sale")</f>
        <v>get cash offer for house direct sale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IFERROR(__xludf.DUMMYFUNCTION("""COMPUTED_VALUE"""),"request cash offer for house direct sale")</f>
        <v>request cash offer for house direct sale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IFERROR(__xludf.DUMMYFUNCTION("""COMPUTED_VALUE"""),"get fair offer for house direct sale")</f>
        <v>get fair offer for house direct sale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IFERROR(__xludf.DUMMYFUNCTION("""COMPUTED_VALUE"""),"free offer for house direct sale")</f>
        <v>free offer for house direct sale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IFERROR(__xludf.DUMMYFUNCTION("""COMPUTED_VALUE"""),"no obligation offer house direct sale")</f>
        <v>no obligation offer house direct sale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IFERROR(__xludf.DUMMYFUNCTION("""COMPUTED_VALUE"""),"sell house in 7 days direct sale")</f>
        <v>sell house in 7 days direct sale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IFERROR(__xludf.DUMMYFUNCTION("""COMPUTED_VALUE"""),"close house sale fast direct sale")</f>
        <v>close house sale fast direct sale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IFERROR(__xludf.DUMMYFUNCTION("""COMPUTED_VALUE"""),"choose closing date house sale direct sale")</f>
        <v>choose closing date house sale direct sale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IFERROR(__xludf.DUMMYFUNCTION("""COMPUTED_VALUE"""),"sell house without showings direct sale")</f>
        <v>sell house without showings direct sale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IFERROR(__xludf.DUMMYFUNCTION("""COMPUTED_VALUE"""),"sell house closing costs paid direct sale")</f>
        <v>sell house closing costs paid direct sale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IFERROR(__xludf.DUMMYFUNCTION("""COMPUTED_VALUE"""),"get cash offer for house private sale")</f>
        <v>get cash offer for house private sale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IFERROR(__xludf.DUMMYFUNCTION("""COMPUTED_VALUE"""),"request cash offer for house private sale")</f>
        <v>request cash offer for house private sale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IFERROR(__xludf.DUMMYFUNCTION("""COMPUTED_VALUE"""),"get fair offer for house private sale")</f>
        <v>get fair offer for house private sale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IFERROR(__xludf.DUMMYFUNCTION("""COMPUTED_VALUE"""),"free offer for house private sale")</f>
        <v>free offer for house private sale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IFERROR(__xludf.DUMMYFUNCTION("""COMPUTED_VALUE"""),"no obligation offer house private sale")</f>
        <v>no obligation offer house private sale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IFERROR(__xludf.DUMMYFUNCTION("""COMPUTED_VALUE"""),"sell house in 7 days private sale")</f>
        <v>sell house in 7 days private sale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IFERROR(__xludf.DUMMYFUNCTION("""COMPUTED_VALUE"""),"close house sale fast private sale")</f>
        <v>close house sale fast private sale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IFERROR(__xludf.DUMMYFUNCTION("""COMPUTED_VALUE"""),"choose closing date house sale private sale")</f>
        <v>choose closing date house sale private sale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IFERROR(__xludf.DUMMYFUNCTION("""COMPUTED_VALUE"""),"sell house without showings private sale")</f>
        <v>sell house without showings private sale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IFERROR(__xludf.DUMMYFUNCTION("""COMPUTED_VALUE"""),"sell house closing costs paid private sale")</f>
        <v>sell house closing costs paid private sale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IFERROR(__xludf.DUMMYFUNCTION("""COMPUTED_VALUE"""),"")</f>
        <v/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IFERROR(__xludf.DUMMYFUNCTION("""COMPUTED_VALUE"""),"")</f>
        <v/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IFERROR(__xludf.DUMMYFUNCTION("""COMPUTED_VALUE"""),"")</f>
        <v/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IFERROR(__xludf.DUMMYFUNCTION("""COMPUTED_VALUE"""),"")</f>
        <v/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IFERROR(__xludf.DUMMYFUNCTION("""COMPUTED_VALUE"""),"")</f>
        <v/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IFERROR(__xludf.DUMMYFUNCTION("""COMPUTED_VALUE"""),"")</f>
        <v/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IFERROR(__xludf.DUMMYFUNCTION("""COMPUTED_VALUE"""),"")</f>
        <v/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IFERROR(__xludf.DUMMYFUNCTION("""COMPUTED_VALUE"""),"")</f>
        <v/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IFERROR(__xludf.DUMMYFUNCTION("""COMPUTED_VALUE"""),"")</f>
        <v/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IFERROR(__xludf.DUMMYFUNCTION("""COMPUTED_VALUE"""),"")</f>
        <v/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 t="str">
        <f>IFERROR(__xludf.DUMMYFUNCTION("""COMPUTED_VALUE"""),"")</f>
        <v/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 t="str">
        <f>IFERROR(__xludf.DUMMYFUNCTION("""COMPUTED_VALUE"""),"")</f>
        <v/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 t="str">
        <f>IFERROR(__xludf.DUMMYFUNCTION("""COMPUTED_VALUE"""),"")</f>
        <v/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 t="str">
        <f>IFERROR(__xludf.DUMMYFUNCTION("""COMPUTED_VALUE"""),"")</f>
        <v/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 t="str">
        <f>IFERROR(__xludf.DUMMYFUNCTION("""COMPUTED_VALUE"""),"")</f>
        <v/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 t="str">
        <f>IFERROR(__xludf.DUMMYFUNCTION("""COMPUTED_VALUE"""),"")</f>
        <v/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 t="str">
        <f>IFERROR(__xludf.DUMMYFUNCTION("""COMPUTED_VALUE"""),"")</f>
        <v/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 t="str">
        <f>IFERROR(__xludf.DUMMYFUNCTION("""COMPUTED_VALUE"""),"")</f>
        <v/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 t="str">
        <f>IFERROR(__xludf.DUMMYFUNCTION("""COMPUTED_VALUE"""),"")</f>
        <v/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 t="str">
        <f>IFERROR(__xludf.DUMMYFUNCTION("""COMPUTED_VALUE"""),"")</f>
        <v/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 t="str">
        <f>IFERROR(__xludf.DUMMYFUNCTION("""COMPUTED_VALUE"""),"")</f>
        <v/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 t="str">
        <f>IFERROR(__xludf.DUMMYFUNCTION("""COMPUTED_VALUE"""),"")</f>
        <v/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 t="str">
        <f>IFERROR(__xludf.DUMMYFUNCTION("""COMPUTED_VALUE"""),"")</f>
        <v/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 t="str">
        <f>IFERROR(__xludf.DUMMYFUNCTION("""COMPUTED_VALUE"""),"")</f>
        <v/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 t="str">
        <f>IFERROR(__xludf.DUMMYFUNCTION("""COMPUTED_VALUE"""),"")</f>
        <v/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 t="str">
        <f>IFERROR(__xludf.DUMMYFUNCTION("""COMPUTED_VALUE"""),"")</f>
        <v/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 t="str">
        <f>IFERROR(__xludf.DUMMYFUNCTION("""COMPUTED_VALUE"""),"")</f>
        <v/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 t="str">
        <f>IFERROR(__xludf.DUMMYFUNCTION("""COMPUTED_VALUE"""),"")</f>
        <v/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 t="str">
        <f>IFERROR(__xludf.DUMMYFUNCTION("""COMPUTED_VALUE"""),"")</f>
        <v/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 t="str">
        <f>IFERROR(__xludf.DUMMYFUNCTION("""COMPUTED_VALUE"""),"")</f>
        <v/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 t="str">
        <f>IFERROR(__xludf.DUMMYFUNCTION("""COMPUTED_VALUE"""),"get cash offer for house")</f>
        <v>get cash offer for house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 t="str">
        <f>IFERROR(__xludf.DUMMYFUNCTION("""COMPUTED_VALUE"""),"request cash offer for house")</f>
        <v>request cash offer for house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 t="str">
        <f>IFERROR(__xludf.DUMMYFUNCTION("""COMPUTED_VALUE"""),"get fair offer for house")</f>
        <v>get fair offer for house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 t="str">
        <f>IFERROR(__xludf.DUMMYFUNCTION("""COMPUTED_VALUE"""),"free offer for house")</f>
        <v>free offer for house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 t="str">
        <f>IFERROR(__xludf.DUMMYFUNCTION("""COMPUTED_VALUE"""),"no obligation offer house")</f>
        <v>no obligation offer house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 t="str">
        <f>IFERROR(__xludf.DUMMYFUNCTION("""COMPUTED_VALUE"""),"sell house in 7 days")</f>
        <v>sell house in 7 days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 t="str">
        <f>IFERROR(__xludf.DUMMYFUNCTION("""COMPUTED_VALUE"""),"close house sale fast")</f>
        <v>close house sale fast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 t="str">
        <f>IFERROR(__xludf.DUMMYFUNCTION("""COMPUTED_VALUE"""),"choose closing date house sale")</f>
        <v>choose closing date house sale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 t="str">
        <f>IFERROR(__xludf.DUMMYFUNCTION("""COMPUTED_VALUE"""),"sell house without showings")</f>
        <v>sell house without showings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 t="str">
        <f>IFERROR(__xludf.DUMMYFUNCTION("""COMPUTED_VALUE"""),"sell house closing costs paid")</f>
        <v>sell house closing costs paid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12" width="18.0"/>
  </cols>
  <sheetData>
    <row r="1">
      <c r="A1" s="1"/>
      <c r="B1" s="2" t="s">
        <v>276</v>
      </c>
      <c r="C1" s="2" t="s">
        <v>277</v>
      </c>
      <c r="D1" s="2" t="s">
        <v>278</v>
      </c>
      <c r="E1" s="2" t="s">
        <v>279</v>
      </c>
      <c r="F1" s="2" t="s">
        <v>280</v>
      </c>
      <c r="G1" s="2" t="s">
        <v>281</v>
      </c>
      <c r="H1" s="2" t="s">
        <v>282</v>
      </c>
      <c r="I1" s="2" t="s">
        <v>283</v>
      </c>
      <c r="J1" s="2" t="s">
        <v>284</v>
      </c>
      <c r="K1" s="2" t="s">
        <v>285</v>
      </c>
      <c r="L1" s="2"/>
      <c r="M1" s="2" t="s">
        <v>38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41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1" t="s">
        <v>286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""&amp;$A3))"),"cash buyer vs realtor reviews")</f>
        <v>cash buyer vs realtor reviews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""&amp;$A3))"),"sell to investor vs realtor reviews")</f>
        <v>sell to investor vs realtor reviews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""&amp;$A3))"),"sell house fsbo vs cash buyer reviews")</f>
        <v>sell house fsbo vs cash buyer reviews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""&amp;$A3))"),"we buy houses reviews")</f>
        <v>we buy houses reviews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""&amp;$A3))"),"legit cash home buyer reviews")</f>
        <v>legit cash home buyer reviews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""&amp;$A3))"),"reputable cash home buyer reviews")</f>
        <v>reputable cash home buyer reviews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""&amp;$A3))"),"trusted home buyer reviews")</f>
        <v>trusted home buyer reviews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""&amp;$A3))"),"best cash home buyer reviews")</f>
        <v>best cash home buyer reviews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""&amp;$A3))"),"local cash home buyer reviews")</f>
        <v>local cash home buyer reviews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""&amp;$A3))"),"is we buy houses legit reviews")</f>
        <v>is we buy houses legit reviews</v>
      </c>
      <c r="L3" s="13"/>
      <c r="M3" s="13" t="str">
        <f>IFERROR(__xludf.DUMMYFUNCTION("FLATTEN(B3:K39,B1:K1)"),"cash buyer vs realtor reviews")</f>
        <v>cash buyer vs realtor reviews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1" t="s">
        <v>287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""&amp;$A4))"),"cash buyer vs realtor review")</f>
        <v>cash buyer vs realtor review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""&amp;$A4))"),"sell to investor vs realtor review")</f>
        <v>sell to investor vs realtor review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""&amp;$A4))"),"sell house fsbo vs cash buyer review")</f>
        <v>sell house fsbo vs cash buyer review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""&amp;$A4))"),"we buy houses reviews review")</f>
        <v>we buy houses reviews review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""&amp;$A4))"),"legit cash home buyer review")</f>
        <v>legit cash home buyer review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""&amp;$A4))"),"reputable cash home buyer review")</f>
        <v>reputable cash home buyer review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""&amp;$A4))"),"trusted home buyer review")</f>
        <v>trusted home buyer review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""&amp;$A4))"),"best cash home buyer review")</f>
        <v>best cash home buyer review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""&amp;$A4))"),"local cash home buyer review")</f>
        <v>local cash home buyer review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""&amp;$A4))"),"is we buy houses legit review")</f>
        <v>is we buy houses legit review</v>
      </c>
      <c r="L4" s="13"/>
      <c r="M4" s="13" t="str">
        <f>IFERROR(__xludf.DUMMYFUNCTION("""COMPUTED_VALUE"""),"sell to investor vs realtor reviews")</f>
        <v>sell to investor vs realtor reviews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1" t="s">
        <v>288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""&amp;$A5))"),"cash buyer vs realtor testimonials")</f>
        <v>cash buyer vs realtor testimonials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""&amp;$A5))"),"sell to investor vs realtor testimonials")</f>
        <v>sell to investor vs realtor testimonials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""&amp;$A5))"),"sell house fsbo vs cash buyer testimonials")</f>
        <v>sell house fsbo vs cash buyer testimonials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""&amp;$A5))"),"we buy houses reviews testimonials")</f>
        <v>we buy houses reviews testimonials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""&amp;$A5))"),"legit cash home buyer testimonials")</f>
        <v>legit cash home buyer testimonials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""&amp;$A5))"),"reputable cash home buyer testimonials")</f>
        <v>reputable cash home buyer testimonials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""&amp;$A5))"),"trusted home buyer testimonials")</f>
        <v>trusted home buyer testimonials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""&amp;$A5))"),"best cash home buyer testimonials")</f>
        <v>best cash home buyer testimonials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""&amp;$A5))"),"local cash home buyer testimonials")</f>
        <v>local cash home buyer testimonials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""&amp;$A5))"),"is we buy houses legit testimonials")</f>
        <v>is we buy houses legit testimonials</v>
      </c>
      <c r="L5" s="13"/>
      <c r="M5" s="13" t="str">
        <f>IFERROR(__xludf.DUMMYFUNCTION("""COMPUTED_VALUE"""),"sell house fsbo vs cash buyer reviews")</f>
        <v>sell house fsbo vs cash buyer reviews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1" t="s">
        <v>289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""&amp;$A6))"),"cash buyer vs realtor complaints")</f>
        <v>cash buyer vs realtor complaints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""&amp;$A6))"),"sell to investor vs realtor complaints")</f>
        <v>sell to investor vs realtor complaints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""&amp;$A6))"),"sell house fsbo vs cash buyer complaints")</f>
        <v>sell house fsbo vs cash buyer complaints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""&amp;$A6))"),"we buy houses reviews complaints")</f>
        <v>we buy houses reviews complaints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""&amp;$A6))"),"legit cash home buyer complaints")</f>
        <v>legit cash home buyer complaints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""&amp;$A6))"),"reputable cash home buyer complaints")</f>
        <v>reputable cash home buyer complaints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""&amp;$A6))"),"trusted home buyer complaints")</f>
        <v>trusted home buyer complaints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""&amp;$A6))"),"best cash home buyer complaints")</f>
        <v>best cash home buyer complaints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""&amp;$A6))"),"local cash home buyer complaints")</f>
        <v>local cash home buyer complaints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""&amp;$A6))"),"is we buy houses legit complaints")</f>
        <v>is we buy houses legit complaints</v>
      </c>
      <c r="L6" s="13"/>
      <c r="M6" s="13" t="str">
        <f>IFERROR(__xludf.DUMMYFUNCTION("""COMPUTED_VALUE"""),"we buy houses reviews")</f>
        <v>we buy houses reviews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1" t="s">
        <v>290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""&amp;$A7))"),"cash buyer vs realtor BBB")</f>
        <v>cash buyer vs realtor BBB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""&amp;$A7))"),"sell to investor vs realtor BBB")</f>
        <v>sell to investor vs realtor BBB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""&amp;$A7))"),"sell house fsbo vs cash buyer BBB")</f>
        <v>sell house fsbo vs cash buyer BBB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""&amp;$A7))"),"we buy houses reviews BBB")</f>
        <v>we buy houses reviews BBB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""&amp;$A7))"),"legit cash home buyer BBB")</f>
        <v>legit cash home buyer BBB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""&amp;$A7))"),"reputable cash home buyer BBB")</f>
        <v>reputable cash home buyer BBB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""&amp;$A7))"),"trusted home buyer BBB")</f>
        <v>trusted home buyer BBB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""&amp;$A7))"),"best cash home buyer BBB")</f>
        <v>best cash home buyer BBB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""&amp;$A7))"),"local cash home buyer BBB")</f>
        <v>local cash home buyer BBB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""&amp;$A7))"),"is we buy houses legit BBB")</f>
        <v>is we buy houses legit BBB</v>
      </c>
      <c r="L7" s="13"/>
      <c r="M7" s="13" t="str">
        <f>IFERROR(__xludf.DUMMYFUNCTION("""COMPUTED_VALUE"""),"legit cash home buyer reviews")</f>
        <v>legit cash home buyer reviews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1" t="s">
        <v>291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""&amp;$A8))"),"cash buyer vs realtor scam")</f>
        <v>cash buyer vs realtor scam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""&amp;$A8))"),"sell to investor vs realtor scam")</f>
        <v>sell to investor vs realtor scam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""&amp;$A8))"),"sell house fsbo vs cash buyer scam")</f>
        <v>sell house fsbo vs cash buyer scam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""&amp;$A8))"),"we buy houses reviews scam")</f>
        <v>we buy houses reviews scam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""&amp;$A8))"),"legit cash home buyer scam")</f>
        <v>legit cash home buyer scam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""&amp;$A8))"),"reputable cash home buyer scam")</f>
        <v>reputable cash home buyer scam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""&amp;$A8))"),"trusted home buyer scam")</f>
        <v>trusted home buyer scam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""&amp;$A8))"),"best cash home buyer scam")</f>
        <v>best cash home buyer scam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""&amp;$A8))"),"local cash home buyer scam")</f>
        <v>local cash home buyer scam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""&amp;$A8))"),"is we buy houses legit scam")</f>
        <v>is we buy houses legit scam</v>
      </c>
      <c r="L8" s="13"/>
      <c r="M8" s="13" t="str">
        <f>IFERROR(__xludf.DUMMYFUNCTION("""COMPUTED_VALUE"""),"reputable cash home buyer reviews")</f>
        <v>reputable cash home buyer reviews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1" t="s">
        <v>13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""&amp;$A9))"),"cash buyer vs realtor legit")</f>
        <v>cash buyer vs realtor legit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""&amp;$A9))"),"sell to investor vs realtor legit")</f>
        <v>sell to investor vs realtor legit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""&amp;$A9))"),"sell house fsbo vs cash buyer legit")</f>
        <v>sell house fsbo vs cash buyer legit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""&amp;$A9))"),"we buy houses reviews legit")</f>
        <v>we buy houses reviews legit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""&amp;$A9))"),"legit cash home buyer")</f>
        <v>legit cash home buyer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""&amp;$A9))"),"reputable cash home buyer legit")</f>
        <v>reputable cash home buyer legit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""&amp;$A9))"),"trusted home buyer legit")</f>
        <v>trusted home buyer legit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""&amp;$A9))"),"best cash home buyer legit")</f>
        <v>best cash home buyer legit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""&amp;$A9))"),"local cash home buyer legit")</f>
        <v>local cash home buyer legit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""&amp;$A9))"),"is we buy houses legit")</f>
        <v>is we buy houses legit</v>
      </c>
      <c r="L9" s="13"/>
      <c r="M9" s="13" t="str">
        <f>IFERROR(__xludf.DUMMYFUNCTION("""COMPUTED_VALUE"""),"trusted home buyer reviews")</f>
        <v>trusted home buyer reviews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1" t="s">
        <v>292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""&amp;$A10))"),"cash buyer vs realtor legitimate")</f>
        <v>cash buyer vs realtor legitimate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""&amp;$A10))"),"sell to investor vs realtor legitimate")</f>
        <v>sell to investor vs realtor legitimate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""&amp;$A10))"),"sell house fsbo vs cash buyer legitimate")</f>
        <v>sell house fsbo vs cash buyer legitimate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""&amp;$A10))"),"we buy houses reviews legitimate")</f>
        <v>we buy houses reviews legitimate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""&amp;$A10))"),"legit cash home buyer legitimate")</f>
        <v>legit cash home buyer legitimate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""&amp;$A10))"),"reputable cash home buyer legitimate")</f>
        <v>reputable cash home buyer legitimate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""&amp;$A10))"),"trusted home buyer legitimate")</f>
        <v>trusted home buyer legitimate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""&amp;$A10))"),"best cash home buyer legitimate")</f>
        <v>best cash home buyer legitimate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""&amp;$A10))"),"local cash home buyer legitimate")</f>
        <v>local cash home buyer legitimate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""&amp;$A10))"),"is we buy houses legit legitimate")</f>
        <v>is we buy houses legit legitimate</v>
      </c>
      <c r="L10" s="13"/>
      <c r="M10" s="13" t="str">
        <f>IFERROR(__xludf.DUMMYFUNCTION("""COMPUTED_VALUE"""),"best cash home buyer reviews")</f>
        <v>best cash home buyer reviews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1" t="s">
        <v>4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""&amp;$A11))"),"cash buyer vs realtor reputable")</f>
        <v>cash buyer vs realtor reputable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""&amp;$A11))"),"sell to investor vs realtor reputable")</f>
        <v>sell to investor vs realtor reputable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""&amp;$A11))"),"sell house fsbo vs cash buyer reputable")</f>
        <v>sell house fsbo vs cash buyer reputable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""&amp;$A11))"),"we buy houses reviews reputable")</f>
        <v>we buy houses reviews reputable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""&amp;$A11))"),"legit cash home buyer reputable")</f>
        <v>legit cash home buyer reputable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""&amp;$A11))"),"reputable cash home buyer")</f>
        <v>reputable cash home buyer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""&amp;$A11))"),"trusted home buyer reputable")</f>
        <v>trusted home buyer reputable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""&amp;$A11))"),"best cash home buyer reputable")</f>
        <v>best cash home buyer reputable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""&amp;$A11))"),"local cash home buyer reputable")</f>
        <v>local cash home buyer reputable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""&amp;$A11))"),"is we buy houses legit reputable")</f>
        <v>is we buy houses legit reputable</v>
      </c>
      <c r="L11" s="13"/>
      <c r="M11" s="13" t="str">
        <f>IFERROR(__xludf.DUMMYFUNCTION("""COMPUTED_VALUE"""),"local cash home buyer reviews")</f>
        <v>local cash home buyer reviews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1" t="s">
        <v>7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""&amp;$A12))"),"cash buyer vs realtor trusted")</f>
        <v>cash buyer vs realtor trusted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""&amp;$A12))"),"sell to investor vs realtor trusted")</f>
        <v>sell to investor vs realtor trusted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""&amp;$A12))"),"sell house fsbo vs cash buyer trusted")</f>
        <v>sell house fsbo vs cash buyer trusted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""&amp;$A12))"),"we buy houses reviews trusted")</f>
        <v>we buy houses reviews trusted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""&amp;$A12))"),"legit cash home buyer trusted")</f>
        <v>legit cash home buyer trusted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""&amp;$A12))"),"reputable cash home buyer trusted")</f>
        <v>reputable cash home buyer trusted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""&amp;$A12))"),"trusted home buyer")</f>
        <v>trusted home buyer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""&amp;$A12))"),"best cash home buyer trusted")</f>
        <v>best cash home buyer trusted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""&amp;$A12))"),"local cash home buyer trusted")</f>
        <v>local cash home buyer trusted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""&amp;$A12))"),"is we buy houses legit trusted")</f>
        <v>is we buy houses legit trusted</v>
      </c>
      <c r="L12" s="13"/>
      <c r="M12" s="13" t="str">
        <f>IFERROR(__xludf.DUMMYFUNCTION("""COMPUTED_VALUE"""),"is we buy houses legit reviews")</f>
        <v>is we buy houses legit reviews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1" t="s">
        <v>293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""&amp;$A13))"),"cash buyer vs realtor top rated")</f>
        <v>cash buyer vs realtor top rated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""&amp;$A13))"),"sell to investor vs realtor top rated")</f>
        <v>sell to investor vs realtor top rated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""&amp;$A13))"),"sell house fsbo vs cash buyer top rated")</f>
        <v>sell house fsbo vs cash buyer top rated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""&amp;$A13))"),"we buy houses reviews top rated")</f>
        <v>we buy houses reviews top rated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""&amp;$A13))"),"legit cash home buyer top rated")</f>
        <v>legit cash home buyer top rated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""&amp;$A13))"),"reputable cash home buyer top rated")</f>
        <v>reputable cash home buyer top rated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""&amp;$A13))"),"trusted home buyer top rated")</f>
        <v>trusted home buyer top rated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""&amp;$A13))"),"best cash home buyer top rated")</f>
        <v>best cash home buyer top rated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""&amp;$A13))"),"local cash home buyer top rated")</f>
        <v>local cash home buyer top rated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""&amp;$A13))"),"is we buy houses legit top rated")</f>
        <v>is we buy houses legit top rated</v>
      </c>
      <c r="L13" s="13"/>
      <c r="M13" s="13" t="str">
        <f>IFERROR(__xludf.DUMMYFUNCTION("""COMPUTED_VALUE"""),"cash buyer vs realtor review")</f>
        <v>cash buyer vs realtor review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0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""&amp;$A14))"),"cash buyer vs realtor best")</f>
        <v>cash buyer vs realtor best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""&amp;$A14))"),"sell to investor vs realtor best")</f>
        <v>sell to investor vs realtor best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""&amp;$A14))"),"sell house fsbo vs cash buyer best")</f>
        <v>sell house fsbo vs cash buyer best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""&amp;$A14))"),"we buy houses reviews best")</f>
        <v>we buy houses reviews best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""&amp;$A14))"),"legit cash home buyer best")</f>
        <v>legit cash home buyer best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""&amp;$A14))"),"reputable cash home buyer best")</f>
        <v>reputable cash home buyer best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""&amp;$A14))"),"trusted home buyer best")</f>
        <v>trusted home buyer best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""&amp;$A14))"),"best cash home buyer")</f>
        <v>best cash home buyer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""&amp;$A14))"),"local cash home buyer best")</f>
        <v>local cash home buyer best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""&amp;$A14))"),"is we buy houses legit best")</f>
        <v>is we buy houses legit best</v>
      </c>
      <c r="L14" s="13"/>
      <c r="M14" s="13" t="str">
        <f>IFERROR(__xludf.DUMMYFUNCTION("""COMPUTED_VALUE"""),"sell to investor vs realtor review")</f>
        <v>sell to investor vs realtor review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294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""&amp;$A15))"),"cash buyer vs realtor pros and cons")</f>
        <v>cash buyer vs realtor pros and cons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""&amp;$A15))"),"sell to investor vs realtor pros and cons")</f>
        <v>sell to investor vs realtor pros and cons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""&amp;$A15))"),"sell house fsbo vs cash buyer pros and cons")</f>
        <v>sell house fsbo vs cash buyer pros and cons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""&amp;$A15))"),"we buy houses reviews pros and cons")</f>
        <v>we buy houses reviews pros and cons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""&amp;$A15))"),"legit cash home buyer pros and cons")</f>
        <v>legit cash home buyer pros and cons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""&amp;$A15))"),"reputable cash home buyer pros and cons")</f>
        <v>reputable cash home buyer pros and cons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""&amp;$A15))"),"trusted home buyer pros and cons")</f>
        <v>trusted home buyer pros and cons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""&amp;$A15))"),"best cash home buyer pros and cons")</f>
        <v>best cash home buyer pros and cons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""&amp;$A15))"),"local cash home buyer pros and cons")</f>
        <v>local cash home buyer pros and cons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""&amp;$A15))"),"is we buy houses legit pros and cons")</f>
        <v>is we buy houses legit pros and cons</v>
      </c>
      <c r="L15" s="13"/>
      <c r="M15" s="13" t="str">
        <f>IFERROR(__xludf.DUMMYFUNCTION("""COMPUTED_VALUE"""),"sell house fsbo vs cash buyer review")</f>
        <v>sell house fsbo vs cash buyer review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295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""&amp;$A16))"),"cash buyer vs realtor comparison")</f>
        <v>cash buyer vs realtor comparison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""&amp;$A16))"),"sell to investor vs realtor comparison")</f>
        <v>sell to investor vs realtor comparison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""&amp;$A16))"),"sell house fsbo vs cash buyer comparison")</f>
        <v>sell house fsbo vs cash buyer comparison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""&amp;$A16))"),"we buy houses reviews comparison")</f>
        <v>we buy houses reviews comparison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""&amp;$A16))"),"legit cash home buyer comparison")</f>
        <v>legit cash home buyer comparison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""&amp;$A16))"),"reputable cash home buyer comparison")</f>
        <v>reputable cash home buyer comparison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""&amp;$A16))"),"trusted home buyer comparison")</f>
        <v>trusted home buyer comparison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""&amp;$A16))"),"best cash home buyer comparison")</f>
        <v>best cash home buyer comparison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""&amp;$A16))"),"local cash home buyer comparison")</f>
        <v>local cash home buyer comparison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""&amp;$A16))"),"is we buy houses legit comparison")</f>
        <v>is we buy houses legit comparison</v>
      </c>
      <c r="L16" s="13"/>
      <c r="M16" s="13" t="str">
        <f>IFERROR(__xludf.DUMMYFUNCTION("""COMPUTED_VALUE"""),"we buy houses reviews review")</f>
        <v>we buy houses reviews review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296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""&amp;$A17))"),"cash buyer vs realtor")</f>
        <v>cash buyer vs realtor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""&amp;$A17))"),"sell to investor vs realtor")</f>
        <v>sell to investor vs realtor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""&amp;$A17))"),"sell house fsbo vs cash buyer vs realtor")</f>
        <v>sell house fsbo vs cash buyer vs realtor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""&amp;$A17))"),"we buy houses reviews vs realtor")</f>
        <v>we buy houses reviews vs realtor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""&amp;$A17))"),"legit cash home buyer vs realtor")</f>
        <v>legit cash home buyer vs realtor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""&amp;$A17))"),"reputable cash home buyer vs realtor")</f>
        <v>reputable cash home buyer vs realtor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""&amp;$A17))"),"trusted home buyer vs realtor")</f>
        <v>trusted home buyer vs realtor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""&amp;$A17))"),"best cash home buyer vs realtor")</f>
        <v>best cash home buyer vs realtor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""&amp;$A17))"),"local cash home buyer vs realtor")</f>
        <v>local cash home buyer vs realtor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""&amp;$A17))"),"is we buy houses legit vs realtor")</f>
        <v>is we buy houses legit vs realtor</v>
      </c>
      <c r="L17" s="13"/>
      <c r="M17" s="13" t="str">
        <f>IFERROR(__xludf.DUMMYFUNCTION("""COMPUTED_VALUE"""),"legit cash home buyer review")</f>
        <v>legit cash home buyer review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297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""&amp;$A18))"),"cash buyer vs realtor vs agent")</f>
        <v>cash buyer vs realtor vs agent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""&amp;$A18))"),"sell to investor vs realtor vs agent")</f>
        <v>sell to investor vs realtor vs agent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""&amp;$A18))"),"sell house fsbo vs cash buyer vs agent")</f>
        <v>sell house fsbo vs cash buyer vs agent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""&amp;$A18))"),"we buy houses reviews vs agent")</f>
        <v>we buy houses reviews vs agent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""&amp;$A18))"),"legit cash home buyer vs agent")</f>
        <v>legit cash home buyer vs agent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""&amp;$A18))"),"reputable cash home buyer vs agent")</f>
        <v>reputable cash home buyer vs agent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""&amp;$A18))"),"trusted home buyer vs agent")</f>
        <v>trusted home buyer vs agent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""&amp;$A18))"),"best cash home buyer vs agent")</f>
        <v>best cash home buyer vs agent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""&amp;$A18))"),"local cash home buyer vs agent")</f>
        <v>local cash home buyer vs agent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""&amp;$A18))"),"is we buy houses legit vs agent")</f>
        <v>is we buy houses legit vs agent</v>
      </c>
      <c r="L18" s="13"/>
      <c r="M18" s="13" t="str">
        <f>IFERROR(__xludf.DUMMYFUNCTION("""COMPUTED_VALUE"""),"reputable cash home buyer review")</f>
        <v>reputable cash home buyer review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298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""&amp;$A19))"),"cash buyer vs realtor vs FSBO")</f>
        <v>cash buyer vs realtor vs FSBO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""&amp;$A19))"),"sell to investor vs realtor vs FSBO")</f>
        <v>sell to investor vs realtor vs FSBO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""&amp;$A19))"),"sell house fsbo vs cash buyer vs FSBO")</f>
        <v>sell house fsbo vs cash buyer vs FSBO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""&amp;$A19))"),"we buy houses reviews vs FSBO")</f>
        <v>we buy houses reviews vs FSBO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""&amp;$A19))"),"legit cash home buyer vs FSBO")</f>
        <v>legit cash home buyer vs FSBO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""&amp;$A19))"),"reputable cash home buyer vs FSBO")</f>
        <v>reputable cash home buyer vs FSBO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""&amp;$A19))"),"trusted home buyer vs FSBO")</f>
        <v>trusted home buyer vs FSBO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""&amp;$A19))"),"best cash home buyer vs FSBO")</f>
        <v>best cash home buyer vs FSBO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""&amp;$A19))"),"local cash home buyer vs FSBO")</f>
        <v>local cash home buyer vs FSBO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""&amp;$A19))"),"is we buy houses legit vs FSBO")</f>
        <v>is we buy houses legit vs FSBO</v>
      </c>
      <c r="L19" s="13"/>
      <c r="M19" s="13" t="str">
        <f>IFERROR(__xludf.DUMMYFUNCTION("""COMPUTED_VALUE"""),"trusted home buyer review")</f>
        <v>trusted home buyer review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299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""&amp;$A20))"),"cash buyer vs realtor vs listing")</f>
        <v>cash buyer vs realtor vs listing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""&amp;$A20))"),"sell to investor vs realtor vs listing")</f>
        <v>sell to investor vs realtor vs listing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""&amp;$A20))"),"sell house fsbo vs cash buyer vs listing")</f>
        <v>sell house fsbo vs cash buyer vs listing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""&amp;$A20))"),"we buy houses reviews vs listing")</f>
        <v>we buy houses reviews vs listing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""&amp;$A20))"),"legit cash home buyer vs listing")</f>
        <v>legit cash home buyer vs listing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""&amp;$A20))"),"reputable cash home buyer vs listing")</f>
        <v>reputable cash home buyer vs listing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""&amp;$A20))"),"trusted home buyer vs listing")</f>
        <v>trusted home buyer vs listing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""&amp;$A20))"),"best cash home buyer vs listing")</f>
        <v>best cash home buyer vs listing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""&amp;$A20))"),"local cash home buyer vs listing")</f>
        <v>local cash home buyer vs listing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""&amp;$A20))"),"is we buy houses legit vs listing")</f>
        <v>is we buy houses legit vs listing</v>
      </c>
      <c r="L20" s="13"/>
      <c r="M20" s="13" t="str">
        <f>IFERROR(__xludf.DUMMYFUNCTION("""COMPUTED_VALUE"""),"best cash home buyer review")</f>
        <v>best cash home buyer review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300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""&amp;$A21))"),"cash buyer vs realtor alternative")</f>
        <v>cash buyer vs realtor alternative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""&amp;$A21))"),"sell to investor vs realtor alternative")</f>
        <v>sell to investor vs realtor alternative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""&amp;$A21))"),"sell house fsbo vs cash buyer alternative")</f>
        <v>sell house fsbo vs cash buyer alternative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""&amp;$A21))"),"we buy houses reviews alternative")</f>
        <v>we buy houses reviews alternative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""&amp;$A21))"),"legit cash home buyer alternative")</f>
        <v>legit cash home buyer alternative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""&amp;$A21))"),"reputable cash home buyer alternative")</f>
        <v>reputable cash home buyer alternative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""&amp;$A21))"),"trusted home buyer alternative")</f>
        <v>trusted home buyer alternative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""&amp;$A21))"),"best cash home buyer alternative")</f>
        <v>best cash home buyer alternative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""&amp;$A21))"),"local cash home buyer alternative")</f>
        <v>local cash home buyer alternative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""&amp;$A21))"),"is we buy houses legit alternative")</f>
        <v>is we buy houses legit alternative</v>
      </c>
      <c r="L21" s="13"/>
      <c r="M21" s="13" t="str">
        <f>IFERROR(__xludf.DUMMYFUNCTION("""COMPUTED_VALUE"""),"local cash home buyer review")</f>
        <v>local cash home buyer review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301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""&amp;$A22))"),"cash buyer vs realtor alternatives")</f>
        <v>cash buyer vs realtor alternatives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""&amp;$A22))"),"sell to investor vs realtor alternatives")</f>
        <v>sell to investor vs realtor alternatives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""&amp;$A22))"),"sell house fsbo vs cash buyer alternatives")</f>
        <v>sell house fsbo vs cash buyer alternatives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""&amp;$A22))"),"we buy houses reviews alternatives")</f>
        <v>we buy houses reviews alternatives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""&amp;$A22))"),"legit cash home buyer alternatives")</f>
        <v>legit cash home buyer alternatives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""&amp;$A22))"),"reputable cash home buyer alternatives")</f>
        <v>reputable cash home buyer alternatives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""&amp;$A22))"),"trusted home buyer alternatives")</f>
        <v>trusted home buyer alternatives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""&amp;$A22))"),"best cash home buyer alternatives")</f>
        <v>best cash home buyer alternatives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""&amp;$A22))"),"local cash home buyer alternatives")</f>
        <v>local cash home buyer alternatives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""&amp;$A22))"),"is we buy houses legit alternatives")</f>
        <v>is we buy houses legit alternatives</v>
      </c>
      <c r="L22" s="13"/>
      <c r="M22" s="13" t="str">
        <f>IFERROR(__xludf.DUMMYFUNCTION("""COMPUTED_VALUE"""),"is we buy houses legit review")</f>
        <v>is we buy houses legit review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302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""&amp;$A23))"),"cash buyer vs realtor no pressure")</f>
        <v>cash buyer vs realtor no pressure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""&amp;$A23))"),"sell to investor vs realtor no pressure")</f>
        <v>sell to investor vs realtor no pressure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""&amp;$A23))"),"sell house fsbo vs cash buyer no pressure")</f>
        <v>sell house fsbo vs cash buyer no pressure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""&amp;$A23))"),"we buy houses reviews no pressure")</f>
        <v>we buy houses reviews no pressure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""&amp;$A23))"),"legit cash home buyer no pressure")</f>
        <v>legit cash home buyer no pressure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""&amp;$A23))"),"reputable cash home buyer no pressure")</f>
        <v>reputable cash home buyer no pressure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""&amp;$A23))"),"trusted home buyer no pressure")</f>
        <v>trusted home buyer no pressure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""&amp;$A23))"),"best cash home buyer no pressure")</f>
        <v>best cash home buyer no pressure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""&amp;$A23))"),"local cash home buyer no pressure")</f>
        <v>local cash home buyer no pressure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""&amp;$A23))"),"is we buy houses legit no pressure")</f>
        <v>is we buy houses legit no pressure</v>
      </c>
      <c r="L23" s="13"/>
      <c r="M23" s="13" t="str">
        <f>IFERROR(__xludf.DUMMYFUNCTION("""COMPUTED_VALUE"""),"cash buyer vs realtor testimonials")</f>
        <v>cash buyer vs realtor testimonials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303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""&amp;$A24))"),"cash buyer vs realtor transparent")</f>
        <v>cash buyer vs realtor transparent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""&amp;$A24))"),"sell to investor vs realtor transparent")</f>
        <v>sell to investor vs realtor transparent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""&amp;$A24))"),"sell house fsbo vs cash buyer transparent")</f>
        <v>sell house fsbo vs cash buyer transparent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""&amp;$A24))"),"we buy houses reviews transparent")</f>
        <v>we buy houses reviews transparent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""&amp;$A24))"),"legit cash home buyer transparent")</f>
        <v>legit cash home buyer transparent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""&amp;$A24))"),"reputable cash home buyer transparent")</f>
        <v>reputable cash home buyer transparent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""&amp;$A24))"),"trusted home buyer transparent")</f>
        <v>trusted home buyer transparent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""&amp;$A24))"),"best cash home buyer transparent")</f>
        <v>best cash home buyer transparent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""&amp;$A24))"),"local cash home buyer transparent")</f>
        <v>local cash home buyer transparent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""&amp;$A24))"),"is we buy houses legit transparent")</f>
        <v>is we buy houses legit transparent</v>
      </c>
      <c r="L24" s="13"/>
      <c r="M24" s="13" t="str">
        <f>IFERROR(__xludf.DUMMYFUNCTION("""COMPUTED_VALUE"""),"sell to investor vs realtor testimonials")</f>
        <v>sell to investor vs realtor testimonials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304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""&amp;$A25))"),"cash buyer vs realtor honest")</f>
        <v>cash buyer vs realtor honest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""&amp;$A25))"),"sell to investor vs realtor honest")</f>
        <v>sell to investor vs realtor honest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""&amp;$A25))"),"sell house fsbo vs cash buyer honest")</f>
        <v>sell house fsbo vs cash buyer honest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""&amp;$A25))"),"we buy houses reviews honest")</f>
        <v>we buy houses reviews honest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""&amp;$A25))"),"legit cash home buyer honest")</f>
        <v>legit cash home buyer honest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""&amp;$A25))"),"reputable cash home buyer honest")</f>
        <v>reputable cash home buyer honest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""&amp;$A25))"),"trusted home buyer honest")</f>
        <v>trusted home buyer honest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""&amp;$A25))"),"best cash home buyer honest")</f>
        <v>best cash home buyer honest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""&amp;$A25))"),"local cash home buyer honest")</f>
        <v>local cash home buyer honest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""&amp;$A25))"),"is we buy houses legit honest")</f>
        <v>is we buy houses legit honest</v>
      </c>
      <c r="L25" s="13"/>
      <c r="M25" s="13" t="str">
        <f>IFERROR(__xludf.DUMMYFUNCTION("""COMPUTED_VALUE"""),"sell house fsbo vs cash buyer testimonials")</f>
        <v>sell house fsbo vs cash buyer testimonials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30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""&amp;$A26))"),"cash buyer vs realtor family owned")</f>
        <v>cash buyer vs realtor family owned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""&amp;$A26))"),"sell to investor vs realtor family owned")</f>
        <v>sell to investor vs realtor family owned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""&amp;$A26))"),"sell house fsbo vs cash buyer family owned")</f>
        <v>sell house fsbo vs cash buyer family owned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""&amp;$A26))"),"we buy houses reviews family owned")</f>
        <v>we buy houses reviews family owned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""&amp;$A26))"),"legit cash home buyer family owned")</f>
        <v>legit cash home buyer family owned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""&amp;$A26))"),"reputable cash home buyer family owned")</f>
        <v>reputable cash home buyer family owned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""&amp;$A26))"),"trusted home buyer family owned")</f>
        <v>trusted home buyer family owned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""&amp;$A26))"),"best cash home buyer family owned")</f>
        <v>best cash home buyer family owned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""&amp;$A26))"),"local cash home buyer family owned")</f>
        <v>local cash home buyer family owned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""&amp;$A26))"),"is we buy houses legit family owned")</f>
        <v>is we buy houses legit family owned</v>
      </c>
      <c r="L26" s="13"/>
      <c r="M26" s="13" t="str">
        <f>IFERROR(__xludf.DUMMYFUNCTION("""COMPUTED_VALUE"""),"we buy houses reviews testimonials")</f>
        <v>we buy houses reviews testimonials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305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""&amp;$A27))"),"cash buyer vs realtor local company")</f>
        <v>cash buyer vs realtor local company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""&amp;$A27))"),"sell to investor vs realtor local company")</f>
        <v>sell to investor vs realtor local company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""&amp;$A27))"),"sell house fsbo vs cash buyer local company")</f>
        <v>sell house fsbo vs cash buyer local company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""&amp;$A27))"),"we buy houses reviews local company")</f>
        <v>we buy houses reviews local company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""&amp;$A27))"),"legit cash home buyer local company")</f>
        <v>legit cash home buyer local company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""&amp;$A27))"),"reputable cash home buyer local company")</f>
        <v>reputable cash home buyer local company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""&amp;$A27))"),"trusted home buyer local company")</f>
        <v>trusted home buyer local company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""&amp;$A27))"),"best cash home buyer local company")</f>
        <v>best cash home buyer local company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""&amp;$A27))"),"local cash home buyer local company")</f>
        <v>local cash home buyer local company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""&amp;$A27))"),"is we buy houses legit local company")</f>
        <v>is we buy houses legit local company</v>
      </c>
      <c r="L27" s="13"/>
      <c r="M27" s="13" t="str">
        <f>IFERROR(__xludf.DUMMYFUNCTION("""COMPUTED_VALUE"""),"legit cash home buyer testimonials")</f>
        <v>legit cash home buyer testimonials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306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""&amp;$A28))"),"cash buyer vs realtor experienced")</f>
        <v>cash buyer vs realtor experienced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""&amp;$A28))"),"sell to investor vs realtor experienced")</f>
        <v>sell to investor vs realtor experienced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""&amp;$A28))"),"sell house fsbo vs cash buyer experienced")</f>
        <v>sell house fsbo vs cash buyer experienced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""&amp;$A28))"),"we buy houses reviews experienced")</f>
        <v>we buy houses reviews experienced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""&amp;$A28))"),"legit cash home buyer experienced")</f>
        <v>legit cash home buyer experienced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""&amp;$A28))"),"reputable cash home buyer experienced")</f>
        <v>reputable cash home buyer experienced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""&amp;$A28))"),"trusted home buyer experienced")</f>
        <v>trusted home buyer experienced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""&amp;$A28))"),"best cash home buyer experienced")</f>
        <v>best cash home buyer experienced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""&amp;$A28))"),"local cash home buyer experienced")</f>
        <v>local cash home buyer experienced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""&amp;$A28))"),"is we buy houses legit experienced")</f>
        <v>is we buy houses legit experienced</v>
      </c>
      <c r="L28" s="13"/>
      <c r="M28" s="13" t="str">
        <f>IFERROR(__xludf.DUMMYFUNCTION("""COMPUTED_VALUE"""),"reputable cash home buyer testimonials")</f>
        <v>reputable cash home buyer testimonials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307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""&amp;$A29))"),"cash buyer vs realtor is it safe")</f>
        <v>cash buyer vs realtor is it safe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""&amp;$A29))"),"sell to investor vs realtor is it safe")</f>
        <v>sell to investor vs realtor is it safe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""&amp;$A29))"),"sell house fsbo vs cash buyer is it safe")</f>
        <v>sell house fsbo vs cash buyer is it safe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""&amp;$A29))"),"we buy houses reviews is it safe")</f>
        <v>we buy houses reviews is it safe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""&amp;$A29))"),"legit cash home buyer is it safe")</f>
        <v>legit cash home buyer is it safe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""&amp;$A29))"),"reputable cash home buyer is it safe")</f>
        <v>reputable cash home buyer is it safe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""&amp;$A29))"),"trusted home buyer is it safe")</f>
        <v>trusted home buyer is it safe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""&amp;$A29))"),"best cash home buyer is it safe")</f>
        <v>best cash home buyer is it safe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""&amp;$A29))"),"local cash home buyer is it safe")</f>
        <v>local cash home buyer is it safe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""&amp;$A29))"),"is we buy houses legit is it safe")</f>
        <v>is we buy houses legit is it safe</v>
      </c>
      <c r="L29" s="13"/>
      <c r="M29" s="13" t="str">
        <f>IFERROR(__xludf.DUMMYFUNCTION("""COMPUTED_VALUE"""),"trusted home buyer testimonials")</f>
        <v>trusted home buyer testimonials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308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""&amp;$A30))"),"cash buyer vs realtor how it works")</f>
        <v>cash buyer vs realtor how it works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""&amp;$A30))"),"sell to investor vs realtor how it works")</f>
        <v>sell to investor vs realtor how it works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""&amp;$A30))"),"sell house fsbo vs cash buyer how it works")</f>
        <v>sell house fsbo vs cash buyer how it works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""&amp;$A30))"),"we buy houses reviews how it works")</f>
        <v>we buy houses reviews how it works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""&amp;$A30))"),"legit cash home buyer how it works")</f>
        <v>legit cash home buyer how it works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""&amp;$A30))"),"reputable cash home buyer how it works")</f>
        <v>reputable cash home buyer how it works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""&amp;$A30))"),"trusted home buyer how it works")</f>
        <v>trusted home buyer how it works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""&amp;$A30))"),"best cash home buyer how it works")</f>
        <v>best cash home buyer how it works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""&amp;$A30))"),"local cash home buyer how it works")</f>
        <v>local cash home buyer how it works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""&amp;$A30))"),"is we buy houses legit how it works")</f>
        <v>is we buy houses legit how it works</v>
      </c>
      <c r="L30" s="13"/>
      <c r="M30" s="13" t="str">
        <f>IFERROR(__xludf.DUMMYFUNCTION("""COMPUTED_VALUE"""),"best cash home buyer testimonials")</f>
        <v>best cash home buyer testimonials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309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""&amp;$A31))"),"cash buyer vs realtor fees")</f>
        <v>cash buyer vs realtor fees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""&amp;$A31))"),"sell to investor vs realtor fees")</f>
        <v>sell to investor vs realtor fees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""&amp;$A31))"),"sell house fsbo vs cash buyer fees")</f>
        <v>sell house fsbo vs cash buyer fees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""&amp;$A31))"),"we buy houses reviews fees")</f>
        <v>we buy houses reviews fees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""&amp;$A31))"),"legit cash home buyer fees")</f>
        <v>legit cash home buyer fees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""&amp;$A31))"),"reputable cash home buyer fees")</f>
        <v>reputable cash home buyer fees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""&amp;$A31))"),"trusted home buyer fees")</f>
        <v>trusted home buyer fees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""&amp;$A31))"),"best cash home buyer fees")</f>
        <v>best cash home buyer fees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""&amp;$A31))"),"local cash home buyer fees")</f>
        <v>local cash home buyer fees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""&amp;$A31))"),"is we buy houses legit fees")</f>
        <v>is we buy houses legit fees</v>
      </c>
      <c r="L31" s="13"/>
      <c r="M31" s="13" t="str">
        <f>IFERROR(__xludf.DUMMYFUNCTION("""COMPUTED_VALUE"""),"local cash home buyer testimonials")</f>
        <v>local cash home buyer testimonials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310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""&amp;$A32))"),"cash buyer vs realtor commission")</f>
        <v>cash buyer vs realtor commission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""&amp;$A32))"),"sell to investor vs realtor commission")</f>
        <v>sell to investor vs realtor commission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""&amp;$A32))"),"sell house fsbo vs cash buyer commission")</f>
        <v>sell house fsbo vs cash buyer commission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""&amp;$A32))"),"we buy houses reviews commission")</f>
        <v>we buy houses reviews commission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""&amp;$A32))"),"legit cash home buyer commission")</f>
        <v>legit cash home buyer commission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""&amp;$A32))"),"reputable cash home buyer commission")</f>
        <v>reputable cash home buyer commission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""&amp;$A32))"),"trusted home buyer commission")</f>
        <v>trusted home buyer commission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""&amp;$A32))"),"best cash home buyer commission")</f>
        <v>best cash home buyer commission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""&amp;$A32))"),"local cash home buyer commission")</f>
        <v>local cash home buyer commission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""&amp;$A32))"),"is we buy houses legit commission")</f>
        <v>is we buy houses legit commission</v>
      </c>
      <c r="L32" s="13"/>
      <c r="M32" s="13" t="str">
        <f>IFERROR(__xludf.DUMMYFUNCTION("""COMPUTED_VALUE"""),"is we buy houses legit testimonials")</f>
        <v>is we buy houses legit testimonials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311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""&amp;$A33))"),"cash buyer vs realtor contract")</f>
        <v>cash buyer vs realtor contract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""&amp;$A33))"),"sell to investor vs realtor contract")</f>
        <v>sell to investor vs realtor contract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""&amp;$A33))"),"sell house fsbo vs cash buyer contract")</f>
        <v>sell house fsbo vs cash buyer contract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""&amp;$A33))"),"we buy houses reviews contract")</f>
        <v>we buy houses reviews contract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""&amp;$A33))"),"legit cash home buyer contract")</f>
        <v>legit cash home buyer contract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""&amp;$A33))"),"reputable cash home buyer contract")</f>
        <v>reputable cash home buyer contract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""&amp;$A33))"),"trusted home buyer contract")</f>
        <v>trusted home buyer contract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""&amp;$A33))"),"best cash home buyer contract")</f>
        <v>best cash home buyer contract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""&amp;$A33))"),"local cash home buyer contract")</f>
        <v>local cash home buyer contract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""&amp;$A33))"),"is we buy houses legit contract")</f>
        <v>is we buy houses legit contract</v>
      </c>
      <c r="L33" s="13"/>
      <c r="M33" s="13" t="str">
        <f>IFERROR(__xludf.DUMMYFUNCTION("""COMPUTED_VALUE"""),"cash buyer vs realtor complaints")</f>
        <v>cash buyer vs realtor complaints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312</v>
      </c>
      <c r="B34" s="12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""&amp;$A34))"),"cash buyer vs realtor seller reviews")</f>
        <v>cash buyer vs realtor seller reviews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""&amp;$A34))"),"sell to investor vs realtor seller reviews")</f>
        <v>sell to investor vs realtor seller reviews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""&amp;$A34))"),"sell house fsbo vs cash buyer seller reviews")</f>
        <v>sell house fsbo vs cash buyer seller reviews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""&amp;$A34))"),"we buy houses reviews seller reviews")</f>
        <v>we buy houses reviews seller reviews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""&amp;$A34))"),"legit cash home buyer seller reviews")</f>
        <v>legit cash home buyer seller reviews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""&amp;$A34))"),"reputable cash home buyer seller reviews")</f>
        <v>reputable cash home buyer seller reviews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""&amp;$A34))"),"trusted home buyer seller reviews")</f>
        <v>trusted home buyer seller reviews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""&amp;$A34))"),"best cash home buyer seller reviews")</f>
        <v>best cash home buyer seller reviews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""&amp;$A34))"),"local cash home buyer seller reviews")</f>
        <v>local cash home buyer seller reviews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""&amp;$A34))"),"is we buy houses legit seller reviews")</f>
        <v>is we buy houses legit seller reviews</v>
      </c>
      <c r="L34" s="13"/>
      <c r="M34" s="13" t="str">
        <f>IFERROR(__xludf.DUMMYFUNCTION("""COMPUTED_VALUE"""),"sell to investor vs realtor complaints")</f>
        <v>sell to investor vs realtor complaints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 t="s">
        <v>313</v>
      </c>
      <c r="B35" s="12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""&amp;$A35))"),"cash buyer vs realtor dream catcher")</f>
        <v>cash buyer vs realtor dream catcher</v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""&amp;$A35))"),"sell to investor vs realtor dream catcher")</f>
        <v>sell to investor vs realtor dream catcher</v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""&amp;$A35))"),"sell house fsbo vs cash buyer dream catcher")</f>
        <v>sell house fsbo vs cash buyer dream catcher</v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""&amp;$A35))"),"we buy houses reviews dream catcher")</f>
        <v>we buy houses reviews dream catcher</v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""&amp;$A35))"),"legit cash home buyer dream catcher")</f>
        <v>legit cash home buyer dream catcher</v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""&amp;$A35))"),"reputable cash home buyer dream catcher")</f>
        <v>reputable cash home buyer dream catcher</v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""&amp;$A35))"),"trusted home buyer dream catcher")</f>
        <v>trusted home buyer dream catcher</v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""&amp;$A35))"),"best cash home buyer dream catcher")</f>
        <v>best cash home buyer dream catcher</v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""&amp;$A35))"),"local cash home buyer dream catcher")</f>
        <v>local cash home buyer dream catcher</v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""&amp;$A35))"),"is we buy houses legit dream catcher")</f>
        <v>is we buy houses legit dream catcher</v>
      </c>
      <c r="L35" s="13"/>
      <c r="M35" s="13" t="str">
        <f>IFERROR(__xludf.DUMMYFUNCTION("""COMPUTED_VALUE"""),"sell house fsbo vs cash buyer complaints")</f>
        <v>sell house fsbo vs cash buyer complaints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2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""&amp;$A36))"),"")</f>
        <v/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""&amp;$A36))"),"")</f>
        <v/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""&amp;$A36))"),"")</f>
        <v/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""&amp;$A36))"),"")</f>
        <v/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""&amp;$A36))"),"")</f>
        <v/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""&amp;$A36))"),"")</f>
        <v/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""&amp;$A36))"),"")</f>
        <v/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""&amp;$A36))"),"")</f>
        <v/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""&amp;$A36))"),"")</f>
        <v/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""&amp;$A36))"),"")</f>
        <v/>
      </c>
      <c r="L36" s="13"/>
      <c r="M36" s="13" t="str">
        <f>IFERROR(__xludf.DUMMYFUNCTION("""COMPUTED_VALUE"""),"we buy houses reviews complaints")</f>
        <v>we buy houses reviews complaints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3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""&amp;$A37))"),"")</f>
        <v/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""&amp;$A37))"),"")</f>
        <v/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""&amp;$A37))"),"")</f>
        <v/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""&amp;$A37))"),"")</f>
        <v/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""&amp;$A37))"),"")</f>
        <v/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""&amp;$A37))"),"")</f>
        <v/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""&amp;$A37))"),"")</f>
        <v/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""&amp;$A37))"),"")</f>
        <v/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""&amp;$A37))"),"")</f>
        <v/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""&amp;$A37))"),"")</f>
        <v/>
      </c>
      <c r="L37" s="13"/>
      <c r="M37" s="13" t="str">
        <f>IFERROR(__xludf.DUMMYFUNCTION("""COMPUTED_VALUE"""),"legit cash home buyer complaints")</f>
        <v>legit cash home buyer complaints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3" t="str">
        <f>IFERROR(__xludf.DUMMYFUNCTION("IF($A38="""","""",IF(OR(REGEXMATCH(LOWER(B$1),""(^| )""&amp;LOWER($A38)&amp;""($| )""),AND(RIGHT(LOWER($A38),1)=""s"",REGEXMATCH(LOWER(B$1),""(^| )""&amp;LEFT(LOWER($A38),LEN($A38)-1)&amp;""($| )""))),B$1,B$1&amp;"" ""&amp;$A38))"),"")</f>
        <v/>
      </c>
      <c r="C38" s="13" t="str">
        <f>IFERROR(__xludf.DUMMYFUNCTION("IF($A38="""","""",IF(OR(REGEXMATCH(LOWER(C$1),""(^| )""&amp;LOWER($A38)&amp;""($| )""),AND(RIGHT(LOWER($A38),1)=""s"",REGEXMATCH(LOWER(C$1),""(^| )""&amp;LEFT(LOWER($A38),LEN($A38)-1)&amp;""($| )""))),C$1,C$1&amp;"" ""&amp;$A38))"),"")</f>
        <v/>
      </c>
      <c r="D38" s="13" t="str">
        <f>IFERROR(__xludf.DUMMYFUNCTION("IF($A38="""","""",IF(OR(REGEXMATCH(LOWER(D$1),""(^| )""&amp;LOWER($A38)&amp;""($| )""),AND(RIGHT(LOWER($A38),1)=""s"",REGEXMATCH(LOWER(D$1),""(^| )""&amp;LEFT(LOWER($A38),LEN($A38)-1)&amp;""($| )""))),D$1,D$1&amp;"" ""&amp;$A38))"),"")</f>
        <v/>
      </c>
      <c r="E38" s="13" t="str">
        <f>IFERROR(__xludf.DUMMYFUNCTION("IF($A38="""","""",IF(OR(REGEXMATCH(LOWER(E$1),""(^| )""&amp;LOWER($A38)&amp;""($| )""),AND(RIGHT(LOWER($A38),1)=""s"",REGEXMATCH(LOWER(E$1),""(^| )""&amp;LEFT(LOWER($A38),LEN($A38)-1)&amp;""($| )""))),E$1,E$1&amp;"" ""&amp;$A38))"),"")</f>
        <v/>
      </c>
      <c r="F38" s="13" t="str">
        <f>IFERROR(__xludf.DUMMYFUNCTION("IF($A38="""","""",IF(OR(REGEXMATCH(LOWER(F$1),""(^| )""&amp;LOWER($A38)&amp;""($| )""),AND(RIGHT(LOWER($A38),1)=""s"",REGEXMATCH(LOWER(F$1),""(^| )""&amp;LEFT(LOWER($A38),LEN($A38)-1)&amp;""($| )""))),F$1,F$1&amp;"" ""&amp;$A38))"),"")</f>
        <v/>
      </c>
      <c r="G38" s="13" t="str">
        <f>IFERROR(__xludf.DUMMYFUNCTION("IF($A38="""","""",IF(OR(REGEXMATCH(LOWER(G$1),""(^| )""&amp;LOWER($A38)&amp;""($| )""),AND(RIGHT(LOWER($A38),1)=""s"",REGEXMATCH(LOWER(G$1),""(^| )""&amp;LEFT(LOWER($A38),LEN($A38)-1)&amp;""($| )""))),G$1,G$1&amp;"" ""&amp;$A38))"),"")</f>
        <v/>
      </c>
      <c r="H38" s="13" t="str">
        <f>IFERROR(__xludf.DUMMYFUNCTION("IF($A38="""","""",IF(OR(REGEXMATCH(LOWER(H$1),""(^| )""&amp;LOWER($A38)&amp;""($| )""),AND(RIGHT(LOWER($A38),1)=""s"",REGEXMATCH(LOWER(H$1),""(^| )""&amp;LEFT(LOWER($A38),LEN($A38)-1)&amp;""($| )""))),H$1,H$1&amp;"" ""&amp;$A38))"),"")</f>
        <v/>
      </c>
      <c r="I38" s="13" t="str">
        <f>IFERROR(__xludf.DUMMYFUNCTION("IF($A38="""","""",IF(OR(REGEXMATCH(LOWER(I$1),""(^| )""&amp;LOWER($A38)&amp;""($| )""),AND(RIGHT(LOWER($A38),1)=""s"",REGEXMATCH(LOWER(I$1),""(^| )""&amp;LEFT(LOWER($A38),LEN($A38)-1)&amp;""($| )""))),I$1,I$1&amp;"" ""&amp;$A38))"),"")</f>
        <v/>
      </c>
      <c r="J38" s="13" t="str">
        <f>IFERROR(__xludf.DUMMYFUNCTION("IF($A38="""","""",IF(OR(REGEXMATCH(LOWER(J$1),""(^| )""&amp;LOWER($A38)&amp;""($| )""),AND(RIGHT(LOWER($A38),1)=""s"",REGEXMATCH(LOWER(J$1),""(^| )""&amp;LEFT(LOWER($A38),LEN($A38)-1)&amp;""($| )""))),J$1,J$1&amp;"" ""&amp;$A38))"),"")</f>
        <v/>
      </c>
      <c r="K38" s="13" t="str">
        <f>IFERROR(__xludf.DUMMYFUNCTION("IF($A38="""","""",IF(OR(REGEXMATCH(LOWER(K$1),""(^| )""&amp;LOWER($A38)&amp;""($| )""),AND(RIGHT(LOWER($A38),1)=""s"",REGEXMATCH(LOWER(K$1),""(^| )""&amp;LEFT(LOWER($A38),LEN($A38)-1)&amp;""($| )""))),K$1,K$1&amp;"" ""&amp;$A38))"),"")</f>
        <v/>
      </c>
      <c r="L38" s="13"/>
      <c r="M38" s="13" t="str">
        <f>IFERROR(__xludf.DUMMYFUNCTION("""COMPUTED_VALUE"""),"reputable cash home buyer complaints")</f>
        <v>reputable cash home buyer complaints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3" t="str">
        <f>IFERROR(__xludf.DUMMYFUNCTION("IF($A39="""","""",IF(OR(REGEXMATCH(LOWER(B$1),""(^| )""&amp;LOWER($A39)&amp;""($| )""),AND(RIGHT(LOWER($A39),1)=""s"",REGEXMATCH(LOWER(B$1),""(^| )""&amp;LEFT(LOWER($A39),LEN($A39)-1)&amp;""($| )""))),B$1,B$1&amp;"" ""&amp;$A39))"),"")</f>
        <v/>
      </c>
      <c r="C39" s="13" t="str">
        <f>IFERROR(__xludf.DUMMYFUNCTION("IF($A39="""","""",IF(OR(REGEXMATCH(LOWER(C$1),""(^| )""&amp;LOWER($A39)&amp;""($| )""),AND(RIGHT(LOWER($A39),1)=""s"",REGEXMATCH(LOWER(C$1),""(^| )""&amp;LEFT(LOWER($A39),LEN($A39)-1)&amp;""($| )""))),C$1,C$1&amp;"" ""&amp;$A39))"),"")</f>
        <v/>
      </c>
      <c r="D39" s="13" t="str">
        <f>IFERROR(__xludf.DUMMYFUNCTION("IF($A39="""","""",IF(OR(REGEXMATCH(LOWER(D$1),""(^| )""&amp;LOWER($A39)&amp;""($| )""),AND(RIGHT(LOWER($A39),1)=""s"",REGEXMATCH(LOWER(D$1),""(^| )""&amp;LEFT(LOWER($A39),LEN($A39)-1)&amp;""($| )""))),D$1,D$1&amp;"" ""&amp;$A39))"),"")</f>
        <v/>
      </c>
      <c r="E39" s="13" t="str">
        <f>IFERROR(__xludf.DUMMYFUNCTION("IF($A39="""","""",IF(OR(REGEXMATCH(LOWER(E$1),""(^| )""&amp;LOWER($A39)&amp;""($| )""),AND(RIGHT(LOWER($A39),1)=""s"",REGEXMATCH(LOWER(E$1),""(^| )""&amp;LEFT(LOWER($A39),LEN($A39)-1)&amp;""($| )""))),E$1,E$1&amp;"" ""&amp;$A39))"),"")</f>
        <v/>
      </c>
      <c r="F39" s="13" t="str">
        <f>IFERROR(__xludf.DUMMYFUNCTION("IF($A39="""","""",IF(OR(REGEXMATCH(LOWER(F$1),""(^| )""&amp;LOWER($A39)&amp;""($| )""),AND(RIGHT(LOWER($A39),1)=""s"",REGEXMATCH(LOWER(F$1),""(^| )""&amp;LEFT(LOWER($A39),LEN($A39)-1)&amp;""($| )""))),F$1,F$1&amp;"" ""&amp;$A39))"),"")</f>
        <v/>
      </c>
      <c r="G39" s="13" t="str">
        <f>IFERROR(__xludf.DUMMYFUNCTION("IF($A39="""","""",IF(OR(REGEXMATCH(LOWER(G$1),""(^| )""&amp;LOWER($A39)&amp;""($| )""),AND(RIGHT(LOWER($A39),1)=""s"",REGEXMATCH(LOWER(G$1),""(^| )""&amp;LEFT(LOWER($A39),LEN($A39)-1)&amp;""($| )""))),G$1,G$1&amp;"" ""&amp;$A39))"),"")</f>
        <v/>
      </c>
      <c r="H39" s="13" t="str">
        <f>IFERROR(__xludf.DUMMYFUNCTION("IF($A39="""","""",IF(OR(REGEXMATCH(LOWER(H$1),""(^| )""&amp;LOWER($A39)&amp;""($| )""),AND(RIGHT(LOWER($A39),1)=""s"",REGEXMATCH(LOWER(H$1),""(^| )""&amp;LEFT(LOWER($A39),LEN($A39)-1)&amp;""($| )""))),H$1,H$1&amp;"" ""&amp;$A39))"),"")</f>
        <v/>
      </c>
      <c r="I39" s="13" t="str">
        <f>IFERROR(__xludf.DUMMYFUNCTION("IF($A39="""","""",IF(OR(REGEXMATCH(LOWER(I$1),""(^| )""&amp;LOWER($A39)&amp;""($| )""),AND(RIGHT(LOWER($A39),1)=""s"",REGEXMATCH(LOWER(I$1),""(^| )""&amp;LEFT(LOWER($A39),LEN($A39)-1)&amp;""($| )""))),I$1,I$1&amp;"" ""&amp;$A39))"),"")</f>
        <v/>
      </c>
      <c r="J39" s="13" t="str">
        <f>IFERROR(__xludf.DUMMYFUNCTION("IF($A39="""","""",IF(OR(REGEXMATCH(LOWER(J$1),""(^| )""&amp;LOWER($A39)&amp;""($| )""),AND(RIGHT(LOWER($A39),1)=""s"",REGEXMATCH(LOWER(J$1),""(^| )""&amp;LEFT(LOWER($A39),LEN($A39)-1)&amp;""($| )""))),J$1,J$1&amp;"" ""&amp;$A39))"),"")</f>
        <v/>
      </c>
      <c r="K39" s="13" t="str">
        <f>IFERROR(__xludf.DUMMYFUNCTION("IF($A39="""","""",IF(OR(REGEXMATCH(LOWER(K$1),""(^| )""&amp;LOWER($A39)&amp;""($| )""),AND(RIGHT(LOWER($A39),1)=""s"",REGEXMATCH(LOWER(K$1),""(^| )""&amp;LEFT(LOWER($A39),LEN($A39)-1)&amp;""($| )""))),K$1,K$1&amp;"" ""&amp;$A39))"),"")</f>
        <v/>
      </c>
      <c r="L39" s="13"/>
      <c r="M39" s="13" t="str">
        <f>IFERROR(__xludf.DUMMYFUNCTION("""COMPUTED_VALUE"""),"trusted home buyer complaints")</f>
        <v>trusted home buyer complaints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IFERROR(__xludf.DUMMYFUNCTION("""COMPUTED_VALUE"""),"best cash home buyer complaints")</f>
        <v>best cash home buyer complaints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IFERROR(__xludf.DUMMYFUNCTION("""COMPUTED_VALUE"""),"local cash home buyer complaints")</f>
        <v>local cash home buyer complaints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IFERROR(__xludf.DUMMYFUNCTION("""COMPUTED_VALUE"""),"is we buy houses legit complaints")</f>
        <v>is we buy houses legit complaints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IFERROR(__xludf.DUMMYFUNCTION("""COMPUTED_VALUE"""),"cash buyer vs realtor BBB")</f>
        <v>cash buyer vs realtor BBB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IFERROR(__xludf.DUMMYFUNCTION("""COMPUTED_VALUE"""),"sell to investor vs realtor BBB")</f>
        <v>sell to investor vs realtor BBB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IFERROR(__xludf.DUMMYFUNCTION("""COMPUTED_VALUE"""),"sell house fsbo vs cash buyer BBB")</f>
        <v>sell house fsbo vs cash buyer BBB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IFERROR(__xludf.DUMMYFUNCTION("""COMPUTED_VALUE"""),"we buy houses reviews BBB")</f>
        <v>we buy houses reviews BBB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IFERROR(__xludf.DUMMYFUNCTION("""COMPUTED_VALUE"""),"legit cash home buyer BBB")</f>
        <v>legit cash home buyer BBB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IFERROR(__xludf.DUMMYFUNCTION("""COMPUTED_VALUE"""),"reputable cash home buyer BBB")</f>
        <v>reputable cash home buyer BBB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IFERROR(__xludf.DUMMYFUNCTION("""COMPUTED_VALUE"""),"trusted home buyer BBB")</f>
        <v>trusted home buyer BBB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IFERROR(__xludf.DUMMYFUNCTION("""COMPUTED_VALUE"""),"best cash home buyer BBB")</f>
        <v>best cash home buyer BBB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IFERROR(__xludf.DUMMYFUNCTION("""COMPUTED_VALUE"""),"local cash home buyer BBB")</f>
        <v>local cash home buyer BBB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IFERROR(__xludf.DUMMYFUNCTION("""COMPUTED_VALUE"""),"is we buy houses legit BBB")</f>
        <v>is we buy houses legit BBB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IFERROR(__xludf.DUMMYFUNCTION("""COMPUTED_VALUE"""),"cash buyer vs realtor scam")</f>
        <v>cash buyer vs realtor scam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IFERROR(__xludf.DUMMYFUNCTION("""COMPUTED_VALUE"""),"sell to investor vs realtor scam")</f>
        <v>sell to investor vs realtor scam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6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IFERROR(__xludf.DUMMYFUNCTION("""COMPUTED_VALUE"""),"sell house fsbo vs cash buyer scam")</f>
        <v>sell house fsbo vs cash buyer scam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6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IFERROR(__xludf.DUMMYFUNCTION("""COMPUTED_VALUE"""),"we buy houses reviews scam")</f>
        <v>we buy houses reviews scam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IFERROR(__xludf.DUMMYFUNCTION("""COMPUTED_VALUE"""),"legit cash home buyer scam")</f>
        <v>legit cash home buyer scam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IFERROR(__xludf.DUMMYFUNCTION("""COMPUTED_VALUE"""),"reputable cash home buyer scam")</f>
        <v>reputable cash home buyer scam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IFERROR(__xludf.DUMMYFUNCTION("""COMPUTED_VALUE"""),"trusted home buyer scam")</f>
        <v>trusted home buyer scam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IFERROR(__xludf.DUMMYFUNCTION("""COMPUTED_VALUE"""),"best cash home buyer scam")</f>
        <v>best cash home buyer scam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IFERROR(__xludf.DUMMYFUNCTION("""COMPUTED_VALUE"""),"local cash home buyer scam")</f>
        <v>local cash home buyer scam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IFERROR(__xludf.DUMMYFUNCTION("""COMPUTED_VALUE"""),"is we buy houses legit scam")</f>
        <v>is we buy houses legit scam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IFERROR(__xludf.DUMMYFUNCTION("""COMPUTED_VALUE"""),"cash buyer vs realtor legit")</f>
        <v>cash buyer vs realtor legit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IFERROR(__xludf.DUMMYFUNCTION("""COMPUTED_VALUE"""),"sell to investor vs realtor legit")</f>
        <v>sell to investor vs realtor legit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IFERROR(__xludf.DUMMYFUNCTION("""COMPUTED_VALUE"""),"sell house fsbo vs cash buyer legit")</f>
        <v>sell house fsbo vs cash buyer legit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IFERROR(__xludf.DUMMYFUNCTION("""COMPUTED_VALUE"""),"we buy houses reviews legit")</f>
        <v>we buy houses reviews legit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IFERROR(__xludf.DUMMYFUNCTION("""COMPUTED_VALUE"""),"legit cash home buyer")</f>
        <v>legit cash home buyer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IFERROR(__xludf.DUMMYFUNCTION("""COMPUTED_VALUE"""),"reputable cash home buyer legit")</f>
        <v>reputable cash home buyer legit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IFERROR(__xludf.DUMMYFUNCTION("""COMPUTED_VALUE"""),"trusted home buyer legit")</f>
        <v>trusted home buyer legit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IFERROR(__xludf.DUMMYFUNCTION("""COMPUTED_VALUE"""),"best cash home buyer legit")</f>
        <v>best cash home buyer legit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IFERROR(__xludf.DUMMYFUNCTION("""COMPUTED_VALUE"""),"local cash home buyer legit")</f>
        <v>local cash home buyer legit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IFERROR(__xludf.DUMMYFUNCTION("""COMPUTED_VALUE"""),"is we buy houses legit")</f>
        <v>is we buy houses legit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IFERROR(__xludf.DUMMYFUNCTION("""COMPUTED_VALUE"""),"cash buyer vs realtor legitimate")</f>
        <v>cash buyer vs realtor legitimate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IFERROR(__xludf.DUMMYFUNCTION("""COMPUTED_VALUE"""),"sell to investor vs realtor legitimate")</f>
        <v>sell to investor vs realtor legitimate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IFERROR(__xludf.DUMMYFUNCTION("""COMPUTED_VALUE"""),"sell house fsbo vs cash buyer legitimate")</f>
        <v>sell house fsbo vs cash buyer legitimate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IFERROR(__xludf.DUMMYFUNCTION("""COMPUTED_VALUE"""),"we buy houses reviews legitimate")</f>
        <v>we buy houses reviews legitimate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IFERROR(__xludf.DUMMYFUNCTION("""COMPUTED_VALUE"""),"legit cash home buyer legitimate")</f>
        <v>legit cash home buyer legitimate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IFERROR(__xludf.DUMMYFUNCTION("""COMPUTED_VALUE"""),"reputable cash home buyer legitimate")</f>
        <v>reputable cash home buyer legitimate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IFERROR(__xludf.DUMMYFUNCTION("""COMPUTED_VALUE"""),"trusted home buyer legitimate")</f>
        <v>trusted home buyer legitimate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IFERROR(__xludf.DUMMYFUNCTION("""COMPUTED_VALUE"""),"best cash home buyer legitimate")</f>
        <v>best cash home buyer legitimate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IFERROR(__xludf.DUMMYFUNCTION("""COMPUTED_VALUE"""),"local cash home buyer legitimate")</f>
        <v>local cash home buyer legitimate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IFERROR(__xludf.DUMMYFUNCTION("""COMPUTED_VALUE"""),"is we buy houses legit legitimate")</f>
        <v>is we buy houses legit legitimate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IFERROR(__xludf.DUMMYFUNCTION("""COMPUTED_VALUE"""),"cash buyer vs realtor reputable")</f>
        <v>cash buyer vs realtor reputable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IFERROR(__xludf.DUMMYFUNCTION("""COMPUTED_VALUE"""),"sell to investor vs realtor reputable")</f>
        <v>sell to investor vs realtor reputable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IFERROR(__xludf.DUMMYFUNCTION("""COMPUTED_VALUE"""),"sell house fsbo vs cash buyer reputable")</f>
        <v>sell house fsbo vs cash buyer reputable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IFERROR(__xludf.DUMMYFUNCTION("""COMPUTED_VALUE"""),"we buy houses reviews reputable")</f>
        <v>we buy houses reviews reputable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IFERROR(__xludf.DUMMYFUNCTION("""COMPUTED_VALUE"""),"legit cash home buyer reputable")</f>
        <v>legit cash home buyer reputable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IFERROR(__xludf.DUMMYFUNCTION("""COMPUTED_VALUE"""),"reputable cash home buyer")</f>
        <v>reputable cash home buyer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IFERROR(__xludf.DUMMYFUNCTION("""COMPUTED_VALUE"""),"trusted home buyer reputable")</f>
        <v>trusted home buyer reputable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IFERROR(__xludf.DUMMYFUNCTION("""COMPUTED_VALUE"""),"best cash home buyer reputable")</f>
        <v>best cash home buyer reputable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IFERROR(__xludf.DUMMYFUNCTION("""COMPUTED_VALUE"""),"local cash home buyer reputable")</f>
        <v>local cash home buyer reputable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IFERROR(__xludf.DUMMYFUNCTION("""COMPUTED_VALUE"""),"is we buy houses legit reputable")</f>
        <v>is we buy houses legit reputable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IFERROR(__xludf.DUMMYFUNCTION("""COMPUTED_VALUE"""),"cash buyer vs realtor trusted")</f>
        <v>cash buyer vs realtor trusted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IFERROR(__xludf.DUMMYFUNCTION("""COMPUTED_VALUE"""),"sell to investor vs realtor trusted")</f>
        <v>sell to investor vs realtor trusted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IFERROR(__xludf.DUMMYFUNCTION("""COMPUTED_VALUE"""),"sell house fsbo vs cash buyer trusted")</f>
        <v>sell house fsbo vs cash buyer trusted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IFERROR(__xludf.DUMMYFUNCTION("""COMPUTED_VALUE"""),"we buy houses reviews trusted")</f>
        <v>we buy houses reviews trusted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IFERROR(__xludf.DUMMYFUNCTION("""COMPUTED_VALUE"""),"legit cash home buyer trusted")</f>
        <v>legit cash home buyer trusted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IFERROR(__xludf.DUMMYFUNCTION("""COMPUTED_VALUE"""),"reputable cash home buyer trusted")</f>
        <v>reputable cash home buyer trusted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IFERROR(__xludf.DUMMYFUNCTION("""COMPUTED_VALUE"""),"trusted home buyer")</f>
        <v>trusted home buyer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IFERROR(__xludf.DUMMYFUNCTION("""COMPUTED_VALUE"""),"best cash home buyer trusted")</f>
        <v>best cash home buyer trusted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IFERROR(__xludf.DUMMYFUNCTION("""COMPUTED_VALUE"""),"local cash home buyer trusted")</f>
        <v>local cash home buyer trusted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IFERROR(__xludf.DUMMYFUNCTION("""COMPUTED_VALUE"""),"is we buy houses legit trusted")</f>
        <v>is we buy houses legit trusted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IFERROR(__xludf.DUMMYFUNCTION("""COMPUTED_VALUE"""),"cash buyer vs realtor top rated")</f>
        <v>cash buyer vs realtor top rated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IFERROR(__xludf.DUMMYFUNCTION("""COMPUTED_VALUE"""),"sell to investor vs realtor top rated")</f>
        <v>sell to investor vs realtor top rated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IFERROR(__xludf.DUMMYFUNCTION("""COMPUTED_VALUE"""),"sell house fsbo vs cash buyer top rated")</f>
        <v>sell house fsbo vs cash buyer top rated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IFERROR(__xludf.DUMMYFUNCTION("""COMPUTED_VALUE"""),"we buy houses reviews top rated")</f>
        <v>we buy houses reviews top rated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IFERROR(__xludf.DUMMYFUNCTION("""COMPUTED_VALUE"""),"legit cash home buyer top rated")</f>
        <v>legit cash home buyer top rated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IFERROR(__xludf.DUMMYFUNCTION("""COMPUTED_VALUE"""),"reputable cash home buyer top rated")</f>
        <v>reputable cash home buyer top rated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IFERROR(__xludf.DUMMYFUNCTION("""COMPUTED_VALUE"""),"trusted home buyer top rated")</f>
        <v>trusted home buyer top rated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IFERROR(__xludf.DUMMYFUNCTION("""COMPUTED_VALUE"""),"best cash home buyer top rated")</f>
        <v>best cash home buyer top rated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IFERROR(__xludf.DUMMYFUNCTION("""COMPUTED_VALUE"""),"local cash home buyer top rated")</f>
        <v>local cash home buyer top rated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IFERROR(__xludf.DUMMYFUNCTION("""COMPUTED_VALUE"""),"is we buy houses legit top rated")</f>
        <v>is we buy houses legit top rated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IFERROR(__xludf.DUMMYFUNCTION("""COMPUTED_VALUE"""),"cash buyer vs realtor best")</f>
        <v>cash buyer vs realtor best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IFERROR(__xludf.DUMMYFUNCTION("""COMPUTED_VALUE"""),"sell to investor vs realtor best")</f>
        <v>sell to investor vs realtor best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IFERROR(__xludf.DUMMYFUNCTION("""COMPUTED_VALUE"""),"sell house fsbo vs cash buyer best")</f>
        <v>sell house fsbo vs cash buyer best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IFERROR(__xludf.DUMMYFUNCTION("""COMPUTED_VALUE"""),"we buy houses reviews best")</f>
        <v>we buy houses reviews best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IFERROR(__xludf.DUMMYFUNCTION("""COMPUTED_VALUE"""),"legit cash home buyer best")</f>
        <v>legit cash home buyer best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IFERROR(__xludf.DUMMYFUNCTION("""COMPUTED_VALUE"""),"reputable cash home buyer best")</f>
        <v>reputable cash home buyer best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IFERROR(__xludf.DUMMYFUNCTION("""COMPUTED_VALUE"""),"trusted home buyer best")</f>
        <v>trusted home buyer best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IFERROR(__xludf.DUMMYFUNCTION("""COMPUTED_VALUE"""),"best cash home buyer")</f>
        <v>best cash home buyer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IFERROR(__xludf.DUMMYFUNCTION("""COMPUTED_VALUE"""),"local cash home buyer best")</f>
        <v>local cash home buyer best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IFERROR(__xludf.DUMMYFUNCTION("""COMPUTED_VALUE"""),"is we buy houses legit best")</f>
        <v>is we buy houses legit best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IFERROR(__xludf.DUMMYFUNCTION("""COMPUTED_VALUE"""),"cash buyer vs realtor pros and cons")</f>
        <v>cash buyer vs realtor pros and cons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IFERROR(__xludf.DUMMYFUNCTION("""COMPUTED_VALUE"""),"sell to investor vs realtor pros and cons")</f>
        <v>sell to investor vs realtor pros and cons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IFERROR(__xludf.DUMMYFUNCTION("""COMPUTED_VALUE"""),"sell house fsbo vs cash buyer pros and cons")</f>
        <v>sell house fsbo vs cash buyer pros and cons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IFERROR(__xludf.DUMMYFUNCTION("""COMPUTED_VALUE"""),"we buy houses reviews pros and cons")</f>
        <v>we buy houses reviews pros and cons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IFERROR(__xludf.DUMMYFUNCTION("""COMPUTED_VALUE"""),"legit cash home buyer pros and cons")</f>
        <v>legit cash home buyer pros and cons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IFERROR(__xludf.DUMMYFUNCTION("""COMPUTED_VALUE"""),"reputable cash home buyer pros and cons")</f>
        <v>reputable cash home buyer pros and cons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IFERROR(__xludf.DUMMYFUNCTION("""COMPUTED_VALUE"""),"trusted home buyer pros and cons")</f>
        <v>trusted home buyer pros and cons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IFERROR(__xludf.DUMMYFUNCTION("""COMPUTED_VALUE"""),"best cash home buyer pros and cons")</f>
        <v>best cash home buyer pros and cons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IFERROR(__xludf.DUMMYFUNCTION("""COMPUTED_VALUE"""),"local cash home buyer pros and cons")</f>
        <v>local cash home buyer pros and cons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IFERROR(__xludf.DUMMYFUNCTION("""COMPUTED_VALUE"""),"is we buy houses legit pros and cons")</f>
        <v>is we buy houses legit pros and cons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IFERROR(__xludf.DUMMYFUNCTION("""COMPUTED_VALUE"""),"cash buyer vs realtor comparison")</f>
        <v>cash buyer vs realtor comparison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IFERROR(__xludf.DUMMYFUNCTION("""COMPUTED_VALUE"""),"sell to investor vs realtor comparison")</f>
        <v>sell to investor vs realtor comparison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IFERROR(__xludf.DUMMYFUNCTION("""COMPUTED_VALUE"""),"sell house fsbo vs cash buyer comparison")</f>
        <v>sell house fsbo vs cash buyer comparison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IFERROR(__xludf.DUMMYFUNCTION("""COMPUTED_VALUE"""),"we buy houses reviews comparison")</f>
        <v>we buy houses reviews comparison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IFERROR(__xludf.DUMMYFUNCTION("""COMPUTED_VALUE"""),"legit cash home buyer comparison")</f>
        <v>legit cash home buyer comparison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IFERROR(__xludf.DUMMYFUNCTION("""COMPUTED_VALUE"""),"reputable cash home buyer comparison")</f>
        <v>reputable cash home buyer comparison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IFERROR(__xludf.DUMMYFUNCTION("""COMPUTED_VALUE"""),"trusted home buyer comparison")</f>
        <v>trusted home buyer comparison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IFERROR(__xludf.DUMMYFUNCTION("""COMPUTED_VALUE"""),"best cash home buyer comparison")</f>
        <v>best cash home buyer comparison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IFERROR(__xludf.DUMMYFUNCTION("""COMPUTED_VALUE"""),"local cash home buyer comparison")</f>
        <v>local cash home buyer comparison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IFERROR(__xludf.DUMMYFUNCTION("""COMPUTED_VALUE"""),"is we buy houses legit comparison")</f>
        <v>is we buy houses legit comparison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IFERROR(__xludf.DUMMYFUNCTION("""COMPUTED_VALUE"""),"cash buyer vs realtor")</f>
        <v>cash buyer vs realtor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IFERROR(__xludf.DUMMYFUNCTION("""COMPUTED_VALUE"""),"sell to investor vs realtor")</f>
        <v>sell to investor vs realtor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IFERROR(__xludf.DUMMYFUNCTION("""COMPUTED_VALUE"""),"sell house fsbo vs cash buyer vs realtor")</f>
        <v>sell house fsbo vs cash buyer vs realtor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IFERROR(__xludf.DUMMYFUNCTION("""COMPUTED_VALUE"""),"we buy houses reviews vs realtor")</f>
        <v>we buy houses reviews vs realtor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IFERROR(__xludf.DUMMYFUNCTION("""COMPUTED_VALUE"""),"legit cash home buyer vs realtor")</f>
        <v>legit cash home buyer vs realtor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IFERROR(__xludf.DUMMYFUNCTION("""COMPUTED_VALUE"""),"reputable cash home buyer vs realtor")</f>
        <v>reputable cash home buyer vs realtor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IFERROR(__xludf.DUMMYFUNCTION("""COMPUTED_VALUE"""),"trusted home buyer vs realtor")</f>
        <v>trusted home buyer vs realtor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IFERROR(__xludf.DUMMYFUNCTION("""COMPUTED_VALUE"""),"best cash home buyer vs realtor")</f>
        <v>best cash home buyer vs realtor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IFERROR(__xludf.DUMMYFUNCTION("""COMPUTED_VALUE"""),"local cash home buyer vs realtor")</f>
        <v>local cash home buyer vs realtor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IFERROR(__xludf.DUMMYFUNCTION("""COMPUTED_VALUE"""),"is we buy houses legit vs realtor")</f>
        <v>is we buy houses legit vs realtor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IFERROR(__xludf.DUMMYFUNCTION("""COMPUTED_VALUE"""),"cash buyer vs realtor vs agent")</f>
        <v>cash buyer vs realtor vs agent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IFERROR(__xludf.DUMMYFUNCTION("""COMPUTED_VALUE"""),"sell to investor vs realtor vs agent")</f>
        <v>sell to investor vs realtor vs agent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IFERROR(__xludf.DUMMYFUNCTION("""COMPUTED_VALUE"""),"sell house fsbo vs cash buyer vs agent")</f>
        <v>sell house fsbo vs cash buyer vs agent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IFERROR(__xludf.DUMMYFUNCTION("""COMPUTED_VALUE"""),"we buy houses reviews vs agent")</f>
        <v>we buy houses reviews vs agent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IFERROR(__xludf.DUMMYFUNCTION("""COMPUTED_VALUE"""),"legit cash home buyer vs agent")</f>
        <v>legit cash home buyer vs agent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IFERROR(__xludf.DUMMYFUNCTION("""COMPUTED_VALUE"""),"reputable cash home buyer vs agent")</f>
        <v>reputable cash home buyer vs agent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IFERROR(__xludf.DUMMYFUNCTION("""COMPUTED_VALUE"""),"trusted home buyer vs agent")</f>
        <v>trusted home buyer vs agent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IFERROR(__xludf.DUMMYFUNCTION("""COMPUTED_VALUE"""),"best cash home buyer vs agent")</f>
        <v>best cash home buyer vs agent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IFERROR(__xludf.DUMMYFUNCTION("""COMPUTED_VALUE"""),"local cash home buyer vs agent")</f>
        <v>local cash home buyer vs agent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IFERROR(__xludf.DUMMYFUNCTION("""COMPUTED_VALUE"""),"is we buy houses legit vs agent")</f>
        <v>is we buy houses legit vs agent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IFERROR(__xludf.DUMMYFUNCTION("""COMPUTED_VALUE"""),"cash buyer vs realtor vs FSBO")</f>
        <v>cash buyer vs realtor vs FSBO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IFERROR(__xludf.DUMMYFUNCTION("""COMPUTED_VALUE"""),"sell to investor vs realtor vs FSBO")</f>
        <v>sell to investor vs realtor vs FSBO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IFERROR(__xludf.DUMMYFUNCTION("""COMPUTED_VALUE"""),"sell house fsbo vs cash buyer vs FSBO")</f>
        <v>sell house fsbo vs cash buyer vs FSBO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IFERROR(__xludf.DUMMYFUNCTION("""COMPUTED_VALUE"""),"we buy houses reviews vs FSBO")</f>
        <v>we buy houses reviews vs FSBO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IFERROR(__xludf.DUMMYFUNCTION("""COMPUTED_VALUE"""),"legit cash home buyer vs FSBO")</f>
        <v>legit cash home buyer vs FSBO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IFERROR(__xludf.DUMMYFUNCTION("""COMPUTED_VALUE"""),"reputable cash home buyer vs FSBO")</f>
        <v>reputable cash home buyer vs FSBO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IFERROR(__xludf.DUMMYFUNCTION("""COMPUTED_VALUE"""),"trusted home buyer vs FSBO")</f>
        <v>trusted home buyer vs FSBO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IFERROR(__xludf.DUMMYFUNCTION("""COMPUTED_VALUE"""),"best cash home buyer vs FSBO")</f>
        <v>best cash home buyer vs FSBO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IFERROR(__xludf.DUMMYFUNCTION("""COMPUTED_VALUE"""),"local cash home buyer vs FSBO")</f>
        <v>local cash home buyer vs FSBO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IFERROR(__xludf.DUMMYFUNCTION("""COMPUTED_VALUE"""),"is we buy houses legit vs FSBO")</f>
        <v>is we buy houses legit vs FSBO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IFERROR(__xludf.DUMMYFUNCTION("""COMPUTED_VALUE"""),"cash buyer vs realtor vs listing")</f>
        <v>cash buyer vs realtor vs listing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IFERROR(__xludf.DUMMYFUNCTION("""COMPUTED_VALUE"""),"sell to investor vs realtor vs listing")</f>
        <v>sell to investor vs realtor vs listing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IFERROR(__xludf.DUMMYFUNCTION("""COMPUTED_VALUE"""),"sell house fsbo vs cash buyer vs listing")</f>
        <v>sell house fsbo vs cash buyer vs listing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IFERROR(__xludf.DUMMYFUNCTION("""COMPUTED_VALUE"""),"we buy houses reviews vs listing")</f>
        <v>we buy houses reviews vs listing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IFERROR(__xludf.DUMMYFUNCTION("""COMPUTED_VALUE"""),"legit cash home buyer vs listing")</f>
        <v>legit cash home buyer vs listing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IFERROR(__xludf.DUMMYFUNCTION("""COMPUTED_VALUE"""),"reputable cash home buyer vs listing")</f>
        <v>reputable cash home buyer vs listing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IFERROR(__xludf.DUMMYFUNCTION("""COMPUTED_VALUE"""),"trusted home buyer vs listing")</f>
        <v>trusted home buyer vs listing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IFERROR(__xludf.DUMMYFUNCTION("""COMPUTED_VALUE"""),"best cash home buyer vs listing")</f>
        <v>best cash home buyer vs listing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IFERROR(__xludf.DUMMYFUNCTION("""COMPUTED_VALUE"""),"local cash home buyer vs listing")</f>
        <v>local cash home buyer vs listing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IFERROR(__xludf.DUMMYFUNCTION("""COMPUTED_VALUE"""),"is we buy houses legit vs listing")</f>
        <v>is we buy houses legit vs listing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IFERROR(__xludf.DUMMYFUNCTION("""COMPUTED_VALUE"""),"cash buyer vs realtor alternative")</f>
        <v>cash buyer vs realtor alternative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IFERROR(__xludf.DUMMYFUNCTION("""COMPUTED_VALUE"""),"sell to investor vs realtor alternative")</f>
        <v>sell to investor vs realtor alternative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IFERROR(__xludf.DUMMYFUNCTION("""COMPUTED_VALUE"""),"sell house fsbo vs cash buyer alternative")</f>
        <v>sell house fsbo vs cash buyer alternative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IFERROR(__xludf.DUMMYFUNCTION("""COMPUTED_VALUE"""),"we buy houses reviews alternative")</f>
        <v>we buy houses reviews alternative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IFERROR(__xludf.DUMMYFUNCTION("""COMPUTED_VALUE"""),"legit cash home buyer alternative")</f>
        <v>legit cash home buyer alternative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IFERROR(__xludf.DUMMYFUNCTION("""COMPUTED_VALUE"""),"reputable cash home buyer alternative")</f>
        <v>reputable cash home buyer alternative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IFERROR(__xludf.DUMMYFUNCTION("""COMPUTED_VALUE"""),"trusted home buyer alternative")</f>
        <v>trusted home buyer alternative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IFERROR(__xludf.DUMMYFUNCTION("""COMPUTED_VALUE"""),"best cash home buyer alternative")</f>
        <v>best cash home buyer alternative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IFERROR(__xludf.DUMMYFUNCTION("""COMPUTED_VALUE"""),"local cash home buyer alternative")</f>
        <v>local cash home buyer alternative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IFERROR(__xludf.DUMMYFUNCTION("""COMPUTED_VALUE"""),"is we buy houses legit alternative")</f>
        <v>is we buy houses legit alternative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IFERROR(__xludf.DUMMYFUNCTION("""COMPUTED_VALUE"""),"cash buyer vs realtor alternatives")</f>
        <v>cash buyer vs realtor alternatives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IFERROR(__xludf.DUMMYFUNCTION("""COMPUTED_VALUE"""),"sell to investor vs realtor alternatives")</f>
        <v>sell to investor vs realtor alternatives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IFERROR(__xludf.DUMMYFUNCTION("""COMPUTED_VALUE"""),"sell house fsbo vs cash buyer alternatives")</f>
        <v>sell house fsbo vs cash buyer alternatives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IFERROR(__xludf.DUMMYFUNCTION("""COMPUTED_VALUE"""),"we buy houses reviews alternatives")</f>
        <v>we buy houses reviews alternatives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IFERROR(__xludf.DUMMYFUNCTION("""COMPUTED_VALUE"""),"legit cash home buyer alternatives")</f>
        <v>legit cash home buyer alternatives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IFERROR(__xludf.DUMMYFUNCTION("""COMPUTED_VALUE"""),"reputable cash home buyer alternatives")</f>
        <v>reputable cash home buyer alternatives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IFERROR(__xludf.DUMMYFUNCTION("""COMPUTED_VALUE"""),"trusted home buyer alternatives")</f>
        <v>trusted home buyer alternatives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IFERROR(__xludf.DUMMYFUNCTION("""COMPUTED_VALUE"""),"best cash home buyer alternatives")</f>
        <v>best cash home buyer alternatives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IFERROR(__xludf.DUMMYFUNCTION("""COMPUTED_VALUE"""),"local cash home buyer alternatives")</f>
        <v>local cash home buyer alternatives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IFERROR(__xludf.DUMMYFUNCTION("""COMPUTED_VALUE"""),"is we buy houses legit alternatives")</f>
        <v>is we buy houses legit alternatives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IFERROR(__xludf.DUMMYFUNCTION("""COMPUTED_VALUE"""),"cash buyer vs realtor no pressure")</f>
        <v>cash buyer vs realtor no pressure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IFERROR(__xludf.DUMMYFUNCTION("""COMPUTED_VALUE"""),"sell to investor vs realtor no pressure")</f>
        <v>sell to investor vs realtor no pressure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IFERROR(__xludf.DUMMYFUNCTION("""COMPUTED_VALUE"""),"sell house fsbo vs cash buyer no pressure")</f>
        <v>sell house fsbo vs cash buyer no pressure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IFERROR(__xludf.DUMMYFUNCTION("""COMPUTED_VALUE"""),"we buy houses reviews no pressure")</f>
        <v>we buy houses reviews no pressure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IFERROR(__xludf.DUMMYFUNCTION("""COMPUTED_VALUE"""),"legit cash home buyer no pressure")</f>
        <v>legit cash home buyer no pressure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IFERROR(__xludf.DUMMYFUNCTION("""COMPUTED_VALUE"""),"reputable cash home buyer no pressure")</f>
        <v>reputable cash home buyer no pressure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IFERROR(__xludf.DUMMYFUNCTION("""COMPUTED_VALUE"""),"trusted home buyer no pressure")</f>
        <v>trusted home buyer no pressure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IFERROR(__xludf.DUMMYFUNCTION("""COMPUTED_VALUE"""),"best cash home buyer no pressure")</f>
        <v>best cash home buyer no pressure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IFERROR(__xludf.DUMMYFUNCTION("""COMPUTED_VALUE"""),"local cash home buyer no pressure")</f>
        <v>local cash home buyer no pressure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IFERROR(__xludf.DUMMYFUNCTION("""COMPUTED_VALUE"""),"is we buy houses legit no pressure")</f>
        <v>is we buy houses legit no pressure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IFERROR(__xludf.DUMMYFUNCTION("""COMPUTED_VALUE"""),"cash buyer vs realtor transparent")</f>
        <v>cash buyer vs realtor transparent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IFERROR(__xludf.DUMMYFUNCTION("""COMPUTED_VALUE"""),"sell to investor vs realtor transparent")</f>
        <v>sell to investor vs realtor transparent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IFERROR(__xludf.DUMMYFUNCTION("""COMPUTED_VALUE"""),"sell house fsbo vs cash buyer transparent")</f>
        <v>sell house fsbo vs cash buyer transparent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IFERROR(__xludf.DUMMYFUNCTION("""COMPUTED_VALUE"""),"we buy houses reviews transparent")</f>
        <v>we buy houses reviews transparent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IFERROR(__xludf.DUMMYFUNCTION("""COMPUTED_VALUE"""),"legit cash home buyer transparent")</f>
        <v>legit cash home buyer transparent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IFERROR(__xludf.DUMMYFUNCTION("""COMPUTED_VALUE"""),"reputable cash home buyer transparent")</f>
        <v>reputable cash home buyer transparent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IFERROR(__xludf.DUMMYFUNCTION("""COMPUTED_VALUE"""),"trusted home buyer transparent")</f>
        <v>trusted home buyer transparent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IFERROR(__xludf.DUMMYFUNCTION("""COMPUTED_VALUE"""),"best cash home buyer transparent")</f>
        <v>best cash home buyer transparent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IFERROR(__xludf.DUMMYFUNCTION("""COMPUTED_VALUE"""),"local cash home buyer transparent")</f>
        <v>local cash home buyer transparent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IFERROR(__xludf.DUMMYFUNCTION("""COMPUTED_VALUE"""),"is we buy houses legit transparent")</f>
        <v>is we buy houses legit transparent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IFERROR(__xludf.DUMMYFUNCTION("""COMPUTED_VALUE"""),"cash buyer vs realtor honest")</f>
        <v>cash buyer vs realtor honest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IFERROR(__xludf.DUMMYFUNCTION("""COMPUTED_VALUE"""),"sell to investor vs realtor honest")</f>
        <v>sell to investor vs realtor honest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IFERROR(__xludf.DUMMYFUNCTION("""COMPUTED_VALUE"""),"sell house fsbo vs cash buyer honest")</f>
        <v>sell house fsbo vs cash buyer honest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IFERROR(__xludf.DUMMYFUNCTION("""COMPUTED_VALUE"""),"we buy houses reviews honest")</f>
        <v>we buy houses reviews honest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IFERROR(__xludf.DUMMYFUNCTION("""COMPUTED_VALUE"""),"legit cash home buyer honest")</f>
        <v>legit cash home buyer honest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IFERROR(__xludf.DUMMYFUNCTION("""COMPUTED_VALUE"""),"reputable cash home buyer honest")</f>
        <v>reputable cash home buyer honest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IFERROR(__xludf.DUMMYFUNCTION("""COMPUTED_VALUE"""),"trusted home buyer honest")</f>
        <v>trusted home buyer honest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IFERROR(__xludf.DUMMYFUNCTION("""COMPUTED_VALUE"""),"best cash home buyer honest")</f>
        <v>best cash home buyer honest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IFERROR(__xludf.DUMMYFUNCTION("""COMPUTED_VALUE"""),"local cash home buyer honest")</f>
        <v>local cash home buyer honest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IFERROR(__xludf.DUMMYFUNCTION("""COMPUTED_VALUE"""),"is we buy houses legit honest")</f>
        <v>is we buy houses legit honest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IFERROR(__xludf.DUMMYFUNCTION("""COMPUTED_VALUE"""),"cash buyer vs realtor family owned")</f>
        <v>cash buyer vs realtor family owned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IFERROR(__xludf.DUMMYFUNCTION("""COMPUTED_VALUE"""),"sell to investor vs realtor family owned")</f>
        <v>sell to investor vs realtor family owned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IFERROR(__xludf.DUMMYFUNCTION("""COMPUTED_VALUE"""),"sell house fsbo vs cash buyer family owned")</f>
        <v>sell house fsbo vs cash buyer family owned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IFERROR(__xludf.DUMMYFUNCTION("""COMPUTED_VALUE"""),"we buy houses reviews family owned")</f>
        <v>we buy houses reviews family owned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IFERROR(__xludf.DUMMYFUNCTION("""COMPUTED_VALUE"""),"legit cash home buyer family owned")</f>
        <v>legit cash home buyer family owned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IFERROR(__xludf.DUMMYFUNCTION("""COMPUTED_VALUE"""),"reputable cash home buyer family owned")</f>
        <v>reputable cash home buyer family owned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IFERROR(__xludf.DUMMYFUNCTION("""COMPUTED_VALUE"""),"trusted home buyer family owned")</f>
        <v>trusted home buyer family owned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IFERROR(__xludf.DUMMYFUNCTION("""COMPUTED_VALUE"""),"best cash home buyer family owned")</f>
        <v>best cash home buyer family owned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IFERROR(__xludf.DUMMYFUNCTION("""COMPUTED_VALUE"""),"local cash home buyer family owned")</f>
        <v>local cash home buyer family owned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IFERROR(__xludf.DUMMYFUNCTION("""COMPUTED_VALUE"""),"is we buy houses legit family owned")</f>
        <v>is we buy houses legit family owned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IFERROR(__xludf.DUMMYFUNCTION("""COMPUTED_VALUE"""),"cash buyer vs realtor local company")</f>
        <v>cash buyer vs realtor local company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IFERROR(__xludf.DUMMYFUNCTION("""COMPUTED_VALUE"""),"sell to investor vs realtor local company")</f>
        <v>sell to investor vs realtor local company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IFERROR(__xludf.DUMMYFUNCTION("""COMPUTED_VALUE"""),"sell house fsbo vs cash buyer local company")</f>
        <v>sell house fsbo vs cash buyer local company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IFERROR(__xludf.DUMMYFUNCTION("""COMPUTED_VALUE"""),"we buy houses reviews local company")</f>
        <v>we buy houses reviews local company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IFERROR(__xludf.DUMMYFUNCTION("""COMPUTED_VALUE"""),"legit cash home buyer local company")</f>
        <v>legit cash home buyer local company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IFERROR(__xludf.DUMMYFUNCTION("""COMPUTED_VALUE"""),"reputable cash home buyer local company")</f>
        <v>reputable cash home buyer local company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IFERROR(__xludf.DUMMYFUNCTION("""COMPUTED_VALUE"""),"trusted home buyer local company")</f>
        <v>trusted home buyer local company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IFERROR(__xludf.DUMMYFUNCTION("""COMPUTED_VALUE"""),"best cash home buyer local company")</f>
        <v>best cash home buyer local company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IFERROR(__xludf.DUMMYFUNCTION("""COMPUTED_VALUE"""),"local cash home buyer local company")</f>
        <v>local cash home buyer local company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IFERROR(__xludf.DUMMYFUNCTION("""COMPUTED_VALUE"""),"is we buy houses legit local company")</f>
        <v>is we buy houses legit local company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IFERROR(__xludf.DUMMYFUNCTION("""COMPUTED_VALUE"""),"cash buyer vs realtor experienced")</f>
        <v>cash buyer vs realtor experienced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IFERROR(__xludf.DUMMYFUNCTION("""COMPUTED_VALUE"""),"sell to investor vs realtor experienced")</f>
        <v>sell to investor vs realtor experienced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IFERROR(__xludf.DUMMYFUNCTION("""COMPUTED_VALUE"""),"sell house fsbo vs cash buyer experienced")</f>
        <v>sell house fsbo vs cash buyer experienced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IFERROR(__xludf.DUMMYFUNCTION("""COMPUTED_VALUE"""),"we buy houses reviews experienced")</f>
        <v>we buy houses reviews experienced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IFERROR(__xludf.DUMMYFUNCTION("""COMPUTED_VALUE"""),"legit cash home buyer experienced")</f>
        <v>legit cash home buyer experienced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IFERROR(__xludf.DUMMYFUNCTION("""COMPUTED_VALUE"""),"reputable cash home buyer experienced")</f>
        <v>reputable cash home buyer experienced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IFERROR(__xludf.DUMMYFUNCTION("""COMPUTED_VALUE"""),"trusted home buyer experienced")</f>
        <v>trusted home buyer experienced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IFERROR(__xludf.DUMMYFUNCTION("""COMPUTED_VALUE"""),"best cash home buyer experienced")</f>
        <v>best cash home buyer experienced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IFERROR(__xludf.DUMMYFUNCTION("""COMPUTED_VALUE"""),"local cash home buyer experienced")</f>
        <v>local cash home buyer experienced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IFERROR(__xludf.DUMMYFUNCTION("""COMPUTED_VALUE"""),"is we buy houses legit experienced")</f>
        <v>is we buy houses legit experienced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IFERROR(__xludf.DUMMYFUNCTION("""COMPUTED_VALUE"""),"cash buyer vs realtor is it safe")</f>
        <v>cash buyer vs realtor is it safe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IFERROR(__xludf.DUMMYFUNCTION("""COMPUTED_VALUE"""),"sell to investor vs realtor is it safe")</f>
        <v>sell to investor vs realtor is it safe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IFERROR(__xludf.DUMMYFUNCTION("""COMPUTED_VALUE"""),"sell house fsbo vs cash buyer is it safe")</f>
        <v>sell house fsbo vs cash buyer is it safe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IFERROR(__xludf.DUMMYFUNCTION("""COMPUTED_VALUE"""),"we buy houses reviews is it safe")</f>
        <v>we buy houses reviews is it safe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IFERROR(__xludf.DUMMYFUNCTION("""COMPUTED_VALUE"""),"legit cash home buyer is it safe")</f>
        <v>legit cash home buyer is it safe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IFERROR(__xludf.DUMMYFUNCTION("""COMPUTED_VALUE"""),"reputable cash home buyer is it safe")</f>
        <v>reputable cash home buyer is it safe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IFERROR(__xludf.DUMMYFUNCTION("""COMPUTED_VALUE"""),"trusted home buyer is it safe")</f>
        <v>trusted home buyer is it safe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IFERROR(__xludf.DUMMYFUNCTION("""COMPUTED_VALUE"""),"best cash home buyer is it safe")</f>
        <v>best cash home buyer is it safe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IFERROR(__xludf.DUMMYFUNCTION("""COMPUTED_VALUE"""),"local cash home buyer is it safe")</f>
        <v>local cash home buyer is it safe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IFERROR(__xludf.DUMMYFUNCTION("""COMPUTED_VALUE"""),"is we buy houses legit is it safe")</f>
        <v>is we buy houses legit is it safe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IFERROR(__xludf.DUMMYFUNCTION("""COMPUTED_VALUE"""),"cash buyer vs realtor how it works")</f>
        <v>cash buyer vs realtor how it works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IFERROR(__xludf.DUMMYFUNCTION("""COMPUTED_VALUE"""),"sell to investor vs realtor how it works")</f>
        <v>sell to investor vs realtor how it works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IFERROR(__xludf.DUMMYFUNCTION("""COMPUTED_VALUE"""),"sell house fsbo vs cash buyer how it works")</f>
        <v>sell house fsbo vs cash buyer how it works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IFERROR(__xludf.DUMMYFUNCTION("""COMPUTED_VALUE"""),"we buy houses reviews how it works")</f>
        <v>we buy houses reviews how it works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IFERROR(__xludf.DUMMYFUNCTION("""COMPUTED_VALUE"""),"legit cash home buyer how it works")</f>
        <v>legit cash home buyer how it works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IFERROR(__xludf.DUMMYFUNCTION("""COMPUTED_VALUE"""),"reputable cash home buyer how it works")</f>
        <v>reputable cash home buyer how it works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IFERROR(__xludf.DUMMYFUNCTION("""COMPUTED_VALUE"""),"trusted home buyer how it works")</f>
        <v>trusted home buyer how it works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IFERROR(__xludf.DUMMYFUNCTION("""COMPUTED_VALUE"""),"best cash home buyer how it works")</f>
        <v>best cash home buyer how it works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IFERROR(__xludf.DUMMYFUNCTION("""COMPUTED_VALUE"""),"local cash home buyer how it works")</f>
        <v>local cash home buyer how it works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IFERROR(__xludf.DUMMYFUNCTION("""COMPUTED_VALUE"""),"is we buy houses legit how it works")</f>
        <v>is we buy houses legit how it works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IFERROR(__xludf.DUMMYFUNCTION("""COMPUTED_VALUE"""),"cash buyer vs realtor fees")</f>
        <v>cash buyer vs realtor fees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IFERROR(__xludf.DUMMYFUNCTION("""COMPUTED_VALUE"""),"sell to investor vs realtor fees")</f>
        <v>sell to investor vs realtor fees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IFERROR(__xludf.DUMMYFUNCTION("""COMPUTED_VALUE"""),"sell house fsbo vs cash buyer fees")</f>
        <v>sell house fsbo vs cash buyer fees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IFERROR(__xludf.DUMMYFUNCTION("""COMPUTED_VALUE"""),"we buy houses reviews fees")</f>
        <v>we buy houses reviews fees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IFERROR(__xludf.DUMMYFUNCTION("""COMPUTED_VALUE"""),"legit cash home buyer fees")</f>
        <v>legit cash home buyer fees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IFERROR(__xludf.DUMMYFUNCTION("""COMPUTED_VALUE"""),"reputable cash home buyer fees")</f>
        <v>reputable cash home buyer fees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IFERROR(__xludf.DUMMYFUNCTION("""COMPUTED_VALUE"""),"trusted home buyer fees")</f>
        <v>trusted home buyer fees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IFERROR(__xludf.DUMMYFUNCTION("""COMPUTED_VALUE"""),"best cash home buyer fees")</f>
        <v>best cash home buyer fees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IFERROR(__xludf.DUMMYFUNCTION("""COMPUTED_VALUE"""),"local cash home buyer fees")</f>
        <v>local cash home buyer fees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IFERROR(__xludf.DUMMYFUNCTION("""COMPUTED_VALUE"""),"is we buy houses legit fees")</f>
        <v>is we buy houses legit fees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IFERROR(__xludf.DUMMYFUNCTION("""COMPUTED_VALUE"""),"cash buyer vs realtor commission")</f>
        <v>cash buyer vs realtor commission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IFERROR(__xludf.DUMMYFUNCTION("""COMPUTED_VALUE"""),"sell to investor vs realtor commission")</f>
        <v>sell to investor vs realtor commission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IFERROR(__xludf.DUMMYFUNCTION("""COMPUTED_VALUE"""),"sell house fsbo vs cash buyer commission")</f>
        <v>sell house fsbo vs cash buyer commission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IFERROR(__xludf.DUMMYFUNCTION("""COMPUTED_VALUE"""),"we buy houses reviews commission")</f>
        <v>we buy houses reviews commission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IFERROR(__xludf.DUMMYFUNCTION("""COMPUTED_VALUE"""),"legit cash home buyer commission")</f>
        <v>legit cash home buyer commission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IFERROR(__xludf.DUMMYFUNCTION("""COMPUTED_VALUE"""),"reputable cash home buyer commission")</f>
        <v>reputable cash home buyer commission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IFERROR(__xludf.DUMMYFUNCTION("""COMPUTED_VALUE"""),"trusted home buyer commission")</f>
        <v>trusted home buyer commission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IFERROR(__xludf.DUMMYFUNCTION("""COMPUTED_VALUE"""),"best cash home buyer commission")</f>
        <v>best cash home buyer commission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IFERROR(__xludf.DUMMYFUNCTION("""COMPUTED_VALUE"""),"local cash home buyer commission")</f>
        <v>local cash home buyer commission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IFERROR(__xludf.DUMMYFUNCTION("""COMPUTED_VALUE"""),"is we buy houses legit commission")</f>
        <v>is we buy houses legit commission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IFERROR(__xludf.DUMMYFUNCTION("""COMPUTED_VALUE"""),"cash buyer vs realtor contract")</f>
        <v>cash buyer vs realtor contract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IFERROR(__xludf.DUMMYFUNCTION("""COMPUTED_VALUE"""),"sell to investor vs realtor contract")</f>
        <v>sell to investor vs realtor contract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IFERROR(__xludf.DUMMYFUNCTION("""COMPUTED_VALUE"""),"sell house fsbo vs cash buyer contract")</f>
        <v>sell house fsbo vs cash buyer contract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IFERROR(__xludf.DUMMYFUNCTION("""COMPUTED_VALUE"""),"we buy houses reviews contract")</f>
        <v>we buy houses reviews contract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IFERROR(__xludf.DUMMYFUNCTION("""COMPUTED_VALUE"""),"legit cash home buyer contract")</f>
        <v>legit cash home buyer contract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IFERROR(__xludf.DUMMYFUNCTION("""COMPUTED_VALUE"""),"reputable cash home buyer contract")</f>
        <v>reputable cash home buyer contract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IFERROR(__xludf.DUMMYFUNCTION("""COMPUTED_VALUE"""),"trusted home buyer contract")</f>
        <v>trusted home buyer contract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IFERROR(__xludf.DUMMYFUNCTION("""COMPUTED_VALUE"""),"best cash home buyer contract")</f>
        <v>best cash home buyer contract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IFERROR(__xludf.DUMMYFUNCTION("""COMPUTED_VALUE"""),"local cash home buyer contract")</f>
        <v>local cash home buyer contract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IFERROR(__xludf.DUMMYFUNCTION("""COMPUTED_VALUE"""),"is we buy houses legit contract")</f>
        <v>is we buy houses legit contract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IFERROR(__xludf.DUMMYFUNCTION("""COMPUTED_VALUE"""),"cash buyer vs realtor seller reviews")</f>
        <v>cash buyer vs realtor seller reviews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IFERROR(__xludf.DUMMYFUNCTION("""COMPUTED_VALUE"""),"sell to investor vs realtor seller reviews")</f>
        <v>sell to investor vs realtor seller reviews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IFERROR(__xludf.DUMMYFUNCTION("""COMPUTED_VALUE"""),"sell house fsbo vs cash buyer seller reviews")</f>
        <v>sell house fsbo vs cash buyer seller reviews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IFERROR(__xludf.DUMMYFUNCTION("""COMPUTED_VALUE"""),"we buy houses reviews seller reviews")</f>
        <v>we buy houses reviews seller reviews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IFERROR(__xludf.DUMMYFUNCTION("""COMPUTED_VALUE"""),"legit cash home buyer seller reviews")</f>
        <v>legit cash home buyer seller reviews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IFERROR(__xludf.DUMMYFUNCTION("""COMPUTED_VALUE"""),"reputable cash home buyer seller reviews")</f>
        <v>reputable cash home buyer seller reviews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IFERROR(__xludf.DUMMYFUNCTION("""COMPUTED_VALUE"""),"trusted home buyer seller reviews")</f>
        <v>trusted home buyer seller reviews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IFERROR(__xludf.DUMMYFUNCTION("""COMPUTED_VALUE"""),"best cash home buyer seller reviews")</f>
        <v>best cash home buyer seller reviews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IFERROR(__xludf.DUMMYFUNCTION("""COMPUTED_VALUE"""),"local cash home buyer seller reviews")</f>
        <v>local cash home buyer seller reviews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IFERROR(__xludf.DUMMYFUNCTION("""COMPUTED_VALUE"""),"is we buy houses legit seller reviews")</f>
        <v>is we buy houses legit seller reviews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IFERROR(__xludf.DUMMYFUNCTION("""COMPUTED_VALUE"""),"cash buyer vs realtor dream catcher")</f>
        <v>cash buyer vs realtor dream catcher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IFERROR(__xludf.DUMMYFUNCTION("""COMPUTED_VALUE"""),"sell to investor vs realtor dream catcher")</f>
        <v>sell to investor vs realtor dream catcher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IFERROR(__xludf.DUMMYFUNCTION("""COMPUTED_VALUE"""),"sell house fsbo vs cash buyer dream catcher")</f>
        <v>sell house fsbo vs cash buyer dream catcher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IFERROR(__xludf.DUMMYFUNCTION("""COMPUTED_VALUE"""),"we buy houses reviews dream catcher")</f>
        <v>we buy houses reviews dream catcher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IFERROR(__xludf.DUMMYFUNCTION("""COMPUTED_VALUE"""),"legit cash home buyer dream catcher")</f>
        <v>legit cash home buyer dream catcher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IFERROR(__xludf.DUMMYFUNCTION("""COMPUTED_VALUE"""),"reputable cash home buyer dream catcher")</f>
        <v>reputable cash home buyer dream catcher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IFERROR(__xludf.DUMMYFUNCTION("""COMPUTED_VALUE"""),"trusted home buyer dream catcher")</f>
        <v>trusted home buyer dream catcher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IFERROR(__xludf.DUMMYFUNCTION("""COMPUTED_VALUE"""),"best cash home buyer dream catcher")</f>
        <v>best cash home buyer dream catcher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IFERROR(__xludf.DUMMYFUNCTION("""COMPUTED_VALUE"""),"local cash home buyer dream catcher")</f>
        <v>local cash home buyer dream catcher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IFERROR(__xludf.DUMMYFUNCTION("""COMPUTED_VALUE"""),"is we buy houses legit dream catcher")</f>
        <v>is we buy houses legit dream catcher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 t="str">
        <f>IFERROR(__xludf.DUMMYFUNCTION("""COMPUTED_VALUE"""),"")</f>
        <v/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 t="str">
        <f>IFERROR(__xludf.DUMMYFUNCTION("""COMPUTED_VALUE"""),"")</f>
        <v/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 t="str">
        <f>IFERROR(__xludf.DUMMYFUNCTION("""COMPUTED_VALUE"""),"")</f>
        <v/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 t="str">
        <f>IFERROR(__xludf.DUMMYFUNCTION("""COMPUTED_VALUE"""),"")</f>
        <v/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 t="str">
        <f>IFERROR(__xludf.DUMMYFUNCTION("""COMPUTED_VALUE"""),"")</f>
        <v/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 t="str">
        <f>IFERROR(__xludf.DUMMYFUNCTION("""COMPUTED_VALUE"""),"")</f>
        <v/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 t="str">
        <f>IFERROR(__xludf.DUMMYFUNCTION("""COMPUTED_VALUE"""),"")</f>
        <v/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 t="str">
        <f>IFERROR(__xludf.DUMMYFUNCTION("""COMPUTED_VALUE"""),"")</f>
        <v/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 t="str">
        <f>IFERROR(__xludf.DUMMYFUNCTION("""COMPUTED_VALUE"""),"")</f>
        <v/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 t="str">
        <f>IFERROR(__xludf.DUMMYFUNCTION("""COMPUTED_VALUE"""),"")</f>
        <v/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 t="str">
        <f>IFERROR(__xludf.DUMMYFUNCTION("""COMPUTED_VALUE"""),"")</f>
        <v/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 t="str">
        <f>IFERROR(__xludf.DUMMYFUNCTION("""COMPUTED_VALUE"""),"")</f>
        <v/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 t="str">
        <f>IFERROR(__xludf.DUMMYFUNCTION("""COMPUTED_VALUE"""),"")</f>
        <v/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 t="str">
        <f>IFERROR(__xludf.DUMMYFUNCTION("""COMPUTED_VALUE"""),"")</f>
        <v/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 t="str">
        <f>IFERROR(__xludf.DUMMYFUNCTION("""COMPUTED_VALUE"""),"")</f>
        <v/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 t="str">
        <f>IFERROR(__xludf.DUMMYFUNCTION("""COMPUTED_VALUE"""),"")</f>
        <v/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 t="str">
        <f>IFERROR(__xludf.DUMMYFUNCTION("""COMPUTED_VALUE"""),"")</f>
        <v/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 t="str">
        <f>IFERROR(__xludf.DUMMYFUNCTION("""COMPUTED_VALUE"""),"")</f>
        <v/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 t="str">
        <f>IFERROR(__xludf.DUMMYFUNCTION("""COMPUTED_VALUE"""),"")</f>
        <v/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 t="str">
        <f>IFERROR(__xludf.DUMMYFUNCTION("""COMPUTED_VALUE"""),"")</f>
        <v/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 t="str">
        <f>IFERROR(__xludf.DUMMYFUNCTION("""COMPUTED_VALUE"""),"")</f>
        <v/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 t="str">
        <f>IFERROR(__xludf.DUMMYFUNCTION("""COMPUTED_VALUE"""),"")</f>
        <v/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 t="str">
        <f>IFERROR(__xludf.DUMMYFUNCTION("""COMPUTED_VALUE"""),"")</f>
        <v/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 t="str">
        <f>IFERROR(__xludf.DUMMYFUNCTION("""COMPUTED_VALUE"""),"")</f>
        <v/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 t="str">
        <f>IFERROR(__xludf.DUMMYFUNCTION("""COMPUTED_VALUE"""),"")</f>
        <v/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 t="str">
        <f>IFERROR(__xludf.DUMMYFUNCTION("""COMPUTED_VALUE"""),"")</f>
        <v/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 t="str">
        <f>IFERROR(__xludf.DUMMYFUNCTION("""COMPUTED_VALUE"""),"")</f>
        <v/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 t="str">
        <f>IFERROR(__xludf.DUMMYFUNCTION("""COMPUTED_VALUE"""),"")</f>
        <v/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 t="str">
        <f>IFERROR(__xludf.DUMMYFUNCTION("""COMPUTED_VALUE"""),"")</f>
        <v/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 t="str">
        <f>IFERROR(__xludf.DUMMYFUNCTION("""COMPUTED_VALUE"""),"")</f>
        <v/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 t="str">
        <f>IFERROR(__xludf.DUMMYFUNCTION("""COMPUTED_VALUE"""),"")</f>
        <v/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 t="str">
        <f>IFERROR(__xludf.DUMMYFUNCTION("""COMPUTED_VALUE"""),"")</f>
        <v/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 t="str">
        <f>IFERROR(__xludf.DUMMYFUNCTION("""COMPUTED_VALUE"""),"")</f>
        <v/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 t="str">
        <f>IFERROR(__xludf.DUMMYFUNCTION("""COMPUTED_VALUE"""),"")</f>
        <v/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 t="str">
        <f>IFERROR(__xludf.DUMMYFUNCTION("""COMPUTED_VALUE"""),"")</f>
        <v/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 t="str">
        <f>IFERROR(__xludf.DUMMYFUNCTION("""COMPUTED_VALUE"""),"")</f>
        <v/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 t="str">
        <f>IFERROR(__xludf.DUMMYFUNCTION("""COMPUTED_VALUE"""),"")</f>
        <v/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 t="str">
        <f>IFERROR(__xludf.DUMMYFUNCTION("""COMPUTED_VALUE"""),"")</f>
        <v/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 t="str">
        <f>IFERROR(__xludf.DUMMYFUNCTION("""COMPUTED_VALUE"""),"")</f>
        <v/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 t="str">
        <f>IFERROR(__xludf.DUMMYFUNCTION("""COMPUTED_VALUE"""),"")</f>
        <v/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 t="str">
        <f>IFERROR(__xludf.DUMMYFUNCTION("""COMPUTED_VALUE"""),"cash buyer vs realtor")</f>
        <v>cash buyer vs realtor</v>
      </c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 t="str">
        <f>IFERROR(__xludf.DUMMYFUNCTION("""COMPUTED_VALUE"""),"sell to investor vs realtor")</f>
        <v>sell to investor vs realtor</v>
      </c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 t="str">
        <f>IFERROR(__xludf.DUMMYFUNCTION("""COMPUTED_VALUE"""),"sell house fsbo vs cash buyer")</f>
        <v>sell house fsbo vs cash buyer</v>
      </c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 t="str">
        <f>IFERROR(__xludf.DUMMYFUNCTION("""COMPUTED_VALUE"""),"we buy houses reviews")</f>
        <v>we buy houses reviews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 t="str">
        <f>IFERROR(__xludf.DUMMYFUNCTION("""COMPUTED_VALUE"""),"legit cash home buyer")</f>
        <v>legit cash home buyer</v>
      </c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 t="str">
        <f>IFERROR(__xludf.DUMMYFUNCTION("""COMPUTED_VALUE"""),"reputable cash home buyer")</f>
        <v>reputable cash home buyer</v>
      </c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 t="str">
        <f>IFERROR(__xludf.DUMMYFUNCTION("""COMPUTED_VALUE"""),"trusted home buyer")</f>
        <v>trusted home buyer</v>
      </c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 t="str">
        <f>IFERROR(__xludf.DUMMYFUNCTION("""COMPUTED_VALUE"""),"best cash home buyer")</f>
        <v>best cash home buyer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 t="str">
        <f>IFERROR(__xludf.DUMMYFUNCTION("""COMPUTED_VALUE"""),"local cash home buyer")</f>
        <v>local cash home buyer</v>
      </c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 t="str">
        <f>IFERROR(__xludf.DUMMYFUNCTION("""COMPUTED_VALUE"""),"is we buy houses legit")</f>
        <v>is we buy houses legit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13"/>
    <col customWidth="1" min="3" max="4" width="18.38"/>
    <col customWidth="1" min="5" max="11" width="18.0"/>
  </cols>
  <sheetData>
    <row r="1">
      <c r="A1" s="1"/>
      <c r="B1" s="2" t="s">
        <v>314</v>
      </c>
      <c r="C1" s="2" t="s">
        <v>315</v>
      </c>
      <c r="D1" s="2" t="s">
        <v>316</v>
      </c>
      <c r="E1" s="2" t="s">
        <v>317</v>
      </c>
      <c r="F1" s="2" t="s">
        <v>318</v>
      </c>
      <c r="G1" s="2" t="s">
        <v>319</v>
      </c>
      <c r="H1" s="2" t="s">
        <v>320</v>
      </c>
      <c r="I1" s="2" t="s">
        <v>321</v>
      </c>
      <c r="J1" s="2" t="s">
        <v>322</v>
      </c>
      <c r="K1" s="2" t="s">
        <v>323</v>
      </c>
      <c r="L1" s="1"/>
      <c r="M1" s="4" t="s">
        <v>38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41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1" t="s">
        <v>44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""&amp;$A3))"),"sell house in foreclosure fast")</f>
        <v>sell house in foreclosure fast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""&amp;$A3))"),"avoid foreclosure by selling house fast")</f>
        <v>avoid foreclosure by selling house fast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""&amp;$A3))"),"sell house during divorce fast")</f>
        <v>sell house during divorce fast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""&amp;$A3))"),"sell inherited house fast")</f>
        <v>sell inherited house fast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""&amp;$A3))"),"sell probate house fast")</f>
        <v>sell probate house fast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""&amp;$A3))"),"sell house with liens fast")</f>
        <v>sell house with liens fast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""&amp;$A3))"),"sell house behind on payments fast")</f>
        <v>sell house behind on payments fast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""&amp;$A3))"),"sell house with tenants fast")</f>
        <v>sell house with tenants fast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""&amp;$A3))"),"sell unwanted house fast")</f>
        <v>sell unwanted house fast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""&amp;$A3))"),"sell house before relocation fast")</f>
        <v>sell house before relocation fast</v>
      </c>
      <c r="L3" s="13"/>
      <c r="M3" s="13" t="str">
        <f>IFERROR(__xludf.DUMMYFUNCTION("FLATTEN(B3:K38,B1:K1)"),"sell house in foreclosure fast")</f>
        <v>sell house in foreclosure fast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1" t="s">
        <v>48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""&amp;$A4))"),"sell house in foreclosure quickly")</f>
        <v>sell house in foreclosure quickly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""&amp;$A4))"),"avoid foreclosure by selling house quickly")</f>
        <v>avoid foreclosure by selling house quickly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""&amp;$A4))"),"sell house during divorce quickly")</f>
        <v>sell house during divorce quickly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""&amp;$A4))"),"sell inherited house quickly")</f>
        <v>sell inherited house quickly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""&amp;$A4))"),"sell probate house quickly")</f>
        <v>sell probate house quickly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""&amp;$A4))"),"sell house with liens quickly")</f>
        <v>sell house with liens quickly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""&amp;$A4))"),"sell house behind on payments quickly")</f>
        <v>sell house behind on payments quickly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""&amp;$A4))"),"sell house with tenants quickly")</f>
        <v>sell house with tenants quickly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""&amp;$A4))"),"sell unwanted house quickly")</f>
        <v>sell unwanted house quickly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""&amp;$A4))"),"sell house before relocation quickly")</f>
        <v>sell house before relocation quickly</v>
      </c>
      <c r="L4" s="13"/>
      <c r="M4" s="13" t="str">
        <f>IFERROR(__xludf.DUMMYFUNCTION("""COMPUTED_VALUE"""),"avoid foreclosure by selling house fast")</f>
        <v>avoid foreclosure by selling house fast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1" t="s">
        <v>53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""&amp;$A5))"),"sell house in foreclosure for cash")</f>
        <v>sell house in foreclosure for cash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""&amp;$A5))"),"avoid foreclosure by selling house for cash")</f>
        <v>avoid foreclosure by selling house for cash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""&amp;$A5))"),"sell house during divorce for cash")</f>
        <v>sell house during divorce for cash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""&amp;$A5))"),"sell inherited house for cash")</f>
        <v>sell inherited house for cash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""&amp;$A5))"),"sell probate house for cash")</f>
        <v>sell probate house for cash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""&amp;$A5))"),"sell house with liens for cash")</f>
        <v>sell house with liens for cash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""&amp;$A5))"),"sell house behind on payments for cash")</f>
        <v>sell house behind on payments for cash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""&amp;$A5))"),"sell house with tenants for cash")</f>
        <v>sell house with tenants for cash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""&amp;$A5))"),"sell unwanted house for cash")</f>
        <v>sell unwanted house for cash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""&amp;$A5))"),"sell house before relocation for cash")</f>
        <v>sell house before relocation for cash</v>
      </c>
      <c r="L5" s="13"/>
      <c r="M5" s="13" t="str">
        <f>IFERROR(__xludf.DUMMYFUNCTION("""COMPUTED_VALUE"""),"sell house during divorce fast")</f>
        <v>sell house during divorce fast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1" t="s">
        <v>164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""&amp;$A6))"),"sell house in foreclosure as is")</f>
        <v>sell house in foreclosure as is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""&amp;$A6))"),"avoid foreclosure by selling house as is")</f>
        <v>avoid foreclosure by selling house as is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""&amp;$A6))"),"sell house during divorce as is")</f>
        <v>sell house during divorce as is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""&amp;$A6))"),"sell inherited house as is")</f>
        <v>sell inherited house as is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""&amp;$A6))"),"sell probate house as is")</f>
        <v>sell probate house as is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""&amp;$A6))"),"sell house with liens as is")</f>
        <v>sell house with liens as is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""&amp;$A6))"),"sell house behind on payments as is")</f>
        <v>sell house behind on payments as is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""&amp;$A6))"),"sell house with tenants as is")</f>
        <v>sell house with tenants as is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""&amp;$A6))"),"sell unwanted house as is")</f>
        <v>sell unwanted house as is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""&amp;$A6))"),"sell house before relocation as is")</f>
        <v>sell house before relocation as is</v>
      </c>
      <c r="L6" s="13"/>
      <c r="M6" s="13" t="str">
        <f>IFERROR(__xludf.DUMMYFUNCTION("""COMPUTED_VALUE"""),"sell inherited house fast")</f>
        <v>sell inherited house fast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1" t="s">
        <v>324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""&amp;$A7))"),"sell house in foreclosure without realtor")</f>
        <v>sell house in foreclosure without realtor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""&amp;$A7))"),"avoid foreclosure by selling house without realtor")</f>
        <v>avoid foreclosure by selling house without realtor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""&amp;$A7))"),"sell house during divorce without realtor")</f>
        <v>sell house during divorce without realtor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""&amp;$A7))"),"sell inherited house without realtor")</f>
        <v>sell inherited house without realtor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""&amp;$A7))"),"sell probate house without realtor")</f>
        <v>sell probate house without realtor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""&amp;$A7))"),"sell house with liens without realtor")</f>
        <v>sell house with liens without realtor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""&amp;$A7))"),"sell house behind on payments without realtor")</f>
        <v>sell house behind on payments without realtor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""&amp;$A7))"),"sell house with tenants without realtor")</f>
        <v>sell house with tenants without realtor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""&amp;$A7))"),"sell unwanted house without realtor")</f>
        <v>sell unwanted house without realtor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""&amp;$A7))"),"sell house before relocation without realtor")</f>
        <v>sell house before relocation without realtor</v>
      </c>
      <c r="L7" s="13"/>
      <c r="M7" s="13" t="str">
        <f>IFERROR(__xludf.DUMMYFUNCTION("""COMPUTED_VALUE"""),"sell probate house fast")</f>
        <v>sell probate house fast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1" t="s">
        <v>325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""&amp;$A8))"),"sell house in foreclosure no repairs")</f>
        <v>sell house in foreclosure no repairs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""&amp;$A8))"),"avoid foreclosure by selling house no repairs")</f>
        <v>avoid foreclosure by selling house no repairs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""&amp;$A8))"),"sell house during divorce no repairs")</f>
        <v>sell house during divorce no repairs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""&amp;$A8))"),"sell inherited house no repairs")</f>
        <v>sell inherited house no repairs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""&amp;$A8))"),"sell probate house no repairs")</f>
        <v>sell probate house no repairs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""&amp;$A8))"),"sell house with liens no repairs")</f>
        <v>sell house with liens no repairs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""&amp;$A8))"),"sell house behind on payments no repairs")</f>
        <v>sell house behind on payments no repairs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""&amp;$A8))"),"sell house with tenants no repairs")</f>
        <v>sell house with tenants no repairs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""&amp;$A8))"),"sell unwanted house no repairs")</f>
        <v>sell unwanted house no repairs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""&amp;$A8))"),"sell house before relocation no repairs")</f>
        <v>sell house before relocation no repairs</v>
      </c>
      <c r="L8" s="13"/>
      <c r="M8" s="13" t="str">
        <f>IFERROR(__xludf.DUMMYFUNCTION("""COMPUTED_VALUE"""),"sell house with liens fast")</f>
        <v>sell house with liens fast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1" t="s">
        <v>326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""&amp;$A9))"),"sell house in foreclosure no cleanup")</f>
        <v>sell house in foreclosure no cleanup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""&amp;$A9))"),"avoid foreclosure by selling house no cleanup")</f>
        <v>avoid foreclosure by selling house no cleanup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""&amp;$A9))"),"sell house during divorce no cleanup")</f>
        <v>sell house during divorce no cleanup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""&amp;$A9))"),"sell inherited house no cleanup")</f>
        <v>sell inherited house no cleanup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""&amp;$A9))"),"sell probate house no cleanup")</f>
        <v>sell probate house no cleanup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""&amp;$A9))"),"sell house with liens no cleanup")</f>
        <v>sell house with liens no cleanup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""&amp;$A9))"),"sell house behind on payments no cleanup")</f>
        <v>sell house behind on payments no cleanup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""&amp;$A9))"),"sell house with tenants no cleanup")</f>
        <v>sell house with tenants no cleanup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""&amp;$A9))"),"sell unwanted house no cleanup")</f>
        <v>sell unwanted house no cleanup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""&amp;$A9))"),"sell house before relocation no cleanup")</f>
        <v>sell house before relocation no cleanup</v>
      </c>
      <c r="L9" s="13"/>
      <c r="M9" s="13" t="str">
        <f>IFERROR(__xludf.DUMMYFUNCTION("""COMPUTED_VALUE"""),"sell house behind on payments fast")</f>
        <v>sell house behind on payments fast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1" t="s">
        <v>327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""&amp;$A10))"),"sell house in foreclosure direct buyer")</f>
        <v>sell house in foreclosure direct buyer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""&amp;$A10))"),"avoid foreclosure by selling house direct buyer")</f>
        <v>avoid foreclosure by selling house direct buyer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""&amp;$A10))"),"sell house during divorce direct buyer")</f>
        <v>sell house during divorce direct buyer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""&amp;$A10))"),"sell inherited house direct buyer")</f>
        <v>sell inherited house direct buyer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""&amp;$A10))"),"sell probate house direct buyer")</f>
        <v>sell probate house direct buyer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""&amp;$A10))"),"sell house with liens direct buyer")</f>
        <v>sell house with liens direct buyer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""&amp;$A10))"),"sell house behind on payments direct buyer")</f>
        <v>sell house behind on payments direct buyer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""&amp;$A10))"),"sell house with tenants direct buyer")</f>
        <v>sell house with tenants direct buyer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""&amp;$A10))"),"sell unwanted house direct buyer")</f>
        <v>sell unwanted house direct buyer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""&amp;$A10))"),"sell house before relocation direct buyer")</f>
        <v>sell house before relocation direct buyer</v>
      </c>
      <c r="L10" s="13"/>
      <c r="M10" s="13" t="str">
        <f>IFERROR(__xludf.DUMMYFUNCTION("""COMPUTED_VALUE"""),"sell house with tenants fast")</f>
        <v>sell house with tenants fast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1" t="s">
        <v>56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""&amp;$A11))"),"sell house in foreclosure cash buyer")</f>
        <v>sell house in foreclosure cash buyer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""&amp;$A11))"),"avoid foreclosure by selling house cash buyer")</f>
        <v>avoid foreclosure by selling house cash buyer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""&amp;$A11))"),"sell house during divorce cash buyer")</f>
        <v>sell house during divorce cash buyer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""&amp;$A11))"),"sell inherited house cash buyer")</f>
        <v>sell inherited house cash buyer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""&amp;$A11))"),"sell probate house cash buyer")</f>
        <v>sell probate house cash buyer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""&amp;$A11))"),"sell house with liens cash buyer")</f>
        <v>sell house with liens cash buyer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""&amp;$A11))"),"sell house behind on payments cash buyer")</f>
        <v>sell house behind on payments cash buyer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""&amp;$A11))"),"sell house with tenants cash buyer")</f>
        <v>sell house with tenants cash buyer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""&amp;$A11))"),"sell unwanted house cash buyer")</f>
        <v>sell unwanted house cash buyer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""&amp;$A11))"),"sell house before relocation cash buyer")</f>
        <v>sell house before relocation cash buyer</v>
      </c>
      <c r="L11" s="13"/>
      <c r="M11" s="13" t="str">
        <f>IFERROR(__xludf.DUMMYFUNCTION("""COMPUTED_VALUE"""),"sell unwanted house fast")</f>
        <v>sell unwanted house fast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1" t="s">
        <v>328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""&amp;$A12))"),"sell house in foreclosure urgent sale")</f>
        <v>sell house in foreclosure urgent sale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""&amp;$A12))"),"avoid foreclosure by selling house urgent sale")</f>
        <v>avoid foreclosure by selling house urgent sale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""&amp;$A12))"),"sell house during divorce urgent sale")</f>
        <v>sell house during divorce urgent sale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""&amp;$A12))"),"sell inherited house urgent sale")</f>
        <v>sell inherited house urgent sale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""&amp;$A12))"),"sell probate house urgent sale")</f>
        <v>sell probate house urgent sale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""&amp;$A12))"),"sell house with liens urgent sale")</f>
        <v>sell house with liens urgent sale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""&amp;$A12))"),"sell house behind on payments urgent sale")</f>
        <v>sell house behind on payments urgent sale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""&amp;$A12))"),"sell house with tenants urgent sale")</f>
        <v>sell house with tenants urgent sale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""&amp;$A12))"),"sell unwanted house urgent sale")</f>
        <v>sell unwanted house urgent sale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""&amp;$A12))"),"sell house before relocation urgent sale")</f>
        <v>sell house before relocation urgent sale</v>
      </c>
      <c r="L12" s="13"/>
      <c r="M12" s="13" t="str">
        <f>IFERROR(__xludf.DUMMYFUNCTION("""COMPUTED_VALUE"""),"sell house before relocation fast")</f>
        <v>sell house before relocation fast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1" t="s">
        <v>329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""&amp;$A13))"),"sell house in foreclosure before auction")</f>
        <v>sell house in foreclosure before auction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""&amp;$A13))"),"avoid foreclosure by selling house before auction")</f>
        <v>avoid foreclosure by selling house before auction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""&amp;$A13))"),"sell house during divorce before auction")</f>
        <v>sell house during divorce before auction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""&amp;$A13))"),"sell inherited house before auction")</f>
        <v>sell inherited house before auction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""&amp;$A13))"),"sell probate house before auction")</f>
        <v>sell probate house before auction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""&amp;$A13))"),"sell house with liens before auction")</f>
        <v>sell house with liens before auction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""&amp;$A13))"),"sell house behind on payments before auction")</f>
        <v>sell house behind on payments before auction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""&amp;$A13))"),"sell house with tenants before auction")</f>
        <v>sell house with tenants before auction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""&amp;$A13))"),"sell unwanted house before auction")</f>
        <v>sell unwanted house before auction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""&amp;$A13))"),"sell house before relocation before auction")</f>
        <v>sell house before relocation before auction</v>
      </c>
      <c r="L13" s="13"/>
      <c r="M13" s="13" t="str">
        <f>IFERROR(__xludf.DUMMYFUNCTION("""COMPUTED_VALUE"""),"sell house in foreclosure quickly")</f>
        <v>sell house in foreclosure quickly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330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""&amp;$A14))"),"sell house in foreclosure before sheriff sale")</f>
        <v>sell house in foreclosure before sheriff sale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""&amp;$A14))"),"avoid foreclosure by selling house before sheriff sale")</f>
        <v>avoid foreclosure by selling house before sheriff sale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""&amp;$A14))"),"sell house during divorce before sheriff sale")</f>
        <v>sell house during divorce before sheriff sale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""&amp;$A14))"),"sell inherited house before sheriff sale")</f>
        <v>sell inherited house before sheriff sale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""&amp;$A14))"),"sell probate house before sheriff sale")</f>
        <v>sell probate house before sheriff sale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""&amp;$A14))"),"sell house with liens before sheriff sale")</f>
        <v>sell house with liens before sheriff sale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""&amp;$A14))"),"sell house behind on payments before sheriff sale")</f>
        <v>sell house behind on payments before sheriff sale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""&amp;$A14))"),"sell house with tenants before sheriff sale")</f>
        <v>sell house with tenants before sheriff sale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""&amp;$A14))"),"sell unwanted house before sheriff sale")</f>
        <v>sell unwanted house before sheriff sale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""&amp;$A14))"),"sell house before relocation before sheriff sale")</f>
        <v>sell house before relocation before sheriff sale</v>
      </c>
      <c r="L14" s="13"/>
      <c r="M14" s="13" t="str">
        <f>IFERROR(__xludf.DUMMYFUNCTION("""COMPUTED_VALUE"""),"avoid foreclosure by selling house quickly")</f>
        <v>avoid foreclosure by selling house quickly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331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""&amp;$A15))"),"sell house in foreclosure before foreclosure auction")</f>
        <v>sell house in foreclosure before foreclosure auction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""&amp;$A15))"),"avoid foreclosure by selling house before foreclosure auction")</f>
        <v>avoid foreclosure by selling house before foreclosure auction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""&amp;$A15))"),"sell house during divorce before foreclosure auction")</f>
        <v>sell house during divorce before foreclosure auction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""&amp;$A15))"),"sell inherited house before foreclosure auction")</f>
        <v>sell inherited house before foreclosure auction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""&amp;$A15))"),"sell probate house before foreclosure auction")</f>
        <v>sell probate house before foreclosure auction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""&amp;$A15))"),"sell house with liens before foreclosure auction")</f>
        <v>sell house with liens before foreclosure auction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""&amp;$A15))"),"sell house behind on payments before foreclosure auction")</f>
        <v>sell house behind on payments before foreclosure auction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""&amp;$A15))"),"sell house with tenants before foreclosure auction")</f>
        <v>sell house with tenants before foreclosure auction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""&amp;$A15))"),"sell unwanted house before foreclosure auction")</f>
        <v>sell unwanted house before foreclosure auction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""&amp;$A15))"),"sell house before relocation before foreclosure auction")</f>
        <v>sell house before relocation before foreclosure auction</v>
      </c>
      <c r="L15" s="13"/>
      <c r="M15" s="13" t="str">
        <f>IFERROR(__xludf.DUMMYFUNCTION("""COMPUTED_VALUE"""),"sell house during divorce quickly")</f>
        <v>sell house during divorce quickly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332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""&amp;$A16))"),"sell house in foreclosure avoid foreclosure")</f>
        <v>sell house in foreclosure avoid foreclosure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""&amp;$A16))"),"avoid foreclosure by selling house")</f>
        <v>avoid foreclosure by selling house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""&amp;$A16))"),"sell house during divorce avoid foreclosure")</f>
        <v>sell house during divorce avoid foreclosure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""&amp;$A16))"),"sell inherited house avoid foreclosure")</f>
        <v>sell inherited house avoid foreclosure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""&amp;$A16))"),"sell probate house avoid foreclosure")</f>
        <v>sell probate house avoid foreclosure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""&amp;$A16))"),"sell house with liens avoid foreclosure")</f>
        <v>sell house with liens avoid foreclosure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""&amp;$A16))"),"sell house behind on payments avoid foreclosure")</f>
        <v>sell house behind on payments avoid foreclosure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""&amp;$A16))"),"sell house with tenants avoid foreclosure")</f>
        <v>sell house with tenants avoid foreclosure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""&amp;$A16))"),"sell unwanted house avoid foreclosure")</f>
        <v>sell unwanted house avoid foreclosure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""&amp;$A16))"),"sell house before relocation avoid foreclosure")</f>
        <v>sell house before relocation avoid foreclosure</v>
      </c>
      <c r="L16" s="13"/>
      <c r="M16" s="13" t="str">
        <f>IFERROR(__xludf.DUMMYFUNCTION("""COMPUTED_VALUE"""),"sell inherited house quickly")</f>
        <v>sell inherited house quickly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333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""&amp;$A17))"),"sell house in foreclosure stop foreclosure")</f>
        <v>sell house in foreclosure stop foreclosure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""&amp;$A17))"),"avoid foreclosure by selling house stop foreclosure")</f>
        <v>avoid foreclosure by selling house stop foreclosure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""&amp;$A17))"),"sell house during divorce stop foreclosure")</f>
        <v>sell house during divorce stop foreclosure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""&amp;$A17))"),"sell inherited house stop foreclosure")</f>
        <v>sell inherited house stop foreclosure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""&amp;$A17))"),"sell probate house stop foreclosure")</f>
        <v>sell probate house stop foreclosure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""&amp;$A17))"),"sell house with liens stop foreclosure")</f>
        <v>sell house with liens stop foreclosure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""&amp;$A17))"),"sell house behind on payments stop foreclosure")</f>
        <v>sell house behind on payments stop foreclosure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""&amp;$A17))"),"sell house with tenants stop foreclosure")</f>
        <v>sell house with tenants stop foreclosure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""&amp;$A17))"),"sell unwanted house stop foreclosure")</f>
        <v>sell unwanted house stop foreclosure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""&amp;$A17))"),"sell house before relocation stop foreclosure")</f>
        <v>sell house before relocation stop foreclosure</v>
      </c>
      <c r="L17" s="13"/>
      <c r="M17" s="13" t="str">
        <f>IFERROR(__xludf.DUMMYFUNCTION("""COMPUTED_VALUE"""),"sell probate house quickly")</f>
        <v>sell probate house quickly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334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""&amp;$A18))"),"sell house in foreclosure behind on mortgage")</f>
        <v>sell house in foreclosure behind on mortgage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""&amp;$A18))"),"avoid foreclosure by selling house behind on mortgage")</f>
        <v>avoid foreclosure by selling house behind on mortgage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""&amp;$A18))"),"sell house during divorce behind on mortgage")</f>
        <v>sell house during divorce behind on mortgage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""&amp;$A18))"),"sell inherited house behind on mortgage")</f>
        <v>sell inherited house behind on mortgage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""&amp;$A18))"),"sell probate house behind on mortgage")</f>
        <v>sell probate house behind on mortgage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""&amp;$A18))"),"sell house with liens behind on mortgage")</f>
        <v>sell house with liens behind on mortgage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""&amp;$A18))"),"sell house behind on payments behind on mortgage")</f>
        <v>sell house behind on payments behind on mortgage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""&amp;$A18))"),"sell house with tenants behind on mortgage")</f>
        <v>sell house with tenants behind on mortgage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""&amp;$A18))"),"sell unwanted house behind on mortgage")</f>
        <v>sell unwanted house behind on mortgage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""&amp;$A18))"),"sell house before relocation behind on mortgage")</f>
        <v>sell house before relocation behind on mortgage</v>
      </c>
      <c r="L18" s="13"/>
      <c r="M18" s="13" t="str">
        <f>IFERROR(__xludf.DUMMYFUNCTION("""COMPUTED_VALUE"""),"sell house with liens quickly")</f>
        <v>sell house with liens quickly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335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""&amp;$A19))"),"sell house in foreclosure missed payments")</f>
        <v>sell house in foreclosure missed payments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""&amp;$A19))"),"avoid foreclosure by selling house missed payments")</f>
        <v>avoid foreclosure by selling house missed payments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""&amp;$A19))"),"sell house during divorce missed payments")</f>
        <v>sell house during divorce missed payments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""&amp;$A19))"),"sell inherited house missed payments")</f>
        <v>sell inherited house missed payments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""&amp;$A19))"),"sell probate house missed payments")</f>
        <v>sell probate house missed payments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""&amp;$A19))"),"sell house with liens missed payments")</f>
        <v>sell house with liens missed payments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""&amp;$A19))"),"sell house behind on payments missed payments")</f>
        <v>sell house behind on payments missed payments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""&amp;$A19))"),"sell house with tenants missed payments")</f>
        <v>sell house with tenants missed payments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""&amp;$A19))"),"sell unwanted house missed payments")</f>
        <v>sell unwanted house missed payments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""&amp;$A19))"),"sell house before relocation missed payments")</f>
        <v>sell house before relocation missed payments</v>
      </c>
      <c r="L19" s="13"/>
      <c r="M19" s="13" t="str">
        <f>IFERROR(__xludf.DUMMYFUNCTION("""COMPUTED_VALUE"""),"sell house behind on payments quickly")</f>
        <v>sell house behind on payments quickly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336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""&amp;$A20))"),"sell house in foreclosure tax liens")</f>
        <v>sell house in foreclosure tax liens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""&amp;$A20))"),"avoid foreclosure by selling house tax liens")</f>
        <v>avoid foreclosure by selling house tax liens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""&amp;$A20))"),"sell house during divorce tax liens")</f>
        <v>sell house during divorce tax liens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""&amp;$A20))"),"sell inherited house tax liens")</f>
        <v>sell inherited house tax liens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""&amp;$A20))"),"sell probate house tax liens")</f>
        <v>sell probate house tax liens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""&amp;$A20))"),"sell house with liens tax liens")</f>
        <v>sell house with liens tax liens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""&amp;$A20))"),"sell house behind on payments tax liens")</f>
        <v>sell house behind on payments tax liens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""&amp;$A20))"),"sell house with tenants tax liens")</f>
        <v>sell house with tenants tax liens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""&amp;$A20))"),"sell unwanted house tax liens")</f>
        <v>sell unwanted house tax liens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""&amp;$A20))"),"sell house before relocation tax liens")</f>
        <v>sell house before relocation tax liens</v>
      </c>
      <c r="L20" s="13"/>
      <c r="M20" s="13" t="str">
        <f>IFERROR(__xludf.DUMMYFUNCTION("""COMPUTED_VALUE"""),"sell house with tenants quickly")</f>
        <v>sell house with tenants quickly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102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""&amp;$A21))"),"sell house in foreclosure code violations")</f>
        <v>sell house in foreclosure code violations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""&amp;$A21))"),"avoid foreclosure by selling house code violations")</f>
        <v>avoid foreclosure by selling house code violations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""&amp;$A21))"),"sell house during divorce code violations")</f>
        <v>sell house during divorce code violations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""&amp;$A21))"),"sell inherited house code violations")</f>
        <v>sell inherited house code violations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""&amp;$A21))"),"sell probate house code violations")</f>
        <v>sell probate house code violations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""&amp;$A21))"),"sell house with liens code violations")</f>
        <v>sell house with liens code violations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""&amp;$A21))"),"sell house behind on payments code violations")</f>
        <v>sell house behind on payments code violations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""&amp;$A21))"),"sell house with tenants code violations")</f>
        <v>sell house with tenants code violations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""&amp;$A21))"),"sell unwanted house code violations")</f>
        <v>sell unwanted house code violations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""&amp;$A21))"),"sell house before relocation code violations")</f>
        <v>sell house before relocation code violations</v>
      </c>
      <c r="L21" s="13"/>
      <c r="M21" s="13" t="str">
        <f>IFERROR(__xludf.DUMMYFUNCTION("""COMPUTED_VALUE"""),"sell unwanted house quickly")</f>
        <v>sell unwanted house quickly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337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""&amp;$A22))"),"sell house in foreclosure bad tenants")</f>
        <v>sell house in foreclosure bad tenants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""&amp;$A22))"),"avoid foreclosure by selling house bad tenants")</f>
        <v>avoid foreclosure by selling house bad tenants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""&amp;$A22))"),"sell house during divorce bad tenants")</f>
        <v>sell house during divorce bad tenants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""&amp;$A22))"),"sell inherited house bad tenants")</f>
        <v>sell inherited house bad tenants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""&amp;$A22))"),"sell probate house bad tenants")</f>
        <v>sell probate house bad tenants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""&amp;$A22))"),"sell house with liens bad tenants")</f>
        <v>sell house with liens bad tenants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""&amp;$A22))"),"sell house behind on payments bad tenants")</f>
        <v>sell house behind on payments bad tenants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""&amp;$A22))"),"sell house with tenants bad tenants")</f>
        <v>sell house with tenants bad tenants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""&amp;$A22))"),"sell unwanted house bad tenants")</f>
        <v>sell unwanted house bad tenants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""&amp;$A22))"),"sell house before relocation bad tenants")</f>
        <v>sell house before relocation bad tenants</v>
      </c>
      <c r="L22" s="13"/>
      <c r="M22" s="13" t="str">
        <f>IFERROR(__xludf.DUMMYFUNCTION("""COMPUTED_VALUE"""),"sell house before relocation quickly")</f>
        <v>sell house before relocation quickly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338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""&amp;$A23))"),"sell house in foreclosure eviction")</f>
        <v>sell house in foreclosure eviction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""&amp;$A23))"),"avoid foreclosure by selling house eviction")</f>
        <v>avoid foreclosure by selling house eviction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""&amp;$A23))"),"sell house during divorce eviction")</f>
        <v>sell house during divorce eviction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""&amp;$A23))"),"sell inherited house eviction")</f>
        <v>sell inherited house eviction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""&amp;$A23))"),"sell probate house eviction")</f>
        <v>sell probate house eviction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""&amp;$A23))"),"sell house with liens eviction")</f>
        <v>sell house with liens eviction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""&amp;$A23))"),"sell house behind on payments eviction")</f>
        <v>sell house behind on payments eviction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""&amp;$A23))"),"sell house with tenants eviction")</f>
        <v>sell house with tenants eviction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""&amp;$A23))"),"sell unwanted house eviction")</f>
        <v>sell unwanted house eviction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""&amp;$A23))"),"sell house before relocation eviction")</f>
        <v>sell house before relocation eviction</v>
      </c>
      <c r="L23" s="13"/>
      <c r="M23" s="13" t="str">
        <f>IFERROR(__xludf.DUMMYFUNCTION("""COMPUTED_VALUE"""),"sell house in foreclosure for cash")</f>
        <v>sell house in foreclosure for cash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339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""&amp;$A24))"),"sell house in foreclosure probate court")</f>
        <v>sell house in foreclosure probate court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""&amp;$A24))"),"avoid foreclosure by selling house probate court")</f>
        <v>avoid foreclosure by selling house probate court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""&amp;$A24))"),"sell house during divorce probate court")</f>
        <v>sell house during divorce probate court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""&amp;$A24))"),"sell inherited house probate court")</f>
        <v>sell inherited house probate court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""&amp;$A24))"),"sell probate house probate court")</f>
        <v>sell probate house probate court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""&amp;$A24))"),"sell house with liens probate court")</f>
        <v>sell house with liens probate court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""&amp;$A24))"),"sell house behind on payments probate court")</f>
        <v>sell house behind on payments probate court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""&amp;$A24))"),"sell house with tenants probate court")</f>
        <v>sell house with tenants probate court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""&amp;$A24))"),"sell unwanted house probate court")</f>
        <v>sell unwanted house probate court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""&amp;$A24))"),"sell house before relocation probate court")</f>
        <v>sell house before relocation probate court</v>
      </c>
      <c r="L24" s="13"/>
      <c r="M24" s="13" t="str">
        <f>IFERROR(__xludf.DUMMYFUNCTION("""COMPUTED_VALUE"""),"avoid foreclosure by selling house for cash")</f>
        <v>avoid foreclosure by selling house for cash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340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""&amp;$A25))"),"sell house in foreclosure estate sale")</f>
        <v>sell house in foreclosure estate sale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""&amp;$A25))"),"avoid foreclosure by selling house estate sale")</f>
        <v>avoid foreclosure by selling house estate sale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""&amp;$A25))"),"sell house during divorce estate sale")</f>
        <v>sell house during divorce estate sale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""&amp;$A25))"),"sell inherited house estate sale")</f>
        <v>sell inherited house estate sale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""&amp;$A25))"),"sell probate house estate sale")</f>
        <v>sell probate house estate sale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""&amp;$A25))"),"sell house with liens estate sale")</f>
        <v>sell house with liens estate sale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""&amp;$A25))"),"sell house behind on payments estate sale")</f>
        <v>sell house behind on payments estate sale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""&amp;$A25))"),"sell house with tenants estate sale")</f>
        <v>sell house with tenants estate sale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""&amp;$A25))"),"sell unwanted house estate sale")</f>
        <v>sell unwanted house estate sale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""&amp;$A25))"),"sell house before relocation estate sale")</f>
        <v>sell house before relocation estate sale</v>
      </c>
      <c r="L25" s="13"/>
      <c r="M25" s="13" t="str">
        <f>IFERROR(__xludf.DUMMYFUNCTION("""COMPUTED_VALUE"""),"sell house during divorce for cash")</f>
        <v>sell house during divorce for cash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341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""&amp;$A26))"),"sell house in foreclosure divorce settlement")</f>
        <v>sell house in foreclosure divorce settlement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""&amp;$A26))"),"avoid foreclosure by selling house divorce settlement")</f>
        <v>avoid foreclosure by selling house divorce settlement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""&amp;$A26))"),"sell house during divorce divorce settlement")</f>
        <v>sell house during divorce divorce settlement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""&amp;$A26))"),"sell inherited house divorce settlement")</f>
        <v>sell inherited house divorce settlement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""&amp;$A26))"),"sell probate house divorce settlement")</f>
        <v>sell probate house divorce settlement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""&amp;$A26))"),"sell house with liens divorce settlement")</f>
        <v>sell house with liens divorce settlement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""&amp;$A26))"),"sell house behind on payments divorce settlement")</f>
        <v>sell house behind on payments divorce settlement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""&amp;$A26))"),"sell house with tenants divorce settlement")</f>
        <v>sell house with tenants divorce settlement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""&amp;$A26))"),"sell unwanted house divorce settlement")</f>
        <v>sell unwanted house divorce settlement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""&amp;$A26))"),"sell house before relocation divorce settlement")</f>
        <v>sell house before relocation divorce settlement</v>
      </c>
      <c r="L26" s="13"/>
      <c r="M26" s="13" t="str">
        <f>IFERROR(__xludf.DUMMYFUNCTION("""COMPUTED_VALUE"""),"sell inherited house for cash")</f>
        <v>sell inherited house for cash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342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""&amp;$A27))"),"sell house in foreclosure relocation deadline")</f>
        <v>sell house in foreclosure relocation deadline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""&amp;$A27))"),"avoid foreclosure by selling house relocation deadline")</f>
        <v>avoid foreclosure by selling house relocation deadline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""&amp;$A27))"),"sell house during divorce relocation deadline")</f>
        <v>sell house during divorce relocation deadline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""&amp;$A27))"),"sell inherited house relocation deadline")</f>
        <v>sell inherited house relocation deadline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""&amp;$A27))"),"sell probate house relocation deadline")</f>
        <v>sell probate house relocation deadline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""&amp;$A27))"),"sell house with liens relocation deadline")</f>
        <v>sell house with liens relocation deadline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""&amp;$A27))"),"sell house behind on payments relocation deadline")</f>
        <v>sell house behind on payments relocation deadline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""&amp;$A27))"),"sell house with tenants relocation deadline")</f>
        <v>sell house with tenants relocation deadline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""&amp;$A27))"),"sell unwanted house relocation deadline")</f>
        <v>sell unwanted house relocation deadline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""&amp;$A27))"),"sell house before relocation relocation deadline")</f>
        <v>sell house before relocation relocation deadline</v>
      </c>
      <c r="L27" s="13"/>
      <c r="M27" s="13" t="str">
        <f>IFERROR(__xludf.DUMMYFUNCTION("""COMPUTED_VALUE"""),"sell probate house for cash")</f>
        <v>sell probate house for cash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343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""&amp;$A28))"),"sell house in foreclosure job loss")</f>
        <v>sell house in foreclosure job loss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""&amp;$A28))"),"avoid foreclosure by selling house job loss")</f>
        <v>avoid foreclosure by selling house job loss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""&amp;$A28))"),"sell house during divorce job loss")</f>
        <v>sell house during divorce job loss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""&amp;$A28))"),"sell inherited house job loss")</f>
        <v>sell inherited house job loss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""&amp;$A28))"),"sell probate house job loss")</f>
        <v>sell probate house job loss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""&amp;$A28))"),"sell house with liens job loss")</f>
        <v>sell house with liens job loss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""&amp;$A28))"),"sell house behind on payments job loss")</f>
        <v>sell house behind on payments job loss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""&amp;$A28))"),"sell house with tenants job loss")</f>
        <v>sell house with tenants job loss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""&amp;$A28))"),"sell unwanted house job loss")</f>
        <v>sell unwanted house job loss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""&amp;$A28))"),"sell house before relocation job loss")</f>
        <v>sell house before relocation job loss</v>
      </c>
      <c r="L28" s="13"/>
      <c r="M28" s="13" t="str">
        <f>IFERROR(__xludf.DUMMYFUNCTION("""COMPUTED_VALUE"""),"sell house with liens for cash")</f>
        <v>sell house with liens for cash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344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""&amp;$A29))"),"sell house in foreclosure downsizing")</f>
        <v>sell house in foreclosure downsizing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""&amp;$A29))"),"avoid foreclosure by selling house downsizing")</f>
        <v>avoid foreclosure by selling house downsizing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""&amp;$A29))"),"sell house during divorce downsizing")</f>
        <v>sell house during divorce downsizing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""&amp;$A29))"),"sell inherited house downsizing")</f>
        <v>sell inherited house downsizing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""&amp;$A29))"),"sell probate house downsizing")</f>
        <v>sell probate house downsizing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""&amp;$A29))"),"sell house with liens downsizing")</f>
        <v>sell house with liens downsizing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""&amp;$A29))"),"sell house behind on payments downsizing")</f>
        <v>sell house behind on payments downsizing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""&amp;$A29))"),"sell house with tenants downsizing")</f>
        <v>sell house with tenants downsizing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""&amp;$A29))"),"sell unwanted house downsizing")</f>
        <v>sell unwanted house downsizing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""&amp;$A29))"),"sell house before relocation downsizing")</f>
        <v>sell house before relocation downsizing</v>
      </c>
      <c r="L29" s="13"/>
      <c r="M29" s="13" t="str">
        <f>IFERROR(__xludf.DUMMYFUNCTION("""COMPUTED_VALUE"""),"sell house behind on payments for cash")</f>
        <v>sell house behind on payments for cash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345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""&amp;$A30))"),"sell house in foreclosure bankruptcy")</f>
        <v>sell house in foreclosure bankruptcy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""&amp;$A30))"),"avoid foreclosure by selling house bankruptcy")</f>
        <v>avoid foreclosure by selling house bankruptcy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""&amp;$A30))"),"sell house during divorce bankruptcy")</f>
        <v>sell house during divorce bankruptcy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""&amp;$A30))"),"sell inherited house bankruptcy")</f>
        <v>sell inherited house bankruptcy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""&amp;$A30))"),"sell probate house bankruptcy")</f>
        <v>sell probate house bankruptcy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""&amp;$A30))"),"sell house with liens bankruptcy")</f>
        <v>sell house with liens bankruptcy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""&amp;$A30))"),"sell house behind on payments bankruptcy")</f>
        <v>sell house behind on payments bankruptcy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""&amp;$A30))"),"sell house with tenants bankruptcy")</f>
        <v>sell house with tenants bankruptcy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""&amp;$A30))"),"sell unwanted house bankruptcy")</f>
        <v>sell unwanted house bankruptcy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""&amp;$A30))"),"sell house before relocation bankruptcy")</f>
        <v>sell house before relocation bankruptcy</v>
      </c>
      <c r="L30" s="13"/>
      <c r="M30" s="13" t="str">
        <f>IFERROR(__xludf.DUMMYFUNCTION("""COMPUTED_VALUE"""),"sell house with tenants for cash")</f>
        <v>sell house with tenants for cash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232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""&amp;$A31))"),"sell house in foreclosure vacant property")</f>
        <v>sell house in foreclosure vacant property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""&amp;$A31))"),"avoid foreclosure by selling house vacant property")</f>
        <v>avoid foreclosure by selling house vacant property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""&amp;$A31))"),"sell house during divorce vacant property")</f>
        <v>sell house during divorce vacant property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""&amp;$A31))"),"sell inherited house vacant property")</f>
        <v>sell inherited house vacant property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""&amp;$A31))"),"sell probate house vacant property")</f>
        <v>sell probate house vacant property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""&amp;$A31))"),"sell house with liens vacant property")</f>
        <v>sell house with liens vacant property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""&amp;$A31))"),"sell house behind on payments vacant property")</f>
        <v>sell house behind on payments vacant property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""&amp;$A31))"),"sell house with tenants vacant property")</f>
        <v>sell house with tenants vacant property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""&amp;$A31))"),"sell unwanted house vacant property")</f>
        <v>sell unwanted house vacant property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""&amp;$A31))"),"sell house before relocation vacant property")</f>
        <v>sell house before relocation vacant property</v>
      </c>
      <c r="L31" s="13"/>
      <c r="M31" s="13" t="str">
        <f>IFERROR(__xludf.DUMMYFUNCTION("""COMPUTED_VALUE"""),"sell unwanted house for cash")</f>
        <v>sell unwanted house for cash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346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""&amp;$A32))"),"sell house in foreclosure abandoned property")</f>
        <v>sell house in foreclosure abandoned property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""&amp;$A32))"),"avoid foreclosure by selling house abandoned property")</f>
        <v>avoid foreclosure by selling house abandoned property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""&amp;$A32))"),"sell house during divorce abandoned property")</f>
        <v>sell house during divorce abandoned property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""&amp;$A32))"),"sell inherited house abandoned property")</f>
        <v>sell inherited house abandoned property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""&amp;$A32))"),"sell probate house abandoned property")</f>
        <v>sell probate house abandoned property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""&amp;$A32))"),"sell house with liens abandoned property")</f>
        <v>sell house with liens abandoned property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""&amp;$A32))"),"sell house behind on payments abandoned property")</f>
        <v>sell house behind on payments abandoned property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""&amp;$A32))"),"sell house with tenants abandoned property")</f>
        <v>sell house with tenants abandoned property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""&amp;$A32))"),"sell unwanted house abandoned property")</f>
        <v>sell unwanted house abandoned property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""&amp;$A32))"),"sell house before relocation abandoned property")</f>
        <v>sell house before relocation abandoned property</v>
      </c>
      <c r="L32" s="13"/>
      <c r="M32" s="13" t="str">
        <f>IFERROR(__xludf.DUMMYFUNCTION("""COMPUTED_VALUE"""),"sell house before relocation for cash")</f>
        <v>sell house before relocation for cash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347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""&amp;$A33))"),"sell house in foreclosure burdensome property")</f>
        <v>sell house in foreclosure burdensome property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""&amp;$A33))"),"avoid foreclosure by selling house burdensome property")</f>
        <v>avoid foreclosure by selling house burdensome property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""&amp;$A33))"),"sell house during divorce burdensome property")</f>
        <v>sell house during divorce burdensome property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""&amp;$A33))"),"sell inherited house burdensome property")</f>
        <v>sell inherited house burdensome property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""&amp;$A33))"),"sell probate house burdensome property")</f>
        <v>sell probate house burdensome property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""&amp;$A33))"),"sell house with liens burdensome property")</f>
        <v>sell house with liens burdensome property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""&amp;$A33))"),"sell house behind on payments burdensome property")</f>
        <v>sell house behind on payments burdensome property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""&amp;$A33))"),"sell house with tenants burdensome property")</f>
        <v>sell house with tenants burdensome property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""&amp;$A33))"),"sell unwanted house burdensome property")</f>
        <v>sell unwanted house burdensome property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""&amp;$A33))"),"sell house before relocation burdensome property")</f>
        <v>sell house before relocation burdensome property</v>
      </c>
      <c r="L33" s="13"/>
      <c r="M33" s="13" t="str">
        <f>IFERROR(__xludf.DUMMYFUNCTION("""COMPUTED_VALUE"""),"sell house in foreclosure as is")</f>
        <v>sell house in foreclosure as is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348</v>
      </c>
      <c r="B34" s="12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""&amp;$A34))"),"sell house in foreclosure upside down mortgage")</f>
        <v>sell house in foreclosure upside down mortgage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""&amp;$A34))"),"avoid foreclosure by selling house upside down mortgage")</f>
        <v>avoid foreclosure by selling house upside down mortgage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""&amp;$A34))"),"sell house during divorce upside down mortgage")</f>
        <v>sell house during divorce upside down mortgage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""&amp;$A34))"),"sell inherited house upside down mortgage")</f>
        <v>sell inherited house upside down mortgage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""&amp;$A34))"),"sell probate house upside down mortgage")</f>
        <v>sell probate house upside down mortgage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""&amp;$A34))"),"sell house with liens upside down mortgage")</f>
        <v>sell house with liens upside down mortgage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""&amp;$A34))"),"sell house behind on payments upside down mortgage")</f>
        <v>sell house behind on payments upside down mortgage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""&amp;$A34))"),"sell house with tenants upside down mortgage")</f>
        <v>sell house with tenants upside down mortgage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""&amp;$A34))"),"sell unwanted house upside down mortgage")</f>
        <v>sell unwanted house upside down mortgage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""&amp;$A34))"),"sell house before relocation upside down mortgage")</f>
        <v>sell house before relocation upside down mortgage</v>
      </c>
      <c r="L34" s="13"/>
      <c r="M34" s="13" t="str">
        <f>IFERROR(__xludf.DUMMYFUNCTION("""COMPUTED_VALUE"""),"avoid foreclosure by selling house as is")</f>
        <v>avoid foreclosure by selling house as is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/>
      <c r="B35" s="12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""&amp;$A35))"),"")</f>
        <v/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""&amp;$A35))"),"")</f>
        <v/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""&amp;$A35))"),"")</f>
        <v/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""&amp;$A35))"),"")</f>
        <v/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""&amp;$A35))"),"")</f>
        <v/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""&amp;$A35))"),"")</f>
        <v/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""&amp;$A35))"),"")</f>
        <v/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""&amp;$A35))"),"")</f>
        <v/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""&amp;$A35))"),"")</f>
        <v/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""&amp;$A35))"),"")</f>
        <v/>
      </c>
      <c r="L35" s="13"/>
      <c r="M35" s="13" t="str">
        <f>IFERROR(__xludf.DUMMYFUNCTION("""COMPUTED_VALUE"""),"sell house during divorce as is")</f>
        <v>sell house during divorce as is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2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""&amp;$A36))"),"")</f>
        <v/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""&amp;$A36))"),"")</f>
        <v/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""&amp;$A36))"),"")</f>
        <v/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""&amp;$A36))"),"")</f>
        <v/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""&amp;$A36))"),"")</f>
        <v/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""&amp;$A36))"),"")</f>
        <v/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""&amp;$A36))"),"")</f>
        <v/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""&amp;$A36))"),"")</f>
        <v/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""&amp;$A36))"),"")</f>
        <v/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""&amp;$A36))"),"")</f>
        <v/>
      </c>
      <c r="L36" s="13"/>
      <c r="M36" s="13" t="str">
        <f>IFERROR(__xludf.DUMMYFUNCTION("""COMPUTED_VALUE"""),"sell inherited house as is")</f>
        <v>sell inherited house as is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2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""&amp;$A37))"),"")</f>
        <v/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""&amp;$A37))"),"")</f>
        <v/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""&amp;$A37))"),"")</f>
        <v/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""&amp;$A37))"),"")</f>
        <v/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""&amp;$A37))"),"")</f>
        <v/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""&amp;$A37))"),"")</f>
        <v/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""&amp;$A37))"),"")</f>
        <v/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""&amp;$A37))"),"")</f>
        <v/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""&amp;$A37))"),"")</f>
        <v/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""&amp;$A37))"),"")</f>
        <v/>
      </c>
      <c r="L37" s="13"/>
      <c r="M37" s="13" t="str">
        <f>IFERROR(__xludf.DUMMYFUNCTION("""COMPUTED_VALUE"""),"sell probate house as is")</f>
        <v>sell probate house as is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2" t="str">
        <f>IFERROR(__xludf.DUMMYFUNCTION("IF($A38="""","""",IF(OR(REGEXMATCH(LOWER(B$1),""(^| )""&amp;LOWER($A38)&amp;""($| )""),AND(RIGHT(LOWER($A38),1)=""s"",REGEXMATCH(LOWER(B$1),""(^| )""&amp;LEFT(LOWER($A38),LEN($A38)-1)&amp;""($| )""))),B$1,B$1&amp;"" ""&amp;$A38))"),"")</f>
        <v/>
      </c>
      <c r="C38" s="13" t="str">
        <f>IFERROR(__xludf.DUMMYFUNCTION("IF($A38="""","""",IF(OR(REGEXMATCH(LOWER(C$1),""(^| )""&amp;LOWER($A38)&amp;""($| )""),AND(RIGHT(LOWER($A38),1)=""s"",REGEXMATCH(LOWER(C$1),""(^| )""&amp;LEFT(LOWER($A38),LEN($A38)-1)&amp;""($| )""))),C$1,C$1&amp;"" ""&amp;$A38))"),"")</f>
        <v/>
      </c>
      <c r="D38" s="13" t="str">
        <f>IFERROR(__xludf.DUMMYFUNCTION("IF($A38="""","""",IF(OR(REGEXMATCH(LOWER(D$1),""(^| )""&amp;LOWER($A38)&amp;""($| )""),AND(RIGHT(LOWER($A38),1)=""s"",REGEXMATCH(LOWER(D$1),""(^| )""&amp;LEFT(LOWER($A38),LEN($A38)-1)&amp;""($| )""))),D$1,D$1&amp;"" ""&amp;$A38))"),"")</f>
        <v/>
      </c>
      <c r="E38" s="13" t="str">
        <f>IFERROR(__xludf.DUMMYFUNCTION("IF($A38="""","""",IF(OR(REGEXMATCH(LOWER(E$1),""(^| )""&amp;LOWER($A38)&amp;""($| )""),AND(RIGHT(LOWER($A38),1)=""s"",REGEXMATCH(LOWER(E$1),""(^| )""&amp;LEFT(LOWER($A38),LEN($A38)-1)&amp;""($| )""))),E$1,E$1&amp;"" ""&amp;$A38))"),"")</f>
        <v/>
      </c>
      <c r="F38" s="13" t="str">
        <f>IFERROR(__xludf.DUMMYFUNCTION("IF($A38="""","""",IF(OR(REGEXMATCH(LOWER(F$1),""(^| )""&amp;LOWER($A38)&amp;""($| )""),AND(RIGHT(LOWER($A38),1)=""s"",REGEXMATCH(LOWER(F$1),""(^| )""&amp;LEFT(LOWER($A38),LEN($A38)-1)&amp;""($| )""))),F$1,F$1&amp;"" ""&amp;$A38))"),"")</f>
        <v/>
      </c>
      <c r="G38" s="13" t="str">
        <f>IFERROR(__xludf.DUMMYFUNCTION("IF($A38="""","""",IF(OR(REGEXMATCH(LOWER(G$1),""(^| )""&amp;LOWER($A38)&amp;""($| )""),AND(RIGHT(LOWER($A38),1)=""s"",REGEXMATCH(LOWER(G$1),""(^| )""&amp;LEFT(LOWER($A38),LEN($A38)-1)&amp;""($| )""))),G$1,G$1&amp;"" ""&amp;$A38))"),"")</f>
        <v/>
      </c>
      <c r="H38" s="13" t="str">
        <f>IFERROR(__xludf.DUMMYFUNCTION("IF($A38="""","""",IF(OR(REGEXMATCH(LOWER(H$1),""(^| )""&amp;LOWER($A38)&amp;""($| )""),AND(RIGHT(LOWER($A38),1)=""s"",REGEXMATCH(LOWER(H$1),""(^| )""&amp;LEFT(LOWER($A38),LEN($A38)-1)&amp;""($| )""))),H$1,H$1&amp;"" ""&amp;$A38))"),"")</f>
        <v/>
      </c>
      <c r="I38" s="13" t="str">
        <f>IFERROR(__xludf.DUMMYFUNCTION("IF($A38="""","""",IF(OR(REGEXMATCH(LOWER(I$1),""(^| )""&amp;LOWER($A38)&amp;""($| )""),AND(RIGHT(LOWER($A38),1)=""s"",REGEXMATCH(LOWER(I$1),""(^| )""&amp;LEFT(LOWER($A38),LEN($A38)-1)&amp;""($| )""))),I$1,I$1&amp;"" ""&amp;$A38))"),"")</f>
        <v/>
      </c>
      <c r="J38" s="13" t="str">
        <f>IFERROR(__xludf.DUMMYFUNCTION("IF($A38="""","""",IF(OR(REGEXMATCH(LOWER(J$1),""(^| )""&amp;LOWER($A38)&amp;""($| )""),AND(RIGHT(LOWER($A38),1)=""s"",REGEXMATCH(LOWER(J$1),""(^| )""&amp;LEFT(LOWER($A38),LEN($A38)-1)&amp;""($| )""))),J$1,J$1&amp;"" ""&amp;$A38))"),"")</f>
        <v/>
      </c>
      <c r="K38" s="13" t="str">
        <f>IFERROR(__xludf.DUMMYFUNCTION("IF($A38="""","""",IF(OR(REGEXMATCH(LOWER(K$1),""(^| )""&amp;LOWER($A38)&amp;""($| )""),AND(RIGHT(LOWER($A38),1)=""s"",REGEXMATCH(LOWER(K$1),""(^| )""&amp;LEFT(LOWER($A38),LEN($A38)-1)&amp;""($| )""))),K$1,K$1&amp;"" ""&amp;$A38))"),"")</f>
        <v/>
      </c>
      <c r="L38" s="13"/>
      <c r="M38" s="13" t="str">
        <f>IFERROR(__xludf.DUMMYFUNCTION("""COMPUTED_VALUE"""),"sell house with liens as is")</f>
        <v>sell house with liens as is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 t="str">
        <f>IFERROR(__xludf.DUMMYFUNCTION("""COMPUTED_VALUE"""),"sell house behind on payments as is")</f>
        <v>sell house behind on payments as is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 t="str">
        <f>IFERROR(__xludf.DUMMYFUNCTION("""COMPUTED_VALUE"""),"sell house with tenants as is")</f>
        <v>sell house with tenants as is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 t="str">
        <f>IFERROR(__xludf.DUMMYFUNCTION("""COMPUTED_VALUE"""),"sell unwanted house as is")</f>
        <v>sell unwanted house as is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 t="str">
        <f>IFERROR(__xludf.DUMMYFUNCTION("""COMPUTED_VALUE"""),"sell house before relocation as is")</f>
        <v>sell house before relocation as is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IFERROR(__xludf.DUMMYFUNCTION("""COMPUTED_VALUE"""),"sell house in foreclosure without realtor")</f>
        <v>sell house in foreclosure without realtor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IFERROR(__xludf.DUMMYFUNCTION("""COMPUTED_VALUE"""),"avoid foreclosure by selling house without realtor")</f>
        <v>avoid foreclosure by selling house without realtor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IFERROR(__xludf.DUMMYFUNCTION("""COMPUTED_VALUE"""),"sell house during divorce without realtor")</f>
        <v>sell house during divorce without realtor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IFERROR(__xludf.DUMMYFUNCTION("""COMPUTED_VALUE"""),"sell inherited house without realtor")</f>
        <v>sell inherited house without realtor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IFERROR(__xludf.DUMMYFUNCTION("""COMPUTED_VALUE"""),"sell probate house without realtor")</f>
        <v>sell probate house without realtor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IFERROR(__xludf.DUMMYFUNCTION("""COMPUTED_VALUE"""),"sell house with liens without realtor")</f>
        <v>sell house with liens without realtor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IFERROR(__xludf.DUMMYFUNCTION("""COMPUTED_VALUE"""),"sell house behind on payments without realtor")</f>
        <v>sell house behind on payments without realtor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IFERROR(__xludf.DUMMYFUNCTION("""COMPUTED_VALUE"""),"sell house with tenants without realtor")</f>
        <v>sell house with tenants without realtor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IFERROR(__xludf.DUMMYFUNCTION("""COMPUTED_VALUE"""),"sell unwanted house without realtor")</f>
        <v>sell unwanted house without realtor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IFERROR(__xludf.DUMMYFUNCTION("""COMPUTED_VALUE"""),"sell house before relocation without realtor")</f>
        <v>sell house before relocation without realtor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IFERROR(__xludf.DUMMYFUNCTION("""COMPUTED_VALUE"""),"sell house in foreclosure no repairs")</f>
        <v>sell house in foreclosure no repairs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IFERROR(__xludf.DUMMYFUNCTION("""COMPUTED_VALUE"""),"avoid foreclosure by selling house no repairs")</f>
        <v>avoid foreclosure by selling house no repairs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IFERROR(__xludf.DUMMYFUNCTION("""COMPUTED_VALUE"""),"sell house during divorce no repairs")</f>
        <v>sell house during divorce no repairs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IFERROR(__xludf.DUMMYFUNCTION("""COMPUTED_VALUE"""),"sell inherited house no repairs")</f>
        <v>sell inherited house no repairs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IFERROR(__xludf.DUMMYFUNCTION("""COMPUTED_VALUE"""),"sell probate house no repairs")</f>
        <v>sell probate house no repairs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IFERROR(__xludf.DUMMYFUNCTION("""COMPUTED_VALUE"""),"sell house with liens no repairs")</f>
        <v>sell house with liens no repairs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IFERROR(__xludf.DUMMYFUNCTION("""COMPUTED_VALUE"""),"sell house behind on payments no repairs")</f>
        <v>sell house behind on payments no repairs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IFERROR(__xludf.DUMMYFUNCTION("""COMPUTED_VALUE"""),"sell house with tenants no repairs")</f>
        <v>sell house with tenants no repairs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IFERROR(__xludf.DUMMYFUNCTION("""COMPUTED_VALUE"""),"sell unwanted house no repairs")</f>
        <v>sell unwanted house no repairs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IFERROR(__xludf.DUMMYFUNCTION("""COMPUTED_VALUE"""),"sell house before relocation no repairs")</f>
        <v>sell house before relocation no repairs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IFERROR(__xludf.DUMMYFUNCTION("""COMPUTED_VALUE"""),"sell house in foreclosure no cleanup")</f>
        <v>sell house in foreclosure no cleanup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IFERROR(__xludf.DUMMYFUNCTION("""COMPUTED_VALUE"""),"avoid foreclosure by selling house no cleanup")</f>
        <v>avoid foreclosure by selling house no cleanup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IFERROR(__xludf.DUMMYFUNCTION("""COMPUTED_VALUE"""),"sell house during divorce no cleanup")</f>
        <v>sell house during divorce no cleanup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IFERROR(__xludf.DUMMYFUNCTION("""COMPUTED_VALUE"""),"sell inherited house no cleanup")</f>
        <v>sell inherited house no cleanup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IFERROR(__xludf.DUMMYFUNCTION("""COMPUTED_VALUE"""),"sell probate house no cleanup")</f>
        <v>sell probate house no cleanup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IFERROR(__xludf.DUMMYFUNCTION("""COMPUTED_VALUE"""),"sell house with liens no cleanup")</f>
        <v>sell house with liens no cleanup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IFERROR(__xludf.DUMMYFUNCTION("""COMPUTED_VALUE"""),"sell house behind on payments no cleanup")</f>
        <v>sell house behind on payments no cleanup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IFERROR(__xludf.DUMMYFUNCTION("""COMPUTED_VALUE"""),"sell house with tenants no cleanup")</f>
        <v>sell house with tenants no cleanup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IFERROR(__xludf.DUMMYFUNCTION("""COMPUTED_VALUE"""),"sell unwanted house no cleanup")</f>
        <v>sell unwanted house no cleanup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IFERROR(__xludf.DUMMYFUNCTION("""COMPUTED_VALUE"""),"sell house before relocation no cleanup")</f>
        <v>sell house before relocation no cleanup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IFERROR(__xludf.DUMMYFUNCTION("""COMPUTED_VALUE"""),"sell house in foreclosure direct buyer")</f>
        <v>sell house in foreclosure direct buyer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IFERROR(__xludf.DUMMYFUNCTION("""COMPUTED_VALUE"""),"avoid foreclosure by selling house direct buyer")</f>
        <v>avoid foreclosure by selling house direct buyer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IFERROR(__xludf.DUMMYFUNCTION("""COMPUTED_VALUE"""),"sell house during divorce direct buyer")</f>
        <v>sell house during divorce direct buyer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IFERROR(__xludf.DUMMYFUNCTION("""COMPUTED_VALUE"""),"sell inherited house direct buyer")</f>
        <v>sell inherited house direct buyer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IFERROR(__xludf.DUMMYFUNCTION("""COMPUTED_VALUE"""),"sell probate house direct buyer")</f>
        <v>sell probate house direct buyer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IFERROR(__xludf.DUMMYFUNCTION("""COMPUTED_VALUE"""),"sell house with liens direct buyer")</f>
        <v>sell house with liens direct buyer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IFERROR(__xludf.DUMMYFUNCTION("""COMPUTED_VALUE"""),"sell house behind on payments direct buyer")</f>
        <v>sell house behind on payments direct buyer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IFERROR(__xludf.DUMMYFUNCTION("""COMPUTED_VALUE"""),"sell house with tenants direct buyer")</f>
        <v>sell house with tenants direct buyer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IFERROR(__xludf.DUMMYFUNCTION("""COMPUTED_VALUE"""),"sell unwanted house direct buyer")</f>
        <v>sell unwanted house direct buyer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IFERROR(__xludf.DUMMYFUNCTION("""COMPUTED_VALUE"""),"sell house before relocation direct buyer")</f>
        <v>sell house before relocation direct buyer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IFERROR(__xludf.DUMMYFUNCTION("""COMPUTED_VALUE"""),"sell house in foreclosure cash buyer")</f>
        <v>sell house in foreclosure cash buyer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IFERROR(__xludf.DUMMYFUNCTION("""COMPUTED_VALUE"""),"avoid foreclosure by selling house cash buyer")</f>
        <v>avoid foreclosure by selling house cash buyer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IFERROR(__xludf.DUMMYFUNCTION("""COMPUTED_VALUE"""),"sell house during divorce cash buyer")</f>
        <v>sell house during divorce cash buyer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IFERROR(__xludf.DUMMYFUNCTION("""COMPUTED_VALUE"""),"sell inherited house cash buyer")</f>
        <v>sell inherited house cash buyer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IFERROR(__xludf.DUMMYFUNCTION("""COMPUTED_VALUE"""),"sell probate house cash buyer")</f>
        <v>sell probate house cash buyer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IFERROR(__xludf.DUMMYFUNCTION("""COMPUTED_VALUE"""),"sell house with liens cash buyer")</f>
        <v>sell house with liens cash buyer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IFERROR(__xludf.DUMMYFUNCTION("""COMPUTED_VALUE"""),"sell house behind on payments cash buyer")</f>
        <v>sell house behind on payments cash buyer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IFERROR(__xludf.DUMMYFUNCTION("""COMPUTED_VALUE"""),"sell house with tenants cash buyer")</f>
        <v>sell house with tenants cash buyer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IFERROR(__xludf.DUMMYFUNCTION("""COMPUTED_VALUE"""),"sell unwanted house cash buyer")</f>
        <v>sell unwanted house cash buyer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IFERROR(__xludf.DUMMYFUNCTION("""COMPUTED_VALUE"""),"sell house before relocation cash buyer")</f>
        <v>sell house before relocation cash buyer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IFERROR(__xludf.DUMMYFUNCTION("""COMPUTED_VALUE"""),"sell house in foreclosure urgent sale")</f>
        <v>sell house in foreclosure urgent sale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IFERROR(__xludf.DUMMYFUNCTION("""COMPUTED_VALUE"""),"avoid foreclosure by selling house urgent sale")</f>
        <v>avoid foreclosure by selling house urgent sale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IFERROR(__xludf.DUMMYFUNCTION("""COMPUTED_VALUE"""),"sell house during divorce urgent sale")</f>
        <v>sell house during divorce urgent sale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IFERROR(__xludf.DUMMYFUNCTION("""COMPUTED_VALUE"""),"sell inherited house urgent sale")</f>
        <v>sell inherited house urgent sale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IFERROR(__xludf.DUMMYFUNCTION("""COMPUTED_VALUE"""),"sell probate house urgent sale")</f>
        <v>sell probate house urgent sale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IFERROR(__xludf.DUMMYFUNCTION("""COMPUTED_VALUE"""),"sell house with liens urgent sale")</f>
        <v>sell house with liens urgent sale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IFERROR(__xludf.DUMMYFUNCTION("""COMPUTED_VALUE"""),"sell house behind on payments urgent sale")</f>
        <v>sell house behind on payments urgent sale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IFERROR(__xludf.DUMMYFUNCTION("""COMPUTED_VALUE"""),"sell house with tenants urgent sale")</f>
        <v>sell house with tenants urgent sale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IFERROR(__xludf.DUMMYFUNCTION("""COMPUTED_VALUE"""),"sell unwanted house urgent sale")</f>
        <v>sell unwanted house urgent sale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IFERROR(__xludf.DUMMYFUNCTION("""COMPUTED_VALUE"""),"sell house before relocation urgent sale")</f>
        <v>sell house before relocation urgent sale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IFERROR(__xludf.DUMMYFUNCTION("""COMPUTED_VALUE"""),"sell house in foreclosure before auction")</f>
        <v>sell house in foreclosure before auction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IFERROR(__xludf.DUMMYFUNCTION("""COMPUTED_VALUE"""),"avoid foreclosure by selling house before auction")</f>
        <v>avoid foreclosure by selling house before auction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IFERROR(__xludf.DUMMYFUNCTION("""COMPUTED_VALUE"""),"sell house during divorce before auction")</f>
        <v>sell house during divorce before auction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IFERROR(__xludf.DUMMYFUNCTION("""COMPUTED_VALUE"""),"sell inherited house before auction")</f>
        <v>sell inherited house before auction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IFERROR(__xludf.DUMMYFUNCTION("""COMPUTED_VALUE"""),"sell probate house before auction")</f>
        <v>sell probate house before auction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IFERROR(__xludf.DUMMYFUNCTION("""COMPUTED_VALUE"""),"sell house with liens before auction")</f>
        <v>sell house with liens before auction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IFERROR(__xludf.DUMMYFUNCTION("""COMPUTED_VALUE"""),"sell house behind on payments before auction")</f>
        <v>sell house behind on payments before auction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IFERROR(__xludf.DUMMYFUNCTION("""COMPUTED_VALUE"""),"sell house with tenants before auction")</f>
        <v>sell house with tenants before auction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IFERROR(__xludf.DUMMYFUNCTION("""COMPUTED_VALUE"""),"sell unwanted house before auction")</f>
        <v>sell unwanted house before auction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IFERROR(__xludf.DUMMYFUNCTION("""COMPUTED_VALUE"""),"sell house before relocation before auction")</f>
        <v>sell house before relocation before auction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IFERROR(__xludf.DUMMYFUNCTION("""COMPUTED_VALUE"""),"sell house in foreclosure before sheriff sale")</f>
        <v>sell house in foreclosure before sheriff sale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IFERROR(__xludf.DUMMYFUNCTION("""COMPUTED_VALUE"""),"avoid foreclosure by selling house before sheriff sale")</f>
        <v>avoid foreclosure by selling house before sheriff sale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IFERROR(__xludf.DUMMYFUNCTION("""COMPUTED_VALUE"""),"sell house during divorce before sheriff sale")</f>
        <v>sell house during divorce before sheriff sale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IFERROR(__xludf.DUMMYFUNCTION("""COMPUTED_VALUE"""),"sell inherited house before sheriff sale")</f>
        <v>sell inherited house before sheriff sale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IFERROR(__xludf.DUMMYFUNCTION("""COMPUTED_VALUE"""),"sell probate house before sheriff sale")</f>
        <v>sell probate house before sheriff sale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IFERROR(__xludf.DUMMYFUNCTION("""COMPUTED_VALUE"""),"sell house with liens before sheriff sale")</f>
        <v>sell house with liens before sheriff sale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IFERROR(__xludf.DUMMYFUNCTION("""COMPUTED_VALUE"""),"sell house behind on payments before sheriff sale")</f>
        <v>sell house behind on payments before sheriff sale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IFERROR(__xludf.DUMMYFUNCTION("""COMPUTED_VALUE"""),"sell house with tenants before sheriff sale")</f>
        <v>sell house with tenants before sheriff sale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IFERROR(__xludf.DUMMYFUNCTION("""COMPUTED_VALUE"""),"sell unwanted house before sheriff sale")</f>
        <v>sell unwanted house before sheriff sale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IFERROR(__xludf.DUMMYFUNCTION("""COMPUTED_VALUE"""),"sell house before relocation before sheriff sale")</f>
        <v>sell house before relocation before sheriff sale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IFERROR(__xludf.DUMMYFUNCTION("""COMPUTED_VALUE"""),"sell house in foreclosure before foreclosure auction")</f>
        <v>sell house in foreclosure before foreclosure auction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IFERROR(__xludf.DUMMYFUNCTION("""COMPUTED_VALUE"""),"avoid foreclosure by selling house before foreclosure auction")</f>
        <v>avoid foreclosure by selling house before foreclosure auction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IFERROR(__xludf.DUMMYFUNCTION("""COMPUTED_VALUE"""),"sell house during divorce before foreclosure auction")</f>
        <v>sell house during divorce before foreclosure auction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IFERROR(__xludf.DUMMYFUNCTION("""COMPUTED_VALUE"""),"sell inherited house before foreclosure auction")</f>
        <v>sell inherited house before foreclosure auction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IFERROR(__xludf.DUMMYFUNCTION("""COMPUTED_VALUE"""),"sell probate house before foreclosure auction")</f>
        <v>sell probate house before foreclosure auction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IFERROR(__xludf.DUMMYFUNCTION("""COMPUTED_VALUE"""),"sell house with liens before foreclosure auction")</f>
        <v>sell house with liens before foreclosure auction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IFERROR(__xludf.DUMMYFUNCTION("""COMPUTED_VALUE"""),"sell house behind on payments before foreclosure auction")</f>
        <v>sell house behind on payments before foreclosure auction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IFERROR(__xludf.DUMMYFUNCTION("""COMPUTED_VALUE"""),"sell house with tenants before foreclosure auction")</f>
        <v>sell house with tenants before foreclosure auction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IFERROR(__xludf.DUMMYFUNCTION("""COMPUTED_VALUE"""),"sell unwanted house before foreclosure auction")</f>
        <v>sell unwanted house before foreclosure auction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IFERROR(__xludf.DUMMYFUNCTION("""COMPUTED_VALUE"""),"sell house before relocation before foreclosure auction")</f>
        <v>sell house before relocation before foreclosure auction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IFERROR(__xludf.DUMMYFUNCTION("""COMPUTED_VALUE"""),"sell house in foreclosure avoid foreclosure")</f>
        <v>sell house in foreclosure avoid foreclosure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IFERROR(__xludf.DUMMYFUNCTION("""COMPUTED_VALUE"""),"avoid foreclosure by selling house")</f>
        <v>avoid foreclosure by selling house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IFERROR(__xludf.DUMMYFUNCTION("""COMPUTED_VALUE"""),"sell house during divorce avoid foreclosure")</f>
        <v>sell house during divorce avoid foreclosure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IFERROR(__xludf.DUMMYFUNCTION("""COMPUTED_VALUE"""),"sell inherited house avoid foreclosure")</f>
        <v>sell inherited house avoid foreclosure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IFERROR(__xludf.DUMMYFUNCTION("""COMPUTED_VALUE"""),"sell probate house avoid foreclosure")</f>
        <v>sell probate house avoid foreclosure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IFERROR(__xludf.DUMMYFUNCTION("""COMPUTED_VALUE"""),"sell house with liens avoid foreclosure")</f>
        <v>sell house with liens avoid foreclosure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IFERROR(__xludf.DUMMYFUNCTION("""COMPUTED_VALUE"""),"sell house behind on payments avoid foreclosure")</f>
        <v>sell house behind on payments avoid foreclosure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IFERROR(__xludf.DUMMYFUNCTION("""COMPUTED_VALUE"""),"sell house with tenants avoid foreclosure")</f>
        <v>sell house with tenants avoid foreclosure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IFERROR(__xludf.DUMMYFUNCTION("""COMPUTED_VALUE"""),"sell unwanted house avoid foreclosure")</f>
        <v>sell unwanted house avoid foreclosure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IFERROR(__xludf.DUMMYFUNCTION("""COMPUTED_VALUE"""),"sell house before relocation avoid foreclosure")</f>
        <v>sell house before relocation avoid foreclosure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IFERROR(__xludf.DUMMYFUNCTION("""COMPUTED_VALUE"""),"sell house in foreclosure stop foreclosure")</f>
        <v>sell house in foreclosure stop foreclosure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IFERROR(__xludf.DUMMYFUNCTION("""COMPUTED_VALUE"""),"avoid foreclosure by selling house stop foreclosure")</f>
        <v>avoid foreclosure by selling house stop foreclosure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IFERROR(__xludf.DUMMYFUNCTION("""COMPUTED_VALUE"""),"sell house during divorce stop foreclosure")</f>
        <v>sell house during divorce stop foreclosure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IFERROR(__xludf.DUMMYFUNCTION("""COMPUTED_VALUE"""),"sell inherited house stop foreclosure")</f>
        <v>sell inherited house stop foreclosure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IFERROR(__xludf.DUMMYFUNCTION("""COMPUTED_VALUE"""),"sell probate house stop foreclosure")</f>
        <v>sell probate house stop foreclosure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IFERROR(__xludf.DUMMYFUNCTION("""COMPUTED_VALUE"""),"sell house with liens stop foreclosure")</f>
        <v>sell house with liens stop foreclosure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IFERROR(__xludf.DUMMYFUNCTION("""COMPUTED_VALUE"""),"sell house behind on payments stop foreclosure")</f>
        <v>sell house behind on payments stop foreclosure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IFERROR(__xludf.DUMMYFUNCTION("""COMPUTED_VALUE"""),"sell house with tenants stop foreclosure")</f>
        <v>sell house with tenants stop foreclosure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IFERROR(__xludf.DUMMYFUNCTION("""COMPUTED_VALUE"""),"sell unwanted house stop foreclosure")</f>
        <v>sell unwanted house stop foreclosure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IFERROR(__xludf.DUMMYFUNCTION("""COMPUTED_VALUE"""),"sell house before relocation stop foreclosure")</f>
        <v>sell house before relocation stop foreclosure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IFERROR(__xludf.DUMMYFUNCTION("""COMPUTED_VALUE"""),"sell house in foreclosure behind on mortgage")</f>
        <v>sell house in foreclosure behind on mortgage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IFERROR(__xludf.DUMMYFUNCTION("""COMPUTED_VALUE"""),"avoid foreclosure by selling house behind on mortgage")</f>
        <v>avoid foreclosure by selling house behind on mortgage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IFERROR(__xludf.DUMMYFUNCTION("""COMPUTED_VALUE"""),"sell house during divorce behind on mortgage")</f>
        <v>sell house during divorce behind on mortgage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IFERROR(__xludf.DUMMYFUNCTION("""COMPUTED_VALUE"""),"sell inherited house behind on mortgage")</f>
        <v>sell inherited house behind on mortgage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IFERROR(__xludf.DUMMYFUNCTION("""COMPUTED_VALUE"""),"sell probate house behind on mortgage")</f>
        <v>sell probate house behind on mortgage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IFERROR(__xludf.DUMMYFUNCTION("""COMPUTED_VALUE"""),"sell house with liens behind on mortgage")</f>
        <v>sell house with liens behind on mortgage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IFERROR(__xludf.DUMMYFUNCTION("""COMPUTED_VALUE"""),"sell house behind on payments behind on mortgage")</f>
        <v>sell house behind on payments behind on mortgage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IFERROR(__xludf.DUMMYFUNCTION("""COMPUTED_VALUE"""),"sell house with tenants behind on mortgage")</f>
        <v>sell house with tenants behind on mortgage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IFERROR(__xludf.DUMMYFUNCTION("""COMPUTED_VALUE"""),"sell unwanted house behind on mortgage")</f>
        <v>sell unwanted house behind on mortgage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IFERROR(__xludf.DUMMYFUNCTION("""COMPUTED_VALUE"""),"sell house before relocation behind on mortgage")</f>
        <v>sell house before relocation behind on mortgage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IFERROR(__xludf.DUMMYFUNCTION("""COMPUTED_VALUE"""),"sell house in foreclosure missed payments")</f>
        <v>sell house in foreclosure missed payments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IFERROR(__xludf.DUMMYFUNCTION("""COMPUTED_VALUE"""),"avoid foreclosure by selling house missed payments")</f>
        <v>avoid foreclosure by selling house missed payments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IFERROR(__xludf.DUMMYFUNCTION("""COMPUTED_VALUE"""),"sell house during divorce missed payments")</f>
        <v>sell house during divorce missed payments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IFERROR(__xludf.DUMMYFUNCTION("""COMPUTED_VALUE"""),"sell inherited house missed payments")</f>
        <v>sell inherited house missed payments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IFERROR(__xludf.DUMMYFUNCTION("""COMPUTED_VALUE"""),"sell probate house missed payments")</f>
        <v>sell probate house missed payments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IFERROR(__xludf.DUMMYFUNCTION("""COMPUTED_VALUE"""),"sell house with liens missed payments")</f>
        <v>sell house with liens missed payments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IFERROR(__xludf.DUMMYFUNCTION("""COMPUTED_VALUE"""),"sell house behind on payments missed payments")</f>
        <v>sell house behind on payments missed payments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IFERROR(__xludf.DUMMYFUNCTION("""COMPUTED_VALUE"""),"sell house with tenants missed payments")</f>
        <v>sell house with tenants missed payments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IFERROR(__xludf.DUMMYFUNCTION("""COMPUTED_VALUE"""),"sell unwanted house missed payments")</f>
        <v>sell unwanted house missed payments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IFERROR(__xludf.DUMMYFUNCTION("""COMPUTED_VALUE"""),"sell house before relocation missed payments")</f>
        <v>sell house before relocation missed payments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IFERROR(__xludf.DUMMYFUNCTION("""COMPUTED_VALUE"""),"sell house in foreclosure tax liens")</f>
        <v>sell house in foreclosure tax liens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IFERROR(__xludf.DUMMYFUNCTION("""COMPUTED_VALUE"""),"avoid foreclosure by selling house tax liens")</f>
        <v>avoid foreclosure by selling house tax liens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IFERROR(__xludf.DUMMYFUNCTION("""COMPUTED_VALUE"""),"sell house during divorce tax liens")</f>
        <v>sell house during divorce tax liens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IFERROR(__xludf.DUMMYFUNCTION("""COMPUTED_VALUE"""),"sell inherited house tax liens")</f>
        <v>sell inherited house tax liens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IFERROR(__xludf.DUMMYFUNCTION("""COMPUTED_VALUE"""),"sell probate house tax liens")</f>
        <v>sell probate house tax liens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IFERROR(__xludf.DUMMYFUNCTION("""COMPUTED_VALUE"""),"sell house with liens tax liens")</f>
        <v>sell house with liens tax liens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IFERROR(__xludf.DUMMYFUNCTION("""COMPUTED_VALUE"""),"sell house behind on payments tax liens")</f>
        <v>sell house behind on payments tax liens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IFERROR(__xludf.DUMMYFUNCTION("""COMPUTED_VALUE"""),"sell house with tenants tax liens")</f>
        <v>sell house with tenants tax liens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IFERROR(__xludf.DUMMYFUNCTION("""COMPUTED_VALUE"""),"sell unwanted house tax liens")</f>
        <v>sell unwanted house tax liens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IFERROR(__xludf.DUMMYFUNCTION("""COMPUTED_VALUE"""),"sell house before relocation tax liens")</f>
        <v>sell house before relocation tax liens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IFERROR(__xludf.DUMMYFUNCTION("""COMPUTED_VALUE"""),"sell house in foreclosure code violations")</f>
        <v>sell house in foreclosure code violations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IFERROR(__xludf.DUMMYFUNCTION("""COMPUTED_VALUE"""),"avoid foreclosure by selling house code violations")</f>
        <v>avoid foreclosure by selling house code violations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IFERROR(__xludf.DUMMYFUNCTION("""COMPUTED_VALUE"""),"sell house during divorce code violations")</f>
        <v>sell house during divorce code violations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IFERROR(__xludf.DUMMYFUNCTION("""COMPUTED_VALUE"""),"sell inherited house code violations")</f>
        <v>sell inherited house code violations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IFERROR(__xludf.DUMMYFUNCTION("""COMPUTED_VALUE"""),"sell probate house code violations")</f>
        <v>sell probate house code violations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IFERROR(__xludf.DUMMYFUNCTION("""COMPUTED_VALUE"""),"sell house with liens code violations")</f>
        <v>sell house with liens code violations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IFERROR(__xludf.DUMMYFUNCTION("""COMPUTED_VALUE"""),"sell house behind on payments code violations")</f>
        <v>sell house behind on payments code violations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IFERROR(__xludf.DUMMYFUNCTION("""COMPUTED_VALUE"""),"sell house with tenants code violations")</f>
        <v>sell house with tenants code violations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IFERROR(__xludf.DUMMYFUNCTION("""COMPUTED_VALUE"""),"sell unwanted house code violations")</f>
        <v>sell unwanted house code violations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IFERROR(__xludf.DUMMYFUNCTION("""COMPUTED_VALUE"""),"sell house before relocation code violations")</f>
        <v>sell house before relocation code violations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IFERROR(__xludf.DUMMYFUNCTION("""COMPUTED_VALUE"""),"sell house in foreclosure bad tenants")</f>
        <v>sell house in foreclosure bad tenants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IFERROR(__xludf.DUMMYFUNCTION("""COMPUTED_VALUE"""),"avoid foreclosure by selling house bad tenants")</f>
        <v>avoid foreclosure by selling house bad tenants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IFERROR(__xludf.DUMMYFUNCTION("""COMPUTED_VALUE"""),"sell house during divorce bad tenants")</f>
        <v>sell house during divorce bad tenants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IFERROR(__xludf.DUMMYFUNCTION("""COMPUTED_VALUE"""),"sell inherited house bad tenants")</f>
        <v>sell inherited house bad tenants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IFERROR(__xludf.DUMMYFUNCTION("""COMPUTED_VALUE"""),"sell probate house bad tenants")</f>
        <v>sell probate house bad tenants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IFERROR(__xludf.DUMMYFUNCTION("""COMPUTED_VALUE"""),"sell house with liens bad tenants")</f>
        <v>sell house with liens bad tenants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IFERROR(__xludf.DUMMYFUNCTION("""COMPUTED_VALUE"""),"sell house behind on payments bad tenants")</f>
        <v>sell house behind on payments bad tenants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IFERROR(__xludf.DUMMYFUNCTION("""COMPUTED_VALUE"""),"sell house with tenants bad tenants")</f>
        <v>sell house with tenants bad tenants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IFERROR(__xludf.DUMMYFUNCTION("""COMPUTED_VALUE"""),"sell unwanted house bad tenants")</f>
        <v>sell unwanted house bad tenants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IFERROR(__xludf.DUMMYFUNCTION("""COMPUTED_VALUE"""),"sell house before relocation bad tenants")</f>
        <v>sell house before relocation bad tenants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IFERROR(__xludf.DUMMYFUNCTION("""COMPUTED_VALUE"""),"sell house in foreclosure eviction")</f>
        <v>sell house in foreclosure eviction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IFERROR(__xludf.DUMMYFUNCTION("""COMPUTED_VALUE"""),"avoid foreclosure by selling house eviction")</f>
        <v>avoid foreclosure by selling house eviction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IFERROR(__xludf.DUMMYFUNCTION("""COMPUTED_VALUE"""),"sell house during divorce eviction")</f>
        <v>sell house during divorce eviction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IFERROR(__xludf.DUMMYFUNCTION("""COMPUTED_VALUE"""),"sell inherited house eviction")</f>
        <v>sell inherited house eviction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IFERROR(__xludf.DUMMYFUNCTION("""COMPUTED_VALUE"""),"sell probate house eviction")</f>
        <v>sell probate house eviction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IFERROR(__xludf.DUMMYFUNCTION("""COMPUTED_VALUE"""),"sell house with liens eviction")</f>
        <v>sell house with liens eviction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IFERROR(__xludf.DUMMYFUNCTION("""COMPUTED_VALUE"""),"sell house behind on payments eviction")</f>
        <v>sell house behind on payments eviction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IFERROR(__xludf.DUMMYFUNCTION("""COMPUTED_VALUE"""),"sell house with tenants eviction")</f>
        <v>sell house with tenants eviction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IFERROR(__xludf.DUMMYFUNCTION("""COMPUTED_VALUE"""),"sell unwanted house eviction")</f>
        <v>sell unwanted house eviction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IFERROR(__xludf.DUMMYFUNCTION("""COMPUTED_VALUE"""),"sell house before relocation eviction")</f>
        <v>sell house before relocation eviction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IFERROR(__xludf.DUMMYFUNCTION("""COMPUTED_VALUE"""),"sell house in foreclosure probate court")</f>
        <v>sell house in foreclosure probate court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IFERROR(__xludf.DUMMYFUNCTION("""COMPUTED_VALUE"""),"avoid foreclosure by selling house probate court")</f>
        <v>avoid foreclosure by selling house probate court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IFERROR(__xludf.DUMMYFUNCTION("""COMPUTED_VALUE"""),"sell house during divorce probate court")</f>
        <v>sell house during divorce probate court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IFERROR(__xludf.DUMMYFUNCTION("""COMPUTED_VALUE"""),"sell inherited house probate court")</f>
        <v>sell inherited house probate court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IFERROR(__xludf.DUMMYFUNCTION("""COMPUTED_VALUE"""),"sell probate house probate court")</f>
        <v>sell probate house probate court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IFERROR(__xludf.DUMMYFUNCTION("""COMPUTED_VALUE"""),"sell house with liens probate court")</f>
        <v>sell house with liens probate court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IFERROR(__xludf.DUMMYFUNCTION("""COMPUTED_VALUE"""),"sell house behind on payments probate court")</f>
        <v>sell house behind on payments probate court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IFERROR(__xludf.DUMMYFUNCTION("""COMPUTED_VALUE"""),"sell house with tenants probate court")</f>
        <v>sell house with tenants probate court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IFERROR(__xludf.DUMMYFUNCTION("""COMPUTED_VALUE"""),"sell unwanted house probate court")</f>
        <v>sell unwanted house probate court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IFERROR(__xludf.DUMMYFUNCTION("""COMPUTED_VALUE"""),"sell house before relocation probate court")</f>
        <v>sell house before relocation probate court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IFERROR(__xludf.DUMMYFUNCTION("""COMPUTED_VALUE"""),"sell house in foreclosure estate sale")</f>
        <v>sell house in foreclosure estate sale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IFERROR(__xludf.DUMMYFUNCTION("""COMPUTED_VALUE"""),"avoid foreclosure by selling house estate sale")</f>
        <v>avoid foreclosure by selling house estate sale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IFERROR(__xludf.DUMMYFUNCTION("""COMPUTED_VALUE"""),"sell house during divorce estate sale")</f>
        <v>sell house during divorce estate sale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IFERROR(__xludf.DUMMYFUNCTION("""COMPUTED_VALUE"""),"sell inherited house estate sale")</f>
        <v>sell inherited house estate sale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IFERROR(__xludf.DUMMYFUNCTION("""COMPUTED_VALUE"""),"sell probate house estate sale")</f>
        <v>sell probate house estate sale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IFERROR(__xludf.DUMMYFUNCTION("""COMPUTED_VALUE"""),"sell house with liens estate sale")</f>
        <v>sell house with liens estate sale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IFERROR(__xludf.DUMMYFUNCTION("""COMPUTED_VALUE"""),"sell house behind on payments estate sale")</f>
        <v>sell house behind on payments estate sale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IFERROR(__xludf.DUMMYFUNCTION("""COMPUTED_VALUE"""),"sell house with tenants estate sale")</f>
        <v>sell house with tenants estate sale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IFERROR(__xludf.DUMMYFUNCTION("""COMPUTED_VALUE"""),"sell unwanted house estate sale")</f>
        <v>sell unwanted house estate sale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IFERROR(__xludf.DUMMYFUNCTION("""COMPUTED_VALUE"""),"sell house before relocation estate sale")</f>
        <v>sell house before relocation estate sale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IFERROR(__xludf.DUMMYFUNCTION("""COMPUTED_VALUE"""),"sell house in foreclosure divorce settlement")</f>
        <v>sell house in foreclosure divorce settlement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IFERROR(__xludf.DUMMYFUNCTION("""COMPUTED_VALUE"""),"avoid foreclosure by selling house divorce settlement")</f>
        <v>avoid foreclosure by selling house divorce settlement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IFERROR(__xludf.DUMMYFUNCTION("""COMPUTED_VALUE"""),"sell house during divorce divorce settlement")</f>
        <v>sell house during divorce divorce settlement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IFERROR(__xludf.DUMMYFUNCTION("""COMPUTED_VALUE"""),"sell inherited house divorce settlement")</f>
        <v>sell inherited house divorce settlement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IFERROR(__xludf.DUMMYFUNCTION("""COMPUTED_VALUE"""),"sell probate house divorce settlement")</f>
        <v>sell probate house divorce settlement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IFERROR(__xludf.DUMMYFUNCTION("""COMPUTED_VALUE"""),"sell house with liens divorce settlement")</f>
        <v>sell house with liens divorce settlement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IFERROR(__xludf.DUMMYFUNCTION("""COMPUTED_VALUE"""),"sell house behind on payments divorce settlement")</f>
        <v>sell house behind on payments divorce settlement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IFERROR(__xludf.DUMMYFUNCTION("""COMPUTED_VALUE"""),"sell house with tenants divorce settlement")</f>
        <v>sell house with tenants divorce settlement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IFERROR(__xludf.DUMMYFUNCTION("""COMPUTED_VALUE"""),"sell unwanted house divorce settlement")</f>
        <v>sell unwanted house divorce settlement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IFERROR(__xludf.DUMMYFUNCTION("""COMPUTED_VALUE"""),"sell house before relocation divorce settlement")</f>
        <v>sell house before relocation divorce settlement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IFERROR(__xludf.DUMMYFUNCTION("""COMPUTED_VALUE"""),"sell house in foreclosure relocation deadline")</f>
        <v>sell house in foreclosure relocation deadline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IFERROR(__xludf.DUMMYFUNCTION("""COMPUTED_VALUE"""),"avoid foreclosure by selling house relocation deadline")</f>
        <v>avoid foreclosure by selling house relocation deadline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IFERROR(__xludf.DUMMYFUNCTION("""COMPUTED_VALUE"""),"sell house during divorce relocation deadline")</f>
        <v>sell house during divorce relocation deadline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IFERROR(__xludf.DUMMYFUNCTION("""COMPUTED_VALUE"""),"sell inherited house relocation deadline")</f>
        <v>sell inherited house relocation deadline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IFERROR(__xludf.DUMMYFUNCTION("""COMPUTED_VALUE"""),"sell probate house relocation deadline")</f>
        <v>sell probate house relocation deadline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IFERROR(__xludf.DUMMYFUNCTION("""COMPUTED_VALUE"""),"sell house with liens relocation deadline")</f>
        <v>sell house with liens relocation deadline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IFERROR(__xludf.DUMMYFUNCTION("""COMPUTED_VALUE"""),"sell house behind on payments relocation deadline")</f>
        <v>sell house behind on payments relocation deadline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IFERROR(__xludf.DUMMYFUNCTION("""COMPUTED_VALUE"""),"sell house with tenants relocation deadline")</f>
        <v>sell house with tenants relocation deadline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IFERROR(__xludf.DUMMYFUNCTION("""COMPUTED_VALUE"""),"sell unwanted house relocation deadline")</f>
        <v>sell unwanted house relocation deadline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IFERROR(__xludf.DUMMYFUNCTION("""COMPUTED_VALUE"""),"sell house before relocation relocation deadline")</f>
        <v>sell house before relocation relocation deadline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IFERROR(__xludf.DUMMYFUNCTION("""COMPUTED_VALUE"""),"sell house in foreclosure job loss")</f>
        <v>sell house in foreclosure job loss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IFERROR(__xludf.DUMMYFUNCTION("""COMPUTED_VALUE"""),"avoid foreclosure by selling house job loss")</f>
        <v>avoid foreclosure by selling house job loss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IFERROR(__xludf.DUMMYFUNCTION("""COMPUTED_VALUE"""),"sell house during divorce job loss")</f>
        <v>sell house during divorce job loss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IFERROR(__xludf.DUMMYFUNCTION("""COMPUTED_VALUE"""),"sell inherited house job loss")</f>
        <v>sell inherited house job loss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IFERROR(__xludf.DUMMYFUNCTION("""COMPUTED_VALUE"""),"sell probate house job loss")</f>
        <v>sell probate house job loss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IFERROR(__xludf.DUMMYFUNCTION("""COMPUTED_VALUE"""),"sell house with liens job loss")</f>
        <v>sell house with liens job loss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IFERROR(__xludf.DUMMYFUNCTION("""COMPUTED_VALUE"""),"sell house behind on payments job loss")</f>
        <v>sell house behind on payments job loss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IFERROR(__xludf.DUMMYFUNCTION("""COMPUTED_VALUE"""),"sell house with tenants job loss")</f>
        <v>sell house with tenants job loss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IFERROR(__xludf.DUMMYFUNCTION("""COMPUTED_VALUE"""),"sell unwanted house job loss")</f>
        <v>sell unwanted house job loss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IFERROR(__xludf.DUMMYFUNCTION("""COMPUTED_VALUE"""),"sell house before relocation job loss")</f>
        <v>sell house before relocation job loss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IFERROR(__xludf.DUMMYFUNCTION("""COMPUTED_VALUE"""),"sell house in foreclosure downsizing")</f>
        <v>sell house in foreclosure downsizing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IFERROR(__xludf.DUMMYFUNCTION("""COMPUTED_VALUE"""),"avoid foreclosure by selling house downsizing")</f>
        <v>avoid foreclosure by selling house downsizing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IFERROR(__xludf.DUMMYFUNCTION("""COMPUTED_VALUE"""),"sell house during divorce downsizing")</f>
        <v>sell house during divorce downsizing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IFERROR(__xludf.DUMMYFUNCTION("""COMPUTED_VALUE"""),"sell inherited house downsizing")</f>
        <v>sell inherited house downsizing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IFERROR(__xludf.DUMMYFUNCTION("""COMPUTED_VALUE"""),"sell probate house downsizing")</f>
        <v>sell probate house downsizing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IFERROR(__xludf.DUMMYFUNCTION("""COMPUTED_VALUE"""),"sell house with liens downsizing")</f>
        <v>sell house with liens downsizing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IFERROR(__xludf.DUMMYFUNCTION("""COMPUTED_VALUE"""),"sell house behind on payments downsizing")</f>
        <v>sell house behind on payments downsizing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IFERROR(__xludf.DUMMYFUNCTION("""COMPUTED_VALUE"""),"sell house with tenants downsizing")</f>
        <v>sell house with tenants downsizing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IFERROR(__xludf.DUMMYFUNCTION("""COMPUTED_VALUE"""),"sell unwanted house downsizing")</f>
        <v>sell unwanted house downsizing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IFERROR(__xludf.DUMMYFUNCTION("""COMPUTED_VALUE"""),"sell house before relocation downsizing")</f>
        <v>sell house before relocation downsizing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IFERROR(__xludf.DUMMYFUNCTION("""COMPUTED_VALUE"""),"sell house in foreclosure bankruptcy")</f>
        <v>sell house in foreclosure bankruptcy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IFERROR(__xludf.DUMMYFUNCTION("""COMPUTED_VALUE"""),"avoid foreclosure by selling house bankruptcy")</f>
        <v>avoid foreclosure by selling house bankruptcy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IFERROR(__xludf.DUMMYFUNCTION("""COMPUTED_VALUE"""),"sell house during divorce bankruptcy")</f>
        <v>sell house during divorce bankruptcy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IFERROR(__xludf.DUMMYFUNCTION("""COMPUTED_VALUE"""),"sell inherited house bankruptcy")</f>
        <v>sell inherited house bankruptcy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IFERROR(__xludf.DUMMYFUNCTION("""COMPUTED_VALUE"""),"sell probate house bankruptcy")</f>
        <v>sell probate house bankruptcy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IFERROR(__xludf.DUMMYFUNCTION("""COMPUTED_VALUE"""),"sell house with liens bankruptcy")</f>
        <v>sell house with liens bankruptcy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IFERROR(__xludf.DUMMYFUNCTION("""COMPUTED_VALUE"""),"sell house behind on payments bankruptcy")</f>
        <v>sell house behind on payments bankruptcy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IFERROR(__xludf.DUMMYFUNCTION("""COMPUTED_VALUE"""),"sell house with tenants bankruptcy")</f>
        <v>sell house with tenants bankruptcy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IFERROR(__xludf.DUMMYFUNCTION("""COMPUTED_VALUE"""),"sell unwanted house bankruptcy")</f>
        <v>sell unwanted house bankruptcy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IFERROR(__xludf.DUMMYFUNCTION("""COMPUTED_VALUE"""),"sell house before relocation bankruptcy")</f>
        <v>sell house before relocation bankruptcy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IFERROR(__xludf.DUMMYFUNCTION("""COMPUTED_VALUE"""),"sell house in foreclosure vacant property")</f>
        <v>sell house in foreclosure vacant property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IFERROR(__xludf.DUMMYFUNCTION("""COMPUTED_VALUE"""),"avoid foreclosure by selling house vacant property")</f>
        <v>avoid foreclosure by selling house vacant property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IFERROR(__xludf.DUMMYFUNCTION("""COMPUTED_VALUE"""),"sell house during divorce vacant property")</f>
        <v>sell house during divorce vacant property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IFERROR(__xludf.DUMMYFUNCTION("""COMPUTED_VALUE"""),"sell inherited house vacant property")</f>
        <v>sell inherited house vacant property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IFERROR(__xludf.DUMMYFUNCTION("""COMPUTED_VALUE"""),"sell probate house vacant property")</f>
        <v>sell probate house vacant property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IFERROR(__xludf.DUMMYFUNCTION("""COMPUTED_VALUE"""),"sell house with liens vacant property")</f>
        <v>sell house with liens vacant property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IFERROR(__xludf.DUMMYFUNCTION("""COMPUTED_VALUE"""),"sell house behind on payments vacant property")</f>
        <v>sell house behind on payments vacant property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IFERROR(__xludf.DUMMYFUNCTION("""COMPUTED_VALUE"""),"sell house with tenants vacant property")</f>
        <v>sell house with tenants vacant property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IFERROR(__xludf.DUMMYFUNCTION("""COMPUTED_VALUE"""),"sell unwanted house vacant property")</f>
        <v>sell unwanted house vacant property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IFERROR(__xludf.DUMMYFUNCTION("""COMPUTED_VALUE"""),"sell house before relocation vacant property")</f>
        <v>sell house before relocation vacant property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IFERROR(__xludf.DUMMYFUNCTION("""COMPUTED_VALUE"""),"sell house in foreclosure abandoned property")</f>
        <v>sell house in foreclosure abandoned property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IFERROR(__xludf.DUMMYFUNCTION("""COMPUTED_VALUE"""),"avoid foreclosure by selling house abandoned property")</f>
        <v>avoid foreclosure by selling house abandoned property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IFERROR(__xludf.DUMMYFUNCTION("""COMPUTED_VALUE"""),"sell house during divorce abandoned property")</f>
        <v>sell house during divorce abandoned property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IFERROR(__xludf.DUMMYFUNCTION("""COMPUTED_VALUE"""),"sell inherited house abandoned property")</f>
        <v>sell inherited house abandoned property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IFERROR(__xludf.DUMMYFUNCTION("""COMPUTED_VALUE"""),"sell probate house abandoned property")</f>
        <v>sell probate house abandoned property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IFERROR(__xludf.DUMMYFUNCTION("""COMPUTED_VALUE"""),"sell house with liens abandoned property")</f>
        <v>sell house with liens abandoned property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IFERROR(__xludf.DUMMYFUNCTION("""COMPUTED_VALUE"""),"sell house behind on payments abandoned property")</f>
        <v>sell house behind on payments abandoned property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IFERROR(__xludf.DUMMYFUNCTION("""COMPUTED_VALUE"""),"sell house with tenants abandoned property")</f>
        <v>sell house with tenants abandoned property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IFERROR(__xludf.DUMMYFUNCTION("""COMPUTED_VALUE"""),"sell unwanted house abandoned property")</f>
        <v>sell unwanted house abandoned property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IFERROR(__xludf.DUMMYFUNCTION("""COMPUTED_VALUE"""),"sell house before relocation abandoned property")</f>
        <v>sell house before relocation abandoned property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IFERROR(__xludf.DUMMYFUNCTION("""COMPUTED_VALUE"""),"sell house in foreclosure burdensome property")</f>
        <v>sell house in foreclosure burdensome property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IFERROR(__xludf.DUMMYFUNCTION("""COMPUTED_VALUE"""),"avoid foreclosure by selling house burdensome property")</f>
        <v>avoid foreclosure by selling house burdensome property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IFERROR(__xludf.DUMMYFUNCTION("""COMPUTED_VALUE"""),"sell house during divorce burdensome property")</f>
        <v>sell house during divorce burdensome property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IFERROR(__xludf.DUMMYFUNCTION("""COMPUTED_VALUE"""),"sell inherited house burdensome property")</f>
        <v>sell inherited house burdensome property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IFERROR(__xludf.DUMMYFUNCTION("""COMPUTED_VALUE"""),"sell probate house burdensome property")</f>
        <v>sell probate house burdensome property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IFERROR(__xludf.DUMMYFUNCTION("""COMPUTED_VALUE"""),"sell house with liens burdensome property")</f>
        <v>sell house with liens burdensome property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IFERROR(__xludf.DUMMYFUNCTION("""COMPUTED_VALUE"""),"sell house behind on payments burdensome property")</f>
        <v>sell house behind on payments burdensome property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IFERROR(__xludf.DUMMYFUNCTION("""COMPUTED_VALUE"""),"sell house with tenants burdensome property")</f>
        <v>sell house with tenants burdensome property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IFERROR(__xludf.DUMMYFUNCTION("""COMPUTED_VALUE"""),"sell unwanted house burdensome property")</f>
        <v>sell unwanted house burdensome property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IFERROR(__xludf.DUMMYFUNCTION("""COMPUTED_VALUE"""),"sell house before relocation burdensome property")</f>
        <v>sell house before relocation burdensome property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IFERROR(__xludf.DUMMYFUNCTION("""COMPUTED_VALUE"""),"sell house in foreclosure upside down mortgage")</f>
        <v>sell house in foreclosure upside down mortgage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IFERROR(__xludf.DUMMYFUNCTION("""COMPUTED_VALUE"""),"avoid foreclosure by selling house upside down mortgage")</f>
        <v>avoid foreclosure by selling house upside down mortgage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IFERROR(__xludf.DUMMYFUNCTION("""COMPUTED_VALUE"""),"sell house during divorce upside down mortgage")</f>
        <v>sell house during divorce upside down mortgage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IFERROR(__xludf.DUMMYFUNCTION("""COMPUTED_VALUE"""),"sell inherited house upside down mortgage")</f>
        <v>sell inherited house upside down mortgage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IFERROR(__xludf.DUMMYFUNCTION("""COMPUTED_VALUE"""),"sell probate house upside down mortgage")</f>
        <v>sell probate house upside down mortgage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IFERROR(__xludf.DUMMYFUNCTION("""COMPUTED_VALUE"""),"sell house with liens upside down mortgage")</f>
        <v>sell house with liens upside down mortgage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IFERROR(__xludf.DUMMYFUNCTION("""COMPUTED_VALUE"""),"sell house behind on payments upside down mortgage")</f>
        <v>sell house behind on payments upside down mortgage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IFERROR(__xludf.DUMMYFUNCTION("""COMPUTED_VALUE"""),"sell house with tenants upside down mortgage")</f>
        <v>sell house with tenants upside down mortgage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IFERROR(__xludf.DUMMYFUNCTION("""COMPUTED_VALUE"""),"sell unwanted house upside down mortgage")</f>
        <v>sell unwanted house upside down mortgage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IFERROR(__xludf.DUMMYFUNCTION("""COMPUTED_VALUE"""),"sell house before relocation upside down mortgage")</f>
        <v>sell house before relocation upside down mortgage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IFERROR(__xludf.DUMMYFUNCTION("""COMPUTED_VALUE"""),"")</f>
        <v/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IFERROR(__xludf.DUMMYFUNCTION("""COMPUTED_VALUE"""),"")</f>
        <v/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IFERROR(__xludf.DUMMYFUNCTION("""COMPUTED_VALUE"""),"")</f>
        <v/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IFERROR(__xludf.DUMMYFUNCTION("""COMPUTED_VALUE"""),"")</f>
        <v/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IFERROR(__xludf.DUMMYFUNCTION("""COMPUTED_VALUE"""),"")</f>
        <v/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IFERROR(__xludf.DUMMYFUNCTION("""COMPUTED_VALUE"""),"")</f>
        <v/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IFERROR(__xludf.DUMMYFUNCTION("""COMPUTED_VALUE"""),"")</f>
        <v/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IFERROR(__xludf.DUMMYFUNCTION("""COMPUTED_VALUE"""),"")</f>
        <v/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IFERROR(__xludf.DUMMYFUNCTION("""COMPUTED_VALUE"""),"")</f>
        <v/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IFERROR(__xludf.DUMMYFUNCTION("""COMPUTED_VALUE"""),"")</f>
        <v/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 t="str">
        <f>IFERROR(__xludf.DUMMYFUNCTION("""COMPUTED_VALUE"""),"")</f>
        <v/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 t="str">
        <f>IFERROR(__xludf.DUMMYFUNCTION("""COMPUTED_VALUE"""),"")</f>
        <v/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 t="str">
        <f>IFERROR(__xludf.DUMMYFUNCTION("""COMPUTED_VALUE"""),"")</f>
        <v/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 t="str">
        <f>IFERROR(__xludf.DUMMYFUNCTION("""COMPUTED_VALUE"""),"")</f>
        <v/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 t="str">
        <f>IFERROR(__xludf.DUMMYFUNCTION("""COMPUTED_VALUE"""),"")</f>
        <v/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 t="str">
        <f>IFERROR(__xludf.DUMMYFUNCTION("""COMPUTED_VALUE"""),"")</f>
        <v/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 t="str">
        <f>IFERROR(__xludf.DUMMYFUNCTION("""COMPUTED_VALUE"""),"")</f>
        <v/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 t="str">
        <f>IFERROR(__xludf.DUMMYFUNCTION("""COMPUTED_VALUE"""),"")</f>
        <v/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 t="str">
        <f>IFERROR(__xludf.DUMMYFUNCTION("""COMPUTED_VALUE"""),"")</f>
        <v/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 t="str">
        <f>IFERROR(__xludf.DUMMYFUNCTION("""COMPUTED_VALUE"""),"")</f>
        <v/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 t="str">
        <f>IFERROR(__xludf.DUMMYFUNCTION("""COMPUTED_VALUE"""),"")</f>
        <v/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 t="str">
        <f>IFERROR(__xludf.DUMMYFUNCTION("""COMPUTED_VALUE"""),"")</f>
        <v/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 t="str">
        <f>IFERROR(__xludf.DUMMYFUNCTION("""COMPUTED_VALUE"""),"")</f>
        <v/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 t="str">
        <f>IFERROR(__xludf.DUMMYFUNCTION("""COMPUTED_VALUE"""),"")</f>
        <v/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 t="str">
        <f>IFERROR(__xludf.DUMMYFUNCTION("""COMPUTED_VALUE"""),"")</f>
        <v/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 t="str">
        <f>IFERROR(__xludf.DUMMYFUNCTION("""COMPUTED_VALUE"""),"")</f>
        <v/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 t="str">
        <f>IFERROR(__xludf.DUMMYFUNCTION("""COMPUTED_VALUE"""),"")</f>
        <v/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 t="str">
        <f>IFERROR(__xludf.DUMMYFUNCTION("""COMPUTED_VALUE"""),"")</f>
        <v/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 t="str">
        <f>IFERROR(__xludf.DUMMYFUNCTION("""COMPUTED_VALUE"""),"")</f>
        <v/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 t="str">
        <f>IFERROR(__xludf.DUMMYFUNCTION("""COMPUTED_VALUE"""),"")</f>
        <v/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 t="str">
        <f>IFERROR(__xludf.DUMMYFUNCTION("""COMPUTED_VALUE"""),"")</f>
        <v/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 t="str">
        <f>IFERROR(__xludf.DUMMYFUNCTION("""COMPUTED_VALUE"""),"")</f>
        <v/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 t="str">
        <f>IFERROR(__xludf.DUMMYFUNCTION("""COMPUTED_VALUE"""),"")</f>
        <v/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 t="str">
        <f>IFERROR(__xludf.DUMMYFUNCTION("""COMPUTED_VALUE"""),"")</f>
        <v/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 t="str">
        <f>IFERROR(__xludf.DUMMYFUNCTION("""COMPUTED_VALUE"""),"")</f>
        <v/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 t="str">
        <f>IFERROR(__xludf.DUMMYFUNCTION("""COMPUTED_VALUE"""),"")</f>
        <v/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 t="str">
        <f>IFERROR(__xludf.DUMMYFUNCTION("""COMPUTED_VALUE"""),"")</f>
        <v/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 t="str">
        <f>IFERROR(__xludf.DUMMYFUNCTION("""COMPUTED_VALUE"""),"")</f>
        <v/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 t="str">
        <f>IFERROR(__xludf.DUMMYFUNCTION("""COMPUTED_VALUE"""),"")</f>
        <v/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 t="str">
        <f>IFERROR(__xludf.DUMMYFUNCTION("""COMPUTED_VALUE"""),"")</f>
        <v/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 t="str">
        <f>IFERROR(__xludf.DUMMYFUNCTION("""COMPUTED_VALUE"""),"sell house in foreclosure")</f>
        <v>sell house in foreclosure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 t="str">
        <f>IFERROR(__xludf.DUMMYFUNCTION("""COMPUTED_VALUE"""),"avoid foreclosure by selling house")</f>
        <v>avoid foreclosure by selling house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 t="str">
        <f>IFERROR(__xludf.DUMMYFUNCTION("""COMPUTED_VALUE"""),"sell house during divorce")</f>
        <v>sell house during divorce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 t="str">
        <f>IFERROR(__xludf.DUMMYFUNCTION("""COMPUTED_VALUE"""),"sell inherited house")</f>
        <v>sell inherited house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 t="str">
        <f>IFERROR(__xludf.DUMMYFUNCTION("""COMPUTED_VALUE"""),"sell probate house")</f>
        <v>sell probate house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 t="str">
        <f>IFERROR(__xludf.DUMMYFUNCTION("""COMPUTED_VALUE"""),"sell house with liens")</f>
        <v>sell house with liens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 t="str">
        <f>IFERROR(__xludf.DUMMYFUNCTION("""COMPUTED_VALUE"""),"sell house behind on payments")</f>
        <v>sell house behind on payments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 t="str">
        <f>IFERROR(__xludf.DUMMYFUNCTION("""COMPUTED_VALUE"""),"sell house with tenants")</f>
        <v>sell house with tenants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 t="str">
        <f>IFERROR(__xludf.DUMMYFUNCTION("""COMPUTED_VALUE"""),"sell unwanted house")</f>
        <v>sell unwanted house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 t="str">
        <f>IFERROR(__xludf.DUMMYFUNCTION("""COMPUTED_VALUE"""),"sell house before relocation")</f>
        <v>sell house before relocation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51.25"/>
    <col customWidth="1" min="3" max="4" width="18.38"/>
    <col customWidth="1" min="5" max="11" width="18.0"/>
    <col customWidth="1" min="13" max="13" width="27.63"/>
  </cols>
  <sheetData>
    <row r="1">
      <c r="A1" s="1"/>
      <c r="B1" s="2" t="s">
        <v>349</v>
      </c>
      <c r="C1" s="2" t="s">
        <v>350</v>
      </c>
      <c r="D1" s="2" t="s">
        <v>351</v>
      </c>
      <c r="E1" s="2" t="s">
        <v>352</v>
      </c>
      <c r="F1" s="2" t="s">
        <v>353</v>
      </c>
      <c r="G1" s="2" t="s">
        <v>354</v>
      </c>
      <c r="H1" s="2" t="s">
        <v>355</v>
      </c>
      <c r="I1" s="2" t="s">
        <v>356</v>
      </c>
      <c r="J1" s="2" t="s">
        <v>357</v>
      </c>
      <c r="K1" s="2" t="s">
        <v>358</v>
      </c>
      <c r="L1" s="1"/>
      <c r="M1" s="2" t="s">
        <v>38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6" t="s">
        <v>41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11" t="s">
        <v>359</v>
      </c>
      <c r="B3" s="12" t="str">
        <f>IFERROR(__xludf.DUMMYFUNCTION("IF($A3="""","""",IF(OR(REGEXMATCH(LOWER(B$1),""(^| )""&amp;LOWER($A3)&amp;""($| )""),AND(RIGHT(LOWER($A3),1)=""s"",REGEXMATCH(LOWER(B$1),""(^| )""&amp;LEFT(LOWER($A3),LEN($A3)-1)&amp;""($| )""))),B$1,B$1&amp;"" ""&amp;$A3))"),"cost of selling a house")</f>
        <v>cost of selling a house</v>
      </c>
      <c r="C3" s="13" t="str">
        <f>IFERROR(__xludf.DUMMYFUNCTION("IF($A3="""","""",IF(OR(REGEXMATCH(LOWER(C$1),""(^| )""&amp;LOWER($A3)&amp;""($| )""),AND(RIGHT(LOWER($A3),1)=""s"",REGEXMATCH(LOWER(C$1),""(^| )""&amp;LEFT(LOWER($A3),LEN($A3)-1)&amp;""($| )""))),C$1,C$1&amp;"" ""&amp;$A3))"),"fees for selling a house")</f>
        <v>fees for selling a house</v>
      </c>
      <c r="D3" s="13" t="str">
        <f>IFERROR(__xludf.DUMMYFUNCTION("IF($A3="""","""",IF(OR(REGEXMATCH(LOWER(D$1),""(^| )""&amp;LOWER($A3)&amp;""($| )""),AND(RIGHT(LOWER($A3),1)=""s"",REGEXMATCH(LOWER(D$1),""(^| )""&amp;LEFT(LOWER($A3),LEN($A3)-1)&amp;""($| )""))),D$1,D$1&amp;"" ""&amp;$A3))"),"closing costs for selling a house")</f>
        <v>closing costs for selling a house</v>
      </c>
      <c r="E3" s="13" t="str">
        <f>IFERROR(__xludf.DUMMYFUNCTION("IF($A3="""","""",IF(OR(REGEXMATCH(LOWER(E$1),""(^| )""&amp;LOWER($A3)&amp;""($| )""),AND(RIGHT(LOWER($A3),1)=""s"",REGEXMATCH(LOWER(E$1),""(^| )""&amp;LEFT(LOWER($A3),LEN($A3)-1)&amp;""($| )""))),E$1,E$1&amp;"" ""&amp;$A3))"),"realtor fees for selling a house")</f>
        <v>realtor fees for selling a house</v>
      </c>
      <c r="F3" s="13" t="str">
        <f>IFERROR(__xludf.DUMMYFUNCTION("IF($A3="""","""",IF(OR(REGEXMATCH(LOWER(F$1),""(^| )""&amp;LOWER($A3)&amp;""($| )""),AND(RIGHT(LOWER($A3),1)=""s"",REGEXMATCH(LOWER(F$1),""(^| )""&amp;LEFT(LOWER($A3),LEN($A3)-1)&amp;""($| )""))),F$1,F$1&amp;"" ""&amp;$A3))"),"agent commission for selling a house")</f>
        <v>agent commission for selling a house</v>
      </c>
      <c r="G3" s="13" t="str">
        <f>IFERROR(__xludf.DUMMYFUNCTION("IF($A3="""","""",IF(OR(REGEXMATCH(LOWER(G$1),""(^| )""&amp;LOWER($A3)&amp;""($| )""),AND(RIGHT(LOWER($A3),1)=""s"",REGEXMATCH(LOWER(G$1),""(^| )""&amp;LEFT(LOWER($A3),LEN($A3)-1)&amp;""($| )""))),G$1,G$1&amp;"" ""&amp;$A3))"),"net proceeds from selling a house")</f>
        <v>net proceeds from selling a house</v>
      </c>
      <c r="H3" s="13" t="str">
        <f>IFERROR(__xludf.DUMMYFUNCTION("IF($A3="""","""",IF(OR(REGEXMATCH(LOWER(H$1),""(^| )""&amp;LOWER($A3)&amp;""($| )""),AND(RIGHT(LOWER($A3),1)=""s"",REGEXMATCH(LOWER(H$1),""(^| )""&amp;LEFT(LOWER($A3),LEN($A3)-1)&amp;""($| )""))),H$1,H$1&amp;"" ""&amp;$A3))"),"seller costs for selling a house")</f>
        <v>seller costs for selling a house</v>
      </c>
      <c r="I3" s="13" t="str">
        <f>IFERROR(__xludf.DUMMYFUNCTION("IF($A3="""","""",IF(OR(REGEXMATCH(LOWER(I$1),""(^| )""&amp;LOWER($A3)&amp;""($| )""),AND(RIGHT(LOWER($A3),1)=""s"",REGEXMATCH(LOWER(I$1),""(^| )""&amp;LEFT(LOWER($A3),LEN($A3)-1)&amp;""($| )""))),I$1,I$1&amp;"" ""&amp;$A3))"),"transfer taxes for selling a house")</f>
        <v>transfer taxes for selling a house</v>
      </c>
      <c r="J3" s="13" t="str">
        <f>IFERROR(__xludf.DUMMYFUNCTION("IF($A3="""","""",IF(OR(REGEXMATCH(LOWER(J$1),""(^| )""&amp;LOWER($A3)&amp;""($| )""),AND(RIGHT(LOWER($A3),1)=""s"",REGEXMATCH(LOWER(J$1),""(^| )""&amp;LEFT(LOWER($A3),LEN($A3)-1)&amp;""($| )""))),J$1,J$1&amp;"" ""&amp;$A3))"),"title fees for selling a house")</f>
        <v>title fees for selling a house</v>
      </c>
      <c r="K3" s="13" t="str">
        <f>IFERROR(__xludf.DUMMYFUNCTION("IF($A3="""","""",IF(OR(REGEXMATCH(LOWER(K$1),""(^| )""&amp;LOWER($A3)&amp;""($| )""),AND(RIGHT(LOWER($A3),1)=""s"",REGEXMATCH(LOWER(K$1),""(^| )""&amp;LEFT(LOWER($A3),LEN($A3)-1)&amp;""($| )""))),K$1,K$1&amp;"" ""&amp;$A3))"),"escrow fees for selling a house")</f>
        <v>escrow fees for selling a house</v>
      </c>
      <c r="L3" s="13"/>
      <c r="M3" s="13" t="str">
        <f>IFERROR(__xludf.DUMMYFUNCTION("FLATTEN(B3:K34,B1:K1)"),"cost of selling a house")</f>
        <v>cost of selling a house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>
      <c r="A4" s="11" t="s">
        <v>360</v>
      </c>
      <c r="B4" s="12" t="str">
        <f>IFERROR(__xludf.DUMMYFUNCTION("IF($A4="""","""",IF(OR(REGEXMATCH(LOWER(B$1),""(^| )""&amp;LOWER($A4)&amp;""($| )""),AND(RIGHT(LOWER($A4),1)=""s"",REGEXMATCH(LOWER(B$1),""(^| )""&amp;LEFT(LOWER($A4),LEN($A4)-1)&amp;""($| )""))),B$1,B$1&amp;"" ""&amp;$A4))"),"cost of selling my house")</f>
        <v>cost of selling my house</v>
      </c>
      <c r="C4" s="13" t="str">
        <f>IFERROR(__xludf.DUMMYFUNCTION("IF($A4="""","""",IF(OR(REGEXMATCH(LOWER(C$1),""(^| )""&amp;LOWER($A4)&amp;""($| )""),AND(RIGHT(LOWER($A4),1)=""s"",REGEXMATCH(LOWER(C$1),""(^| )""&amp;LEFT(LOWER($A4),LEN($A4)-1)&amp;""($| )""))),C$1,C$1&amp;"" ""&amp;$A4))"),"fees for selling my house")</f>
        <v>fees for selling my house</v>
      </c>
      <c r="D4" s="13" t="str">
        <f>IFERROR(__xludf.DUMMYFUNCTION("IF($A4="""","""",IF(OR(REGEXMATCH(LOWER(D$1),""(^| )""&amp;LOWER($A4)&amp;""($| )""),AND(RIGHT(LOWER($A4),1)=""s"",REGEXMATCH(LOWER(D$1),""(^| )""&amp;LEFT(LOWER($A4),LEN($A4)-1)&amp;""($| )""))),D$1,D$1&amp;"" ""&amp;$A4))"),"closing costs for selling my house")</f>
        <v>closing costs for selling my house</v>
      </c>
      <c r="E4" s="13" t="str">
        <f>IFERROR(__xludf.DUMMYFUNCTION("IF($A4="""","""",IF(OR(REGEXMATCH(LOWER(E$1),""(^| )""&amp;LOWER($A4)&amp;""($| )""),AND(RIGHT(LOWER($A4),1)=""s"",REGEXMATCH(LOWER(E$1),""(^| )""&amp;LEFT(LOWER($A4),LEN($A4)-1)&amp;""($| )""))),E$1,E$1&amp;"" ""&amp;$A4))"),"realtor fees for selling my house")</f>
        <v>realtor fees for selling my house</v>
      </c>
      <c r="F4" s="13" t="str">
        <f>IFERROR(__xludf.DUMMYFUNCTION("IF($A4="""","""",IF(OR(REGEXMATCH(LOWER(F$1),""(^| )""&amp;LOWER($A4)&amp;""($| )""),AND(RIGHT(LOWER($A4),1)=""s"",REGEXMATCH(LOWER(F$1),""(^| )""&amp;LEFT(LOWER($A4),LEN($A4)-1)&amp;""($| )""))),F$1,F$1&amp;"" ""&amp;$A4))"),"agent commission for selling my house")</f>
        <v>agent commission for selling my house</v>
      </c>
      <c r="G4" s="13" t="str">
        <f>IFERROR(__xludf.DUMMYFUNCTION("IF($A4="""","""",IF(OR(REGEXMATCH(LOWER(G$1),""(^| )""&amp;LOWER($A4)&amp;""($| )""),AND(RIGHT(LOWER($A4),1)=""s"",REGEXMATCH(LOWER(G$1),""(^| )""&amp;LEFT(LOWER($A4),LEN($A4)-1)&amp;""($| )""))),G$1,G$1&amp;"" ""&amp;$A4))"),"net proceeds from selling my house")</f>
        <v>net proceeds from selling my house</v>
      </c>
      <c r="H4" s="13" t="str">
        <f>IFERROR(__xludf.DUMMYFUNCTION("IF($A4="""","""",IF(OR(REGEXMATCH(LOWER(H$1),""(^| )""&amp;LOWER($A4)&amp;""($| )""),AND(RIGHT(LOWER($A4),1)=""s"",REGEXMATCH(LOWER(H$1),""(^| )""&amp;LEFT(LOWER($A4),LEN($A4)-1)&amp;""($| )""))),H$1,H$1&amp;"" ""&amp;$A4))"),"seller costs for selling my house")</f>
        <v>seller costs for selling my house</v>
      </c>
      <c r="I4" s="13" t="str">
        <f>IFERROR(__xludf.DUMMYFUNCTION("IF($A4="""","""",IF(OR(REGEXMATCH(LOWER(I$1),""(^| )""&amp;LOWER($A4)&amp;""($| )""),AND(RIGHT(LOWER($A4),1)=""s"",REGEXMATCH(LOWER(I$1),""(^| )""&amp;LEFT(LOWER($A4),LEN($A4)-1)&amp;""($| )""))),I$1,I$1&amp;"" ""&amp;$A4))"),"transfer taxes for selling my house")</f>
        <v>transfer taxes for selling my house</v>
      </c>
      <c r="J4" s="13" t="str">
        <f>IFERROR(__xludf.DUMMYFUNCTION("IF($A4="""","""",IF(OR(REGEXMATCH(LOWER(J$1),""(^| )""&amp;LOWER($A4)&amp;""($| )""),AND(RIGHT(LOWER($A4),1)=""s"",REGEXMATCH(LOWER(J$1),""(^| )""&amp;LEFT(LOWER($A4),LEN($A4)-1)&amp;""($| )""))),J$1,J$1&amp;"" ""&amp;$A4))"),"title fees for selling my house")</f>
        <v>title fees for selling my house</v>
      </c>
      <c r="K4" s="13" t="str">
        <f>IFERROR(__xludf.DUMMYFUNCTION("IF($A4="""","""",IF(OR(REGEXMATCH(LOWER(K$1),""(^| )""&amp;LOWER($A4)&amp;""($| )""),AND(RIGHT(LOWER($A4),1)=""s"",REGEXMATCH(LOWER(K$1),""(^| )""&amp;LEFT(LOWER($A4),LEN($A4)-1)&amp;""($| )""))),K$1,K$1&amp;"" ""&amp;$A4))"),"escrow fees for selling my house")</f>
        <v>escrow fees for selling my house</v>
      </c>
      <c r="L4" s="13"/>
      <c r="M4" s="13" t="str">
        <f>IFERROR(__xludf.DUMMYFUNCTION("""COMPUTED_VALUE"""),"fees for selling a house")</f>
        <v>fees for selling a house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1" t="s">
        <v>361</v>
      </c>
      <c r="B5" s="12" t="str">
        <f>IFERROR(__xludf.DUMMYFUNCTION("IF($A5="""","""",IF(OR(REGEXMATCH(LOWER(B$1),""(^| )""&amp;LOWER($A5)&amp;""($| )""),AND(RIGHT(LOWER($A5),1)=""s"",REGEXMATCH(LOWER(B$1),""(^| )""&amp;LEFT(LOWER($A5),LEN($A5)-1)&amp;""($| )""))),B$1,B$1&amp;"" ""&amp;$A5))"),"cost of selling your house")</f>
        <v>cost of selling your house</v>
      </c>
      <c r="C5" s="13" t="str">
        <f>IFERROR(__xludf.DUMMYFUNCTION("IF($A5="""","""",IF(OR(REGEXMATCH(LOWER(C$1),""(^| )""&amp;LOWER($A5)&amp;""($| )""),AND(RIGHT(LOWER($A5),1)=""s"",REGEXMATCH(LOWER(C$1),""(^| )""&amp;LEFT(LOWER($A5),LEN($A5)-1)&amp;""($| )""))),C$1,C$1&amp;"" ""&amp;$A5))"),"fees for selling your house")</f>
        <v>fees for selling your house</v>
      </c>
      <c r="D5" s="13" t="str">
        <f>IFERROR(__xludf.DUMMYFUNCTION("IF($A5="""","""",IF(OR(REGEXMATCH(LOWER(D$1),""(^| )""&amp;LOWER($A5)&amp;""($| )""),AND(RIGHT(LOWER($A5),1)=""s"",REGEXMATCH(LOWER(D$1),""(^| )""&amp;LEFT(LOWER($A5),LEN($A5)-1)&amp;""($| )""))),D$1,D$1&amp;"" ""&amp;$A5))"),"closing costs for selling your house")</f>
        <v>closing costs for selling your house</v>
      </c>
      <c r="E5" s="13" t="str">
        <f>IFERROR(__xludf.DUMMYFUNCTION("IF($A5="""","""",IF(OR(REGEXMATCH(LOWER(E$1),""(^| )""&amp;LOWER($A5)&amp;""($| )""),AND(RIGHT(LOWER($A5),1)=""s"",REGEXMATCH(LOWER(E$1),""(^| )""&amp;LEFT(LOWER($A5),LEN($A5)-1)&amp;""($| )""))),E$1,E$1&amp;"" ""&amp;$A5))"),"realtor fees for selling your house")</f>
        <v>realtor fees for selling your house</v>
      </c>
      <c r="F5" s="13" t="str">
        <f>IFERROR(__xludf.DUMMYFUNCTION("IF($A5="""","""",IF(OR(REGEXMATCH(LOWER(F$1),""(^| )""&amp;LOWER($A5)&amp;""($| )""),AND(RIGHT(LOWER($A5),1)=""s"",REGEXMATCH(LOWER(F$1),""(^| )""&amp;LEFT(LOWER($A5),LEN($A5)-1)&amp;""($| )""))),F$1,F$1&amp;"" ""&amp;$A5))"),"agent commission for selling your house")</f>
        <v>agent commission for selling your house</v>
      </c>
      <c r="G5" s="13" t="str">
        <f>IFERROR(__xludf.DUMMYFUNCTION("IF($A5="""","""",IF(OR(REGEXMATCH(LOWER(G$1),""(^| )""&amp;LOWER($A5)&amp;""($| )""),AND(RIGHT(LOWER($A5),1)=""s"",REGEXMATCH(LOWER(G$1),""(^| )""&amp;LEFT(LOWER($A5),LEN($A5)-1)&amp;""($| )""))),G$1,G$1&amp;"" ""&amp;$A5))"),"net proceeds from selling your house")</f>
        <v>net proceeds from selling your house</v>
      </c>
      <c r="H5" s="13" t="str">
        <f>IFERROR(__xludf.DUMMYFUNCTION("IF($A5="""","""",IF(OR(REGEXMATCH(LOWER(H$1),""(^| )""&amp;LOWER($A5)&amp;""($| )""),AND(RIGHT(LOWER($A5),1)=""s"",REGEXMATCH(LOWER(H$1),""(^| )""&amp;LEFT(LOWER($A5),LEN($A5)-1)&amp;""($| )""))),H$1,H$1&amp;"" ""&amp;$A5))"),"seller costs for selling your house")</f>
        <v>seller costs for selling your house</v>
      </c>
      <c r="I5" s="13" t="str">
        <f>IFERROR(__xludf.DUMMYFUNCTION("IF($A5="""","""",IF(OR(REGEXMATCH(LOWER(I$1),""(^| )""&amp;LOWER($A5)&amp;""($| )""),AND(RIGHT(LOWER($A5),1)=""s"",REGEXMATCH(LOWER(I$1),""(^| )""&amp;LEFT(LOWER($A5),LEN($A5)-1)&amp;""($| )""))),I$1,I$1&amp;"" ""&amp;$A5))"),"transfer taxes for selling your house")</f>
        <v>transfer taxes for selling your house</v>
      </c>
      <c r="J5" s="13" t="str">
        <f>IFERROR(__xludf.DUMMYFUNCTION("IF($A5="""","""",IF(OR(REGEXMATCH(LOWER(J$1),""(^| )""&amp;LOWER($A5)&amp;""($| )""),AND(RIGHT(LOWER($A5),1)=""s"",REGEXMATCH(LOWER(J$1),""(^| )""&amp;LEFT(LOWER($A5),LEN($A5)-1)&amp;""($| )""))),J$1,J$1&amp;"" ""&amp;$A5))"),"title fees for selling your house")</f>
        <v>title fees for selling your house</v>
      </c>
      <c r="K5" s="13" t="str">
        <f>IFERROR(__xludf.DUMMYFUNCTION("IF($A5="""","""",IF(OR(REGEXMATCH(LOWER(K$1),""(^| )""&amp;LOWER($A5)&amp;""($| )""),AND(RIGHT(LOWER($A5),1)=""s"",REGEXMATCH(LOWER(K$1),""(^| )""&amp;LEFT(LOWER($A5),LEN($A5)-1)&amp;""($| )""))),K$1,K$1&amp;"" ""&amp;$A5))"),"escrow fees for selling your house")</f>
        <v>escrow fees for selling your house</v>
      </c>
      <c r="L5" s="13"/>
      <c r="M5" s="13" t="str">
        <f>IFERROR(__xludf.DUMMYFUNCTION("""COMPUTED_VALUE"""),"closing costs for selling a house")</f>
        <v>closing costs for selling a house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</row>
    <row r="6">
      <c r="A6" s="11" t="s">
        <v>362</v>
      </c>
      <c r="B6" s="12" t="str">
        <f>IFERROR(__xludf.DUMMYFUNCTION("IF($A6="""","""",IF(OR(REGEXMATCH(LOWER(B$1),""(^| )""&amp;LOWER($A6)&amp;""($| )""),AND(RIGHT(LOWER($A6),1)=""s"",REGEXMATCH(LOWER(B$1),""(^| )""&amp;LEFT(LOWER($A6),LEN($A6)-1)&amp;""($| )""))),B$1,B$1&amp;"" ""&amp;$A6))"),"cost of selling a home")</f>
        <v>cost of selling a home</v>
      </c>
      <c r="C6" s="13" t="str">
        <f>IFERROR(__xludf.DUMMYFUNCTION("IF($A6="""","""",IF(OR(REGEXMATCH(LOWER(C$1),""(^| )""&amp;LOWER($A6)&amp;""($| )""),AND(RIGHT(LOWER($A6),1)=""s"",REGEXMATCH(LOWER(C$1),""(^| )""&amp;LEFT(LOWER($A6),LEN($A6)-1)&amp;""($| )""))),C$1,C$1&amp;"" ""&amp;$A6))"),"fees for selling a home")</f>
        <v>fees for selling a home</v>
      </c>
      <c r="D6" s="13" t="str">
        <f>IFERROR(__xludf.DUMMYFUNCTION("IF($A6="""","""",IF(OR(REGEXMATCH(LOWER(D$1),""(^| )""&amp;LOWER($A6)&amp;""($| )""),AND(RIGHT(LOWER($A6),1)=""s"",REGEXMATCH(LOWER(D$1),""(^| )""&amp;LEFT(LOWER($A6),LEN($A6)-1)&amp;""($| )""))),D$1,D$1&amp;"" ""&amp;$A6))"),"closing costs for selling a home")</f>
        <v>closing costs for selling a home</v>
      </c>
      <c r="E6" s="13" t="str">
        <f>IFERROR(__xludf.DUMMYFUNCTION("IF($A6="""","""",IF(OR(REGEXMATCH(LOWER(E$1),""(^| )""&amp;LOWER($A6)&amp;""($| )""),AND(RIGHT(LOWER($A6),1)=""s"",REGEXMATCH(LOWER(E$1),""(^| )""&amp;LEFT(LOWER($A6),LEN($A6)-1)&amp;""($| )""))),E$1,E$1&amp;"" ""&amp;$A6))"),"realtor fees for selling a home")</f>
        <v>realtor fees for selling a home</v>
      </c>
      <c r="F6" s="13" t="str">
        <f>IFERROR(__xludf.DUMMYFUNCTION("IF($A6="""","""",IF(OR(REGEXMATCH(LOWER(F$1),""(^| )""&amp;LOWER($A6)&amp;""($| )""),AND(RIGHT(LOWER($A6),1)=""s"",REGEXMATCH(LOWER(F$1),""(^| )""&amp;LEFT(LOWER($A6),LEN($A6)-1)&amp;""($| )""))),F$1,F$1&amp;"" ""&amp;$A6))"),"agent commission for selling a home")</f>
        <v>agent commission for selling a home</v>
      </c>
      <c r="G6" s="13" t="str">
        <f>IFERROR(__xludf.DUMMYFUNCTION("IF($A6="""","""",IF(OR(REGEXMATCH(LOWER(G$1),""(^| )""&amp;LOWER($A6)&amp;""($| )""),AND(RIGHT(LOWER($A6),1)=""s"",REGEXMATCH(LOWER(G$1),""(^| )""&amp;LEFT(LOWER($A6),LEN($A6)-1)&amp;""($| )""))),G$1,G$1&amp;"" ""&amp;$A6))"),"net proceeds from selling a home")</f>
        <v>net proceeds from selling a home</v>
      </c>
      <c r="H6" s="13" t="str">
        <f>IFERROR(__xludf.DUMMYFUNCTION("IF($A6="""","""",IF(OR(REGEXMATCH(LOWER(H$1),""(^| )""&amp;LOWER($A6)&amp;""($| )""),AND(RIGHT(LOWER($A6),1)=""s"",REGEXMATCH(LOWER(H$1),""(^| )""&amp;LEFT(LOWER($A6),LEN($A6)-1)&amp;""($| )""))),H$1,H$1&amp;"" ""&amp;$A6))"),"seller costs for selling a home")</f>
        <v>seller costs for selling a home</v>
      </c>
      <c r="I6" s="13" t="str">
        <f>IFERROR(__xludf.DUMMYFUNCTION("IF($A6="""","""",IF(OR(REGEXMATCH(LOWER(I$1),""(^| )""&amp;LOWER($A6)&amp;""($| )""),AND(RIGHT(LOWER($A6),1)=""s"",REGEXMATCH(LOWER(I$1),""(^| )""&amp;LEFT(LOWER($A6),LEN($A6)-1)&amp;""($| )""))),I$1,I$1&amp;"" ""&amp;$A6))"),"transfer taxes for selling a home")</f>
        <v>transfer taxes for selling a home</v>
      </c>
      <c r="J6" s="13" t="str">
        <f>IFERROR(__xludf.DUMMYFUNCTION("IF($A6="""","""",IF(OR(REGEXMATCH(LOWER(J$1),""(^| )""&amp;LOWER($A6)&amp;""($| )""),AND(RIGHT(LOWER($A6),1)=""s"",REGEXMATCH(LOWER(J$1),""(^| )""&amp;LEFT(LOWER($A6),LEN($A6)-1)&amp;""($| )""))),J$1,J$1&amp;"" ""&amp;$A6))"),"title fees for selling a home")</f>
        <v>title fees for selling a home</v>
      </c>
      <c r="K6" s="13" t="str">
        <f>IFERROR(__xludf.DUMMYFUNCTION("IF($A6="""","""",IF(OR(REGEXMATCH(LOWER(K$1),""(^| )""&amp;LOWER($A6)&amp;""($| )""),AND(RIGHT(LOWER($A6),1)=""s"",REGEXMATCH(LOWER(K$1),""(^| )""&amp;LEFT(LOWER($A6),LEN($A6)-1)&amp;""($| )""))),K$1,K$1&amp;"" ""&amp;$A6))"),"escrow fees for selling a home")</f>
        <v>escrow fees for selling a home</v>
      </c>
      <c r="L6" s="13"/>
      <c r="M6" s="13" t="str">
        <f>IFERROR(__xludf.DUMMYFUNCTION("""COMPUTED_VALUE"""),"realtor fees for selling a house")</f>
        <v>realtor fees for selling a house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</row>
    <row r="7">
      <c r="A7" s="11" t="s">
        <v>363</v>
      </c>
      <c r="B7" s="12" t="str">
        <f>IFERROR(__xludf.DUMMYFUNCTION("IF($A7="""","""",IF(OR(REGEXMATCH(LOWER(B$1),""(^| )""&amp;LOWER($A7)&amp;""($| )""),AND(RIGHT(LOWER($A7),1)=""s"",REGEXMATCH(LOWER(B$1),""(^| )""&amp;LEFT(LOWER($A7),LEN($A7)-1)&amp;""($| )""))),B$1,B$1&amp;"" ""&amp;$A7))"),"cost of selling property")</f>
        <v>cost of selling property</v>
      </c>
      <c r="C7" s="13" t="str">
        <f>IFERROR(__xludf.DUMMYFUNCTION("IF($A7="""","""",IF(OR(REGEXMATCH(LOWER(C$1),""(^| )""&amp;LOWER($A7)&amp;""($| )""),AND(RIGHT(LOWER($A7),1)=""s"",REGEXMATCH(LOWER(C$1),""(^| )""&amp;LEFT(LOWER($A7),LEN($A7)-1)&amp;""($| )""))),C$1,C$1&amp;"" ""&amp;$A7))"),"fees for selling property")</f>
        <v>fees for selling property</v>
      </c>
      <c r="D7" s="13" t="str">
        <f>IFERROR(__xludf.DUMMYFUNCTION("IF($A7="""","""",IF(OR(REGEXMATCH(LOWER(D$1),""(^| )""&amp;LOWER($A7)&amp;""($| )""),AND(RIGHT(LOWER($A7),1)=""s"",REGEXMATCH(LOWER(D$1),""(^| )""&amp;LEFT(LOWER($A7),LEN($A7)-1)&amp;""($| )""))),D$1,D$1&amp;"" ""&amp;$A7))"),"closing costs for selling property")</f>
        <v>closing costs for selling property</v>
      </c>
      <c r="E7" s="13" t="str">
        <f>IFERROR(__xludf.DUMMYFUNCTION("IF($A7="""","""",IF(OR(REGEXMATCH(LOWER(E$1),""(^| )""&amp;LOWER($A7)&amp;""($| )""),AND(RIGHT(LOWER($A7),1)=""s"",REGEXMATCH(LOWER(E$1),""(^| )""&amp;LEFT(LOWER($A7),LEN($A7)-1)&amp;""($| )""))),E$1,E$1&amp;"" ""&amp;$A7))"),"realtor fees for selling property")</f>
        <v>realtor fees for selling property</v>
      </c>
      <c r="F7" s="13" t="str">
        <f>IFERROR(__xludf.DUMMYFUNCTION("IF($A7="""","""",IF(OR(REGEXMATCH(LOWER(F$1),""(^| )""&amp;LOWER($A7)&amp;""($| )""),AND(RIGHT(LOWER($A7),1)=""s"",REGEXMATCH(LOWER(F$1),""(^| )""&amp;LEFT(LOWER($A7),LEN($A7)-1)&amp;""($| )""))),F$1,F$1&amp;"" ""&amp;$A7))"),"agent commission for selling property")</f>
        <v>agent commission for selling property</v>
      </c>
      <c r="G7" s="13" t="str">
        <f>IFERROR(__xludf.DUMMYFUNCTION("IF($A7="""","""",IF(OR(REGEXMATCH(LOWER(G$1),""(^| )""&amp;LOWER($A7)&amp;""($| )""),AND(RIGHT(LOWER($A7),1)=""s"",REGEXMATCH(LOWER(G$1),""(^| )""&amp;LEFT(LOWER($A7),LEN($A7)-1)&amp;""($| )""))),G$1,G$1&amp;"" ""&amp;$A7))"),"net proceeds from selling property")</f>
        <v>net proceeds from selling property</v>
      </c>
      <c r="H7" s="13" t="str">
        <f>IFERROR(__xludf.DUMMYFUNCTION("IF($A7="""","""",IF(OR(REGEXMATCH(LOWER(H$1),""(^| )""&amp;LOWER($A7)&amp;""($| )""),AND(RIGHT(LOWER($A7),1)=""s"",REGEXMATCH(LOWER(H$1),""(^| )""&amp;LEFT(LOWER($A7),LEN($A7)-1)&amp;""($| )""))),H$1,H$1&amp;"" ""&amp;$A7))"),"seller costs for selling property")</f>
        <v>seller costs for selling property</v>
      </c>
      <c r="I7" s="13" t="str">
        <f>IFERROR(__xludf.DUMMYFUNCTION("IF($A7="""","""",IF(OR(REGEXMATCH(LOWER(I$1),""(^| )""&amp;LOWER($A7)&amp;""($| )""),AND(RIGHT(LOWER($A7),1)=""s"",REGEXMATCH(LOWER(I$1),""(^| )""&amp;LEFT(LOWER($A7),LEN($A7)-1)&amp;""($| )""))),I$1,I$1&amp;"" ""&amp;$A7))"),"transfer taxes for selling property")</f>
        <v>transfer taxes for selling property</v>
      </c>
      <c r="J7" s="13" t="str">
        <f>IFERROR(__xludf.DUMMYFUNCTION("IF($A7="""","""",IF(OR(REGEXMATCH(LOWER(J$1),""(^| )""&amp;LOWER($A7)&amp;""($| )""),AND(RIGHT(LOWER($A7),1)=""s"",REGEXMATCH(LOWER(J$1),""(^| )""&amp;LEFT(LOWER($A7),LEN($A7)-1)&amp;""($| )""))),J$1,J$1&amp;"" ""&amp;$A7))"),"title fees for selling property")</f>
        <v>title fees for selling property</v>
      </c>
      <c r="K7" s="13" t="str">
        <f>IFERROR(__xludf.DUMMYFUNCTION("IF($A7="""","""",IF(OR(REGEXMATCH(LOWER(K$1),""(^| )""&amp;LOWER($A7)&amp;""($| )""),AND(RIGHT(LOWER($A7),1)=""s"",REGEXMATCH(LOWER(K$1),""(^| )""&amp;LEFT(LOWER($A7),LEN($A7)-1)&amp;""($| )""))),K$1,K$1&amp;"" ""&amp;$A7))"),"escrow fees for selling property")</f>
        <v>escrow fees for selling property</v>
      </c>
      <c r="L7" s="13"/>
      <c r="M7" s="13" t="str">
        <f>IFERROR(__xludf.DUMMYFUNCTION("""COMPUTED_VALUE"""),"agent commission for selling a house")</f>
        <v>agent commission for selling a house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</row>
    <row r="8">
      <c r="A8" s="11" t="s">
        <v>364</v>
      </c>
      <c r="B8" s="12" t="str">
        <f>IFERROR(__xludf.DUMMYFUNCTION("IF($A8="""","""",IF(OR(REGEXMATCH(LOWER(B$1),""(^| )""&amp;LOWER($A8)&amp;""($| )""),AND(RIGHT(LOWER($A8),1)=""s"",REGEXMATCH(LOWER(B$1),""(^| )""&amp;LEFT(LOWER($A8),LEN($A8)-1)&amp;""($| )""))),B$1,B$1&amp;"" ""&amp;$A8))"),"cost of selling house for cash")</f>
        <v>cost of selling house for cash</v>
      </c>
      <c r="C8" s="13" t="str">
        <f>IFERROR(__xludf.DUMMYFUNCTION("IF($A8="""","""",IF(OR(REGEXMATCH(LOWER(C$1),""(^| )""&amp;LOWER($A8)&amp;""($| )""),AND(RIGHT(LOWER($A8),1)=""s"",REGEXMATCH(LOWER(C$1),""(^| )""&amp;LEFT(LOWER($A8),LEN($A8)-1)&amp;""($| )""))),C$1,C$1&amp;"" ""&amp;$A8))"),"fees for selling house for cash")</f>
        <v>fees for selling house for cash</v>
      </c>
      <c r="D8" s="13" t="str">
        <f>IFERROR(__xludf.DUMMYFUNCTION("IF($A8="""","""",IF(OR(REGEXMATCH(LOWER(D$1),""(^| )""&amp;LOWER($A8)&amp;""($| )""),AND(RIGHT(LOWER($A8),1)=""s"",REGEXMATCH(LOWER(D$1),""(^| )""&amp;LEFT(LOWER($A8),LEN($A8)-1)&amp;""($| )""))),D$1,D$1&amp;"" ""&amp;$A8))"),"closing costs for selling house for cash")</f>
        <v>closing costs for selling house for cash</v>
      </c>
      <c r="E8" s="13" t="str">
        <f>IFERROR(__xludf.DUMMYFUNCTION("IF($A8="""","""",IF(OR(REGEXMATCH(LOWER(E$1),""(^| )""&amp;LOWER($A8)&amp;""($| )""),AND(RIGHT(LOWER($A8),1)=""s"",REGEXMATCH(LOWER(E$1),""(^| )""&amp;LEFT(LOWER($A8),LEN($A8)-1)&amp;""($| )""))),E$1,E$1&amp;"" ""&amp;$A8))"),"realtor fees for selling house for cash")</f>
        <v>realtor fees for selling house for cash</v>
      </c>
      <c r="F8" s="13" t="str">
        <f>IFERROR(__xludf.DUMMYFUNCTION("IF($A8="""","""",IF(OR(REGEXMATCH(LOWER(F$1),""(^| )""&amp;LOWER($A8)&amp;""($| )""),AND(RIGHT(LOWER($A8),1)=""s"",REGEXMATCH(LOWER(F$1),""(^| )""&amp;LEFT(LOWER($A8),LEN($A8)-1)&amp;""($| )""))),F$1,F$1&amp;"" ""&amp;$A8))"),"agent commission for selling house for cash")</f>
        <v>agent commission for selling house for cash</v>
      </c>
      <c r="G8" s="13" t="str">
        <f>IFERROR(__xludf.DUMMYFUNCTION("IF($A8="""","""",IF(OR(REGEXMATCH(LOWER(G$1),""(^| )""&amp;LOWER($A8)&amp;""($| )""),AND(RIGHT(LOWER($A8),1)=""s"",REGEXMATCH(LOWER(G$1),""(^| )""&amp;LEFT(LOWER($A8),LEN($A8)-1)&amp;""($| )""))),G$1,G$1&amp;"" ""&amp;$A8))"),"net proceeds from selling house for cash")</f>
        <v>net proceeds from selling house for cash</v>
      </c>
      <c r="H8" s="13" t="str">
        <f>IFERROR(__xludf.DUMMYFUNCTION("IF($A8="""","""",IF(OR(REGEXMATCH(LOWER(H$1),""(^| )""&amp;LOWER($A8)&amp;""($| )""),AND(RIGHT(LOWER($A8),1)=""s"",REGEXMATCH(LOWER(H$1),""(^| )""&amp;LEFT(LOWER($A8),LEN($A8)-1)&amp;""($| )""))),H$1,H$1&amp;"" ""&amp;$A8))"),"seller costs for selling house for cash")</f>
        <v>seller costs for selling house for cash</v>
      </c>
      <c r="I8" s="13" t="str">
        <f>IFERROR(__xludf.DUMMYFUNCTION("IF($A8="""","""",IF(OR(REGEXMATCH(LOWER(I$1),""(^| )""&amp;LOWER($A8)&amp;""($| )""),AND(RIGHT(LOWER($A8),1)=""s"",REGEXMATCH(LOWER(I$1),""(^| )""&amp;LEFT(LOWER($A8),LEN($A8)-1)&amp;""($| )""))),I$1,I$1&amp;"" ""&amp;$A8))"),"transfer taxes for selling house for cash")</f>
        <v>transfer taxes for selling house for cash</v>
      </c>
      <c r="J8" s="13" t="str">
        <f>IFERROR(__xludf.DUMMYFUNCTION("IF($A8="""","""",IF(OR(REGEXMATCH(LOWER(J$1),""(^| )""&amp;LOWER($A8)&amp;""($| )""),AND(RIGHT(LOWER($A8),1)=""s"",REGEXMATCH(LOWER(J$1),""(^| )""&amp;LEFT(LOWER($A8),LEN($A8)-1)&amp;""($| )""))),J$1,J$1&amp;"" ""&amp;$A8))"),"title fees for selling house for cash")</f>
        <v>title fees for selling house for cash</v>
      </c>
      <c r="K8" s="13" t="str">
        <f>IFERROR(__xludf.DUMMYFUNCTION("IF($A8="""","""",IF(OR(REGEXMATCH(LOWER(K$1),""(^| )""&amp;LOWER($A8)&amp;""($| )""),AND(RIGHT(LOWER($A8),1)=""s"",REGEXMATCH(LOWER(K$1),""(^| )""&amp;LEFT(LOWER($A8),LEN($A8)-1)&amp;""($| )""))),K$1,K$1&amp;"" ""&amp;$A8))"),"escrow fees for selling house for cash")</f>
        <v>escrow fees for selling house for cash</v>
      </c>
      <c r="L8" s="13"/>
      <c r="M8" s="13" t="str">
        <f>IFERROR(__xludf.DUMMYFUNCTION("""COMPUTED_VALUE"""),"net proceeds from selling a house")</f>
        <v>net proceeds from selling a house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>
      <c r="A9" s="11" t="s">
        <v>365</v>
      </c>
      <c r="B9" s="12" t="str">
        <f>IFERROR(__xludf.DUMMYFUNCTION("IF($A9="""","""",IF(OR(REGEXMATCH(LOWER(B$1),""(^| )""&amp;LOWER($A9)&amp;""($| )""),AND(RIGHT(LOWER($A9),1)=""s"",REGEXMATCH(LOWER(B$1),""(^| )""&amp;LEFT(LOWER($A9),LEN($A9)-1)&amp;""($| )""))),B$1,B$1&amp;"" ""&amp;$A9))"),"cost of selling home for cash")</f>
        <v>cost of selling home for cash</v>
      </c>
      <c r="C9" s="13" t="str">
        <f>IFERROR(__xludf.DUMMYFUNCTION("IF($A9="""","""",IF(OR(REGEXMATCH(LOWER(C$1),""(^| )""&amp;LOWER($A9)&amp;""($| )""),AND(RIGHT(LOWER($A9),1)=""s"",REGEXMATCH(LOWER(C$1),""(^| )""&amp;LEFT(LOWER($A9),LEN($A9)-1)&amp;""($| )""))),C$1,C$1&amp;"" ""&amp;$A9))"),"fees for selling home for cash")</f>
        <v>fees for selling home for cash</v>
      </c>
      <c r="D9" s="13" t="str">
        <f>IFERROR(__xludf.DUMMYFUNCTION("IF($A9="""","""",IF(OR(REGEXMATCH(LOWER(D$1),""(^| )""&amp;LOWER($A9)&amp;""($| )""),AND(RIGHT(LOWER($A9),1)=""s"",REGEXMATCH(LOWER(D$1),""(^| )""&amp;LEFT(LOWER($A9),LEN($A9)-1)&amp;""($| )""))),D$1,D$1&amp;"" ""&amp;$A9))"),"closing costs for selling home for cash")</f>
        <v>closing costs for selling home for cash</v>
      </c>
      <c r="E9" s="13" t="str">
        <f>IFERROR(__xludf.DUMMYFUNCTION("IF($A9="""","""",IF(OR(REGEXMATCH(LOWER(E$1),""(^| )""&amp;LOWER($A9)&amp;""($| )""),AND(RIGHT(LOWER($A9),1)=""s"",REGEXMATCH(LOWER(E$1),""(^| )""&amp;LEFT(LOWER($A9),LEN($A9)-1)&amp;""($| )""))),E$1,E$1&amp;"" ""&amp;$A9))"),"realtor fees for selling home for cash")</f>
        <v>realtor fees for selling home for cash</v>
      </c>
      <c r="F9" s="13" t="str">
        <f>IFERROR(__xludf.DUMMYFUNCTION("IF($A9="""","""",IF(OR(REGEXMATCH(LOWER(F$1),""(^| )""&amp;LOWER($A9)&amp;""($| )""),AND(RIGHT(LOWER($A9),1)=""s"",REGEXMATCH(LOWER(F$1),""(^| )""&amp;LEFT(LOWER($A9),LEN($A9)-1)&amp;""($| )""))),F$1,F$1&amp;"" ""&amp;$A9))"),"agent commission for selling home for cash")</f>
        <v>agent commission for selling home for cash</v>
      </c>
      <c r="G9" s="13" t="str">
        <f>IFERROR(__xludf.DUMMYFUNCTION("IF($A9="""","""",IF(OR(REGEXMATCH(LOWER(G$1),""(^| )""&amp;LOWER($A9)&amp;""($| )""),AND(RIGHT(LOWER($A9),1)=""s"",REGEXMATCH(LOWER(G$1),""(^| )""&amp;LEFT(LOWER($A9),LEN($A9)-1)&amp;""($| )""))),G$1,G$1&amp;"" ""&amp;$A9))"),"net proceeds from selling home for cash")</f>
        <v>net proceeds from selling home for cash</v>
      </c>
      <c r="H9" s="13" t="str">
        <f>IFERROR(__xludf.DUMMYFUNCTION("IF($A9="""","""",IF(OR(REGEXMATCH(LOWER(H$1),""(^| )""&amp;LOWER($A9)&amp;""($| )""),AND(RIGHT(LOWER($A9),1)=""s"",REGEXMATCH(LOWER(H$1),""(^| )""&amp;LEFT(LOWER($A9),LEN($A9)-1)&amp;""($| )""))),H$1,H$1&amp;"" ""&amp;$A9))"),"seller costs for selling home for cash")</f>
        <v>seller costs for selling home for cash</v>
      </c>
      <c r="I9" s="13" t="str">
        <f>IFERROR(__xludf.DUMMYFUNCTION("IF($A9="""","""",IF(OR(REGEXMATCH(LOWER(I$1),""(^| )""&amp;LOWER($A9)&amp;""($| )""),AND(RIGHT(LOWER($A9),1)=""s"",REGEXMATCH(LOWER(I$1),""(^| )""&amp;LEFT(LOWER($A9),LEN($A9)-1)&amp;""($| )""))),I$1,I$1&amp;"" ""&amp;$A9))"),"transfer taxes for selling home for cash")</f>
        <v>transfer taxes for selling home for cash</v>
      </c>
      <c r="J9" s="13" t="str">
        <f>IFERROR(__xludf.DUMMYFUNCTION("IF($A9="""","""",IF(OR(REGEXMATCH(LOWER(J$1),""(^| )""&amp;LOWER($A9)&amp;""($| )""),AND(RIGHT(LOWER($A9),1)=""s"",REGEXMATCH(LOWER(J$1),""(^| )""&amp;LEFT(LOWER($A9),LEN($A9)-1)&amp;""($| )""))),J$1,J$1&amp;"" ""&amp;$A9))"),"title fees for selling home for cash")</f>
        <v>title fees for selling home for cash</v>
      </c>
      <c r="K9" s="13" t="str">
        <f>IFERROR(__xludf.DUMMYFUNCTION("IF($A9="""","""",IF(OR(REGEXMATCH(LOWER(K$1),""(^| )""&amp;LOWER($A9)&amp;""($| )""),AND(RIGHT(LOWER($A9),1)=""s"",REGEXMATCH(LOWER(K$1),""(^| )""&amp;LEFT(LOWER($A9),LEN($A9)-1)&amp;""($| )""))),K$1,K$1&amp;"" ""&amp;$A9))"),"escrow fees for selling home for cash")</f>
        <v>escrow fees for selling home for cash</v>
      </c>
      <c r="L9" s="13"/>
      <c r="M9" s="13" t="str">
        <f>IFERROR(__xludf.DUMMYFUNCTION("""COMPUTED_VALUE"""),"seller costs for selling a house")</f>
        <v>seller costs for selling a house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>
      <c r="A10" s="11" t="s">
        <v>366</v>
      </c>
      <c r="B10" s="12" t="str">
        <f>IFERROR(__xludf.DUMMYFUNCTION("IF($A10="""","""",IF(OR(REGEXMATCH(LOWER(B$1),""(^| )""&amp;LOWER($A10)&amp;""($| )""),AND(RIGHT(LOWER($A10),1)=""s"",REGEXMATCH(LOWER(B$1),""(^| )""&amp;LEFT(LOWER($A10),LEN($A10)-1)&amp;""($| )""))),B$1,B$1&amp;"" ""&amp;$A10))"),"cost of selling house as is")</f>
        <v>cost of selling house as is</v>
      </c>
      <c r="C10" s="13" t="str">
        <f>IFERROR(__xludf.DUMMYFUNCTION("IF($A10="""","""",IF(OR(REGEXMATCH(LOWER(C$1),""(^| )""&amp;LOWER($A10)&amp;""($| )""),AND(RIGHT(LOWER($A10),1)=""s"",REGEXMATCH(LOWER(C$1),""(^| )""&amp;LEFT(LOWER($A10),LEN($A10)-1)&amp;""($| )""))),C$1,C$1&amp;"" ""&amp;$A10))"),"fees for selling house as is")</f>
        <v>fees for selling house as is</v>
      </c>
      <c r="D10" s="13" t="str">
        <f>IFERROR(__xludf.DUMMYFUNCTION("IF($A10="""","""",IF(OR(REGEXMATCH(LOWER(D$1),""(^| )""&amp;LOWER($A10)&amp;""($| )""),AND(RIGHT(LOWER($A10),1)=""s"",REGEXMATCH(LOWER(D$1),""(^| )""&amp;LEFT(LOWER($A10),LEN($A10)-1)&amp;""($| )""))),D$1,D$1&amp;"" ""&amp;$A10))"),"closing costs for selling house as is")</f>
        <v>closing costs for selling house as is</v>
      </c>
      <c r="E10" s="13" t="str">
        <f>IFERROR(__xludf.DUMMYFUNCTION("IF($A10="""","""",IF(OR(REGEXMATCH(LOWER(E$1),""(^| )""&amp;LOWER($A10)&amp;""($| )""),AND(RIGHT(LOWER($A10),1)=""s"",REGEXMATCH(LOWER(E$1),""(^| )""&amp;LEFT(LOWER($A10),LEN($A10)-1)&amp;""($| )""))),E$1,E$1&amp;"" ""&amp;$A10))"),"realtor fees for selling house as is")</f>
        <v>realtor fees for selling house as is</v>
      </c>
      <c r="F10" s="13" t="str">
        <f>IFERROR(__xludf.DUMMYFUNCTION("IF($A10="""","""",IF(OR(REGEXMATCH(LOWER(F$1),""(^| )""&amp;LOWER($A10)&amp;""($| )""),AND(RIGHT(LOWER($A10),1)=""s"",REGEXMATCH(LOWER(F$1),""(^| )""&amp;LEFT(LOWER($A10),LEN($A10)-1)&amp;""($| )""))),F$1,F$1&amp;"" ""&amp;$A10))"),"agent commission for selling house as is")</f>
        <v>agent commission for selling house as is</v>
      </c>
      <c r="G10" s="13" t="str">
        <f>IFERROR(__xludf.DUMMYFUNCTION("IF($A10="""","""",IF(OR(REGEXMATCH(LOWER(G$1),""(^| )""&amp;LOWER($A10)&amp;""($| )""),AND(RIGHT(LOWER($A10),1)=""s"",REGEXMATCH(LOWER(G$1),""(^| )""&amp;LEFT(LOWER($A10),LEN($A10)-1)&amp;""($| )""))),G$1,G$1&amp;"" ""&amp;$A10))"),"net proceeds from selling house as is")</f>
        <v>net proceeds from selling house as is</v>
      </c>
      <c r="H10" s="13" t="str">
        <f>IFERROR(__xludf.DUMMYFUNCTION("IF($A10="""","""",IF(OR(REGEXMATCH(LOWER(H$1),""(^| )""&amp;LOWER($A10)&amp;""($| )""),AND(RIGHT(LOWER($A10),1)=""s"",REGEXMATCH(LOWER(H$1),""(^| )""&amp;LEFT(LOWER($A10),LEN($A10)-1)&amp;""($| )""))),H$1,H$1&amp;"" ""&amp;$A10))"),"seller costs for selling house as is")</f>
        <v>seller costs for selling house as is</v>
      </c>
      <c r="I10" s="13" t="str">
        <f>IFERROR(__xludf.DUMMYFUNCTION("IF($A10="""","""",IF(OR(REGEXMATCH(LOWER(I$1),""(^| )""&amp;LOWER($A10)&amp;""($| )""),AND(RIGHT(LOWER($A10),1)=""s"",REGEXMATCH(LOWER(I$1),""(^| )""&amp;LEFT(LOWER($A10),LEN($A10)-1)&amp;""($| )""))),I$1,I$1&amp;"" ""&amp;$A10))"),"transfer taxes for selling house as is")</f>
        <v>transfer taxes for selling house as is</v>
      </c>
      <c r="J10" s="13" t="str">
        <f>IFERROR(__xludf.DUMMYFUNCTION("IF($A10="""","""",IF(OR(REGEXMATCH(LOWER(J$1),""(^| )""&amp;LOWER($A10)&amp;""($| )""),AND(RIGHT(LOWER($A10),1)=""s"",REGEXMATCH(LOWER(J$1),""(^| )""&amp;LEFT(LOWER($A10),LEN($A10)-1)&amp;""($| )""))),J$1,J$1&amp;"" ""&amp;$A10))"),"title fees for selling house as is")</f>
        <v>title fees for selling house as is</v>
      </c>
      <c r="K10" s="13" t="str">
        <f>IFERROR(__xludf.DUMMYFUNCTION("IF($A10="""","""",IF(OR(REGEXMATCH(LOWER(K$1),""(^| )""&amp;LOWER($A10)&amp;""($| )""),AND(RIGHT(LOWER($A10),1)=""s"",REGEXMATCH(LOWER(K$1),""(^| )""&amp;LEFT(LOWER($A10),LEN($A10)-1)&amp;""($| )""))),K$1,K$1&amp;"" ""&amp;$A10))"),"escrow fees for selling house as is")</f>
        <v>escrow fees for selling house as is</v>
      </c>
      <c r="L10" s="13"/>
      <c r="M10" s="13" t="str">
        <f>IFERROR(__xludf.DUMMYFUNCTION("""COMPUTED_VALUE"""),"transfer taxes for selling a house")</f>
        <v>transfer taxes for selling a house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>
      <c r="A11" s="11" t="s">
        <v>367</v>
      </c>
      <c r="B11" s="12" t="str">
        <f>IFERROR(__xludf.DUMMYFUNCTION("IF($A11="""","""",IF(OR(REGEXMATCH(LOWER(B$1),""(^| )""&amp;LOWER($A11)&amp;""($| )""),AND(RIGHT(LOWER($A11),1)=""s"",REGEXMATCH(LOWER(B$1),""(^| )""&amp;LEFT(LOWER($A11),LEN($A11)-1)&amp;""($| )""))),B$1,B$1&amp;"" ""&amp;$A11))"),"cost of selling house without realtor")</f>
        <v>cost of selling house without realtor</v>
      </c>
      <c r="C11" s="13" t="str">
        <f>IFERROR(__xludf.DUMMYFUNCTION("IF($A11="""","""",IF(OR(REGEXMATCH(LOWER(C$1),""(^| )""&amp;LOWER($A11)&amp;""($| )""),AND(RIGHT(LOWER($A11),1)=""s"",REGEXMATCH(LOWER(C$1),""(^| )""&amp;LEFT(LOWER($A11),LEN($A11)-1)&amp;""($| )""))),C$1,C$1&amp;"" ""&amp;$A11))"),"fees for selling house without realtor")</f>
        <v>fees for selling house without realtor</v>
      </c>
      <c r="D11" s="13" t="str">
        <f>IFERROR(__xludf.DUMMYFUNCTION("IF($A11="""","""",IF(OR(REGEXMATCH(LOWER(D$1),""(^| )""&amp;LOWER($A11)&amp;""($| )""),AND(RIGHT(LOWER($A11),1)=""s"",REGEXMATCH(LOWER(D$1),""(^| )""&amp;LEFT(LOWER($A11),LEN($A11)-1)&amp;""($| )""))),D$1,D$1&amp;"" ""&amp;$A11))"),"closing costs for selling house without realtor")</f>
        <v>closing costs for selling house without realtor</v>
      </c>
      <c r="E11" s="13" t="str">
        <f>IFERROR(__xludf.DUMMYFUNCTION("IF($A11="""","""",IF(OR(REGEXMATCH(LOWER(E$1),""(^| )""&amp;LOWER($A11)&amp;""($| )""),AND(RIGHT(LOWER($A11),1)=""s"",REGEXMATCH(LOWER(E$1),""(^| )""&amp;LEFT(LOWER($A11),LEN($A11)-1)&amp;""($| )""))),E$1,E$1&amp;"" ""&amp;$A11))"),"realtor fees for selling house without realtor")</f>
        <v>realtor fees for selling house without realtor</v>
      </c>
      <c r="F11" s="13" t="str">
        <f>IFERROR(__xludf.DUMMYFUNCTION("IF($A11="""","""",IF(OR(REGEXMATCH(LOWER(F$1),""(^| )""&amp;LOWER($A11)&amp;""($| )""),AND(RIGHT(LOWER($A11),1)=""s"",REGEXMATCH(LOWER(F$1),""(^| )""&amp;LEFT(LOWER($A11),LEN($A11)-1)&amp;""($| )""))),F$1,F$1&amp;"" ""&amp;$A11))"),"agent commission for selling house without realtor")</f>
        <v>agent commission for selling house without realtor</v>
      </c>
      <c r="G11" s="13" t="str">
        <f>IFERROR(__xludf.DUMMYFUNCTION("IF($A11="""","""",IF(OR(REGEXMATCH(LOWER(G$1),""(^| )""&amp;LOWER($A11)&amp;""($| )""),AND(RIGHT(LOWER($A11),1)=""s"",REGEXMATCH(LOWER(G$1),""(^| )""&amp;LEFT(LOWER($A11),LEN($A11)-1)&amp;""($| )""))),G$1,G$1&amp;"" ""&amp;$A11))"),"net proceeds from selling house without realtor")</f>
        <v>net proceeds from selling house without realtor</v>
      </c>
      <c r="H11" s="13" t="str">
        <f>IFERROR(__xludf.DUMMYFUNCTION("IF($A11="""","""",IF(OR(REGEXMATCH(LOWER(H$1),""(^| )""&amp;LOWER($A11)&amp;""($| )""),AND(RIGHT(LOWER($A11),1)=""s"",REGEXMATCH(LOWER(H$1),""(^| )""&amp;LEFT(LOWER($A11),LEN($A11)-1)&amp;""($| )""))),H$1,H$1&amp;"" ""&amp;$A11))"),"seller costs for selling house without realtor")</f>
        <v>seller costs for selling house without realtor</v>
      </c>
      <c r="I11" s="13" t="str">
        <f>IFERROR(__xludf.DUMMYFUNCTION("IF($A11="""","""",IF(OR(REGEXMATCH(LOWER(I$1),""(^| )""&amp;LOWER($A11)&amp;""($| )""),AND(RIGHT(LOWER($A11),1)=""s"",REGEXMATCH(LOWER(I$1),""(^| )""&amp;LEFT(LOWER($A11),LEN($A11)-1)&amp;""($| )""))),I$1,I$1&amp;"" ""&amp;$A11))"),"transfer taxes for selling house without realtor")</f>
        <v>transfer taxes for selling house without realtor</v>
      </c>
      <c r="J11" s="13" t="str">
        <f>IFERROR(__xludf.DUMMYFUNCTION("IF($A11="""","""",IF(OR(REGEXMATCH(LOWER(J$1),""(^| )""&amp;LOWER($A11)&amp;""($| )""),AND(RIGHT(LOWER($A11),1)=""s"",REGEXMATCH(LOWER(J$1),""(^| )""&amp;LEFT(LOWER($A11),LEN($A11)-1)&amp;""($| )""))),J$1,J$1&amp;"" ""&amp;$A11))"),"title fees for selling house without realtor")</f>
        <v>title fees for selling house without realtor</v>
      </c>
      <c r="K11" s="13" t="str">
        <f>IFERROR(__xludf.DUMMYFUNCTION("IF($A11="""","""",IF(OR(REGEXMATCH(LOWER(K$1),""(^| )""&amp;LOWER($A11)&amp;""($| )""),AND(RIGHT(LOWER($A11),1)=""s"",REGEXMATCH(LOWER(K$1),""(^| )""&amp;LEFT(LOWER($A11),LEN($A11)-1)&amp;""($| )""))),K$1,K$1&amp;"" ""&amp;$A11))"),"escrow fees for selling house without realtor")</f>
        <v>escrow fees for selling house without realtor</v>
      </c>
      <c r="L11" s="13"/>
      <c r="M11" s="13" t="str">
        <f>IFERROR(__xludf.DUMMYFUNCTION("""COMPUTED_VALUE"""),"title fees for selling a house")</f>
        <v>title fees for selling a house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>
      <c r="A12" s="11" t="s">
        <v>368</v>
      </c>
      <c r="B12" s="12" t="str">
        <f>IFERROR(__xludf.DUMMYFUNCTION("IF($A12="""","""",IF(OR(REGEXMATCH(LOWER(B$1),""(^| )""&amp;LOWER($A12)&amp;""($| )""),AND(RIGHT(LOWER($A12),1)=""s"",REGEXMATCH(LOWER(B$1),""(^| )""&amp;LEFT(LOWER($A12),LEN($A12)-1)&amp;""($| )""))),B$1,B$1&amp;"" ""&amp;$A12))"),"cost of selling house by owner")</f>
        <v>cost of selling house by owner</v>
      </c>
      <c r="C12" s="13" t="str">
        <f>IFERROR(__xludf.DUMMYFUNCTION("IF($A12="""","""",IF(OR(REGEXMATCH(LOWER(C$1),""(^| )""&amp;LOWER($A12)&amp;""($| )""),AND(RIGHT(LOWER($A12),1)=""s"",REGEXMATCH(LOWER(C$1),""(^| )""&amp;LEFT(LOWER($A12),LEN($A12)-1)&amp;""($| )""))),C$1,C$1&amp;"" ""&amp;$A12))"),"fees for selling house by owner")</f>
        <v>fees for selling house by owner</v>
      </c>
      <c r="D12" s="13" t="str">
        <f>IFERROR(__xludf.DUMMYFUNCTION("IF($A12="""","""",IF(OR(REGEXMATCH(LOWER(D$1),""(^| )""&amp;LOWER($A12)&amp;""($| )""),AND(RIGHT(LOWER($A12),1)=""s"",REGEXMATCH(LOWER(D$1),""(^| )""&amp;LEFT(LOWER($A12),LEN($A12)-1)&amp;""($| )""))),D$1,D$1&amp;"" ""&amp;$A12))"),"closing costs for selling house by owner")</f>
        <v>closing costs for selling house by owner</v>
      </c>
      <c r="E12" s="13" t="str">
        <f>IFERROR(__xludf.DUMMYFUNCTION("IF($A12="""","""",IF(OR(REGEXMATCH(LOWER(E$1),""(^| )""&amp;LOWER($A12)&amp;""($| )""),AND(RIGHT(LOWER($A12),1)=""s"",REGEXMATCH(LOWER(E$1),""(^| )""&amp;LEFT(LOWER($A12),LEN($A12)-1)&amp;""($| )""))),E$1,E$1&amp;"" ""&amp;$A12))"),"realtor fees for selling house by owner")</f>
        <v>realtor fees for selling house by owner</v>
      </c>
      <c r="F12" s="13" t="str">
        <f>IFERROR(__xludf.DUMMYFUNCTION("IF($A12="""","""",IF(OR(REGEXMATCH(LOWER(F$1),""(^| )""&amp;LOWER($A12)&amp;""($| )""),AND(RIGHT(LOWER($A12),1)=""s"",REGEXMATCH(LOWER(F$1),""(^| )""&amp;LEFT(LOWER($A12),LEN($A12)-1)&amp;""($| )""))),F$1,F$1&amp;"" ""&amp;$A12))"),"agent commission for selling house by owner")</f>
        <v>agent commission for selling house by owner</v>
      </c>
      <c r="G12" s="13" t="str">
        <f>IFERROR(__xludf.DUMMYFUNCTION("IF($A12="""","""",IF(OR(REGEXMATCH(LOWER(G$1),""(^| )""&amp;LOWER($A12)&amp;""($| )""),AND(RIGHT(LOWER($A12),1)=""s"",REGEXMATCH(LOWER(G$1),""(^| )""&amp;LEFT(LOWER($A12),LEN($A12)-1)&amp;""($| )""))),G$1,G$1&amp;"" ""&amp;$A12))"),"net proceeds from selling house by owner")</f>
        <v>net proceeds from selling house by owner</v>
      </c>
      <c r="H12" s="13" t="str">
        <f>IFERROR(__xludf.DUMMYFUNCTION("IF($A12="""","""",IF(OR(REGEXMATCH(LOWER(H$1),""(^| )""&amp;LOWER($A12)&amp;""($| )""),AND(RIGHT(LOWER($A12),1)=""s"",REGEXMATCH(LOWER(H$1),""(^| )""&amp;LEFT(LOWER($A12),LEN($A12)-1)&amp;""($| )""))),H$1,H$1&amp;"" ""&amp;$A12))"),"seller costs for selling house by owner")</f>
        <v>seller costs for selling house by owner</v>
      </c>
      <c r="I12" s="13" t="str">
        <f>IFERROR(__xludf.DUMMYFUNCTION("IF($A12="""","""",IF(OR(REGEXMATCH(LOWER(I$1),""(^| )""&amp;LOWER($A12)&amp;""($| )""),AND(RIGHT(LOWER($A12),1)=""s"",REGEXMATCH(LOWER(I$1),""(^| )""&amp;LEFT(LOWER($A12),LEN($A12)-1)&amp;""($| )""))),I$1,I$1&amp;"" ""&amp;$A12))"),"transfer taxes for selling house by owner")</f>
        <v>transfer taxes for selling house by owner</v>
      </c>
      <c r="J12" s="13" t="str">
        <f>IFERROR(__xludf.DUMMYFUNCTION("IF($A12="""","""",IF(OR(REGEXMATCH(LOWER(J$1),""(^| )""&amp;LOWER($A12)&amp;""($| )""),AND(RIGHT(LOWER($A12),1)=""s"",REGEXMATCH(LOWER(J$1),""(^| )""&amp;LEFT(LOWER($A12),LEN($A12)-1)&amp;""($| )""))),J$1,J$1&amp;"" ""&amp;$A12))"),"title fees for selling house by owner")</f>
        <v>title fees for selling house by owner</v>
      </c>
      <c r="K12" s="13" t="str">
        <f>IFERROR(__xludf.DUMMYFUNCTION("IF($A12="""","""",IF(OR(REGEXMATCH(LOWER(K$1),""(^| )""&amp;LOWER($A12)&amp;""($| )""),AND(RIGHT(LOWER($A12),1)=""s"",REGEXMATCH(LOWER(K$1),""(^| )""&amp;LEFT(LOWER($A12),LEN($A12)-1)&amp;""($| )""))),K$1,K$1&amp;"" ""&amp;$A12))"),"escrow fees for selling house by owner")</f>
        <v>escrow fees for selling house by owner</v>
      </c>
      <c r="L12" s="13"/>
      <c r="M12" s="13" t="str">
        <f>IFERROR(__xludf.DUMMYFUNCTION("""COMPUTED_VALUE"""),"escrow fees for selling a house")</f>
        <v>escrow fees for selling a house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>
      <c r="A13" s="11" t="s">
        <v>369</v>
      </c>
      <c r="B13" s="12" t="str">
        <f>IFERROR(__xludf.DUMMYFUNCTION("IF($A13="""","""",IF(OR(REGEXMATCH(LOWER(B$1),""(^| )""&amp;LOWER($A13)&amp;""($| )""),AND(RIGHT(LOWER($A13),1)=""s"",REGEXMATCH(LOWER(B$1),""(^| )""&amp;LEFT(LOWER($A13),LEN($A13)-1)&amp;""($| )""))),B$1,B$1&amp;"" ""&amp;$A13))"),"cost of selling house to cash buyer")</f>
        <v>cost of selling house to cash buyer</v>
      </c>
      <c r="C13" s="13" t="str">
        <f>IFERROR(__xludf.DUMMYFUNCTION("IF($A13="""","""",IF(OR(REGEXMATCH(LOWER(C$1),""(^| )""&amp;LOWER($A13)&amp;""($| )""),AND(RIGHT(LOWER($A13),1)=""s"",REGEXMATCH(LOWER(C$1),""(^| )""&amp;LEFT(LOWER($A13),LEN($A13)-1)&amp;""($| )""))),C$1,C$1&amp;"" ""&amp;$A13))"),"fees for selling house to cash buyer")</f>
        <v>fees for selling house to cash buyer</v>
      </c>
      <c r="D13" s="13" t="str">
        <f>IFERROR(__xludf.DUMMYFUNCTION("IF($A13="""","""",IF(OR(REGEXMATCH(LOWER(D$1),""(^| )""&amp;LOWER($A13)&amp;""($| )""),AND(RIGHT(LOWER($A13),1)=""s"",REGEXMATCH(LOWER(D$1),""(^| )""&amp;LEFT(LOWER($A13),LEN($A13)-1)&amp;""($| )""))),D$1,D$1&amp;"" ""&amp;$A13))"),"closing costs for selling house to cash buyer")</f>
        <v>closing costs for selling house to cash buyer</v>
      </c>
      <c r="E13" s="13" t="str">
        <f>IFERROR(__xludf.DUMMYFUNCTION("IF($A13="""","""",IF(OR(REGEXMATCH(LOWER(E$1),""(^| )""&amp;LOWER($A13)&amp;""($| )""),AND(RIGHT(LOWER($A13),1)=""s"",REGEXMATCH(LOWER(E$1),""(^| )""&amp;LEFT(LOWER($A13),LEN($A13)-1)&amp;""($| )""))),E$1,E$1&amp;"" ""&amp;$A13))"),"realtor fees for selling house to cash buyer")</f>
        <v>realtor fees for selling house to cash buyer</v>
      </c>
      <c r="F13" s="13" t="str">
        <f>IFERROR(__xludf.DUMMYFUNCTION("IF($A13="""","""",IF(OR(REGEXMATCH(LOWER(F$1),""(^| )""&amp;LOWER($A13)&amp;""($| )""),AND(RIGHT(LOWER($A13),1)=""s"",REGEXMATCH(LOWER(F$1),""(^| )""&amp;LEFT(LOWER($A13),LEN($A13)-1)&amp;""($| )""))),F$1,F$1&amp;"" ""&amp;$A13))"),"agent commission for selling house to cash buyer")</f>
        <v>agent commission for selling house to cash buyer</v>
      </c>
      <c r="G13" s="13" t="str">
        <f>IFERROR(__xludf.DUMMYFUNCTION("IF($A13="""","""",IF(OR(REGEXMATCH(LOWER(G$1),""(^| )""&amp;LOWER($A13)&amp;""($| )""),AND(RIGHT(LOWER($A13),1)=""s"",REGEXMATCH(LOWER(G$1),""(^| )""&amp;LEFT(LOWER($A13),LEN($A13)-1)&amp;""($| )""))),G$1,G$1&amp;"" ""&amp;$A13))"),"net proceeds from selling house to cash buyer")</f>
        <v>net proceeds from selling house to cash buyer</v>
      </c>
      <c r="H13" s="13" t="str">
        <f>IFERROR(__xludf.DUMMYFUNCTION("IF($A13="""","""",IF(OR(REGEXMATCH(LOWER(H$1),""(^| )""&amp;LOWER($A13)&amp;""($| )""),AND(RIGHT(LOWER($A13),1)=""s"",REGEXMATCH(LOWER(H$1),""(^| )""&amp;LEFT(LOWER($A13),LEN($A13)-1)&amp;""($| )""))),H$1,H$1&amp;"" ""&amp;$A13))"),"seller costs for selling house to cash buyer")</f>
        <v>seller costs for selling house to cash buyer</v>
      </c>
      <c r="I13" s="13" t="str">
        <f>IFERROR(__xludf.DUMMYFUNCTION("IF($A13="""","""",IF(OR(REGEXMATCH(LOWER(I$1),""(^| )""&amp;LOWER($A13)&amp;""($| )""),AND(RIGHT(LOWER($A13),1)=""s"",REGEXMATCH(LOWER(I$1),""(^| )""&amp;LEFT(LOWER($A13),LEN($A13)-1)&amp;""($| )""))),I$1,I$1&amp;"" ""&amp;$A13))"),"transfer taxes for selling house to cash buyer")</f>
        <v>transfer taxes for selling house to cash buyer</v>
      </c>
      <c r="J13" s="13" t="str">
        <f>IFERROR(__xludf.DUMMYFUNCTION("IF($A13="""","""",IF(OR(REGEXMATCH(LOWER(J$1),""(^| )""&amp;LOWER($A13)&amp;""($| )""),AND(RIGHT(LOWER($A13),1)=""s"",REGEXMATCH(LOWER(J$1),""(^| )""&amp;LEFT(LOWER($A13),LEN($A13)-1)&amp;""($| )""))),J$1,J$1&amp;"" ""&amp;$A13))"),"title fees for selling house to cash buyer")</f>
        <v>title fees for selling house to cash buyer</v>
      </c>
      <c r="K13" s="13" t="str">
        <f>IFERROR(__xludf.DUMMYFUNCTION("IF($A13="""","""",IF(OR(REGEXMATCH(LOWER(K$1),""(^| )""&amp;LOWER($A13)&amp;""($| )""),AND(RIGHT(LOWER($A13),1)=""s"",REGEXMATCH(LOWER(K$1),""(^| )""&amp;LEFT(LOWER($A13),LEN($A13)-1)&amp;""($| )""))),K$1,K$1&amp;"" ""&amp;$A13))"),"escrow fees for selling house to cash buyer")</f>
        <v>escrow fees for selling house to cash buyer</v>
      </c>
      <c r="L13" s="13"/>
      <c r="M13" s="13" t="str">
        <f>IFERROR(__xludf.DUMMYFUNCTION("""COMPUTED_VALUE"""),"cost of selling my house")</f>
        <v>cost of selling my house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>
      <c r="A14" s="16" t="s">
        <v>370</v>
      </c>
      <c r="B14" s="12" t="str">
        <f>IFERROR(__xludf.DUMMYFUNCTION("IF($A14="""","""",IF(OR(REGEXMATCH(LOWER(B$1),""(^| )""&amp;LOWER($A14)&amp;""($| )""),AND(RIGHT(LOWER($A14),1)=""s"",REGEXMATCH(LOWER(B$1),""(^| )""&amp;LEFT(LOWER($A14),LEN($A14)-1)&amp;""($| )""))),B$1,B$1&amp;"" ""&amp;$A14))"),"cost of selling house to investor")</f>
        <v>cost of selling house to investor</v>
      </c>
      <c r="C14" s="13" t="str">
        <f>IFERROR(__xludf.DUMMYFUNCTION("IF($A14="""","""",IF(OR(REGEXMATCH(LOWER(C$1),""(^| )""&amp;LOWER($A14)&amp;""($| )""),AND(RIGHT(LOWER($A14),1)=""s"",REGEXMATCH(LOWER(C$1),""(^| )""&amp;LEFT(LOWER($A14),LEN($A14)-1)&amp;""($| )""))),C$1,C$1&amp;"" ""&amp;$A14))"),"fees for selling house to investor")</f>
        <v>fees for selling house to investor</v>
      </c>
      <c r="D14" s="13" t="str">
        <f>IFERROR(__xludf.DUMMYFUNCTION("IF($A14="""","""",IF(OR(REGEXMATCH(LOWER(D$1),""(^| )""&amp;LOWER($A14)&amp;""($| )""),AND(RIGHT(LOWER($A14),1)=""s"",REGEXMATCH(LOWER(D$1),""(^| )""&amp;LEFT(LOWER($A14),LEN($A14)-1)&amp;""($| )""))),D$1,D$1&amp;"" ""&amp;$A14))"),"closing costs for selling house to investor")</f>
        <v>closing costs for selling house to investor</v>
      </c>
      <c r="E14" s="13" t="str">
        <f>IFERROR(__xludf.DUMMYFUNCTION("IF($A14="""","""",IF(OR(REGEXMATCH(LOWER(E$1),""(^| )""&amp;LOWER($A14)&amp;""($| )""),AND(RIGHT(LOWER($A14),1)=""s"",REGEXMATCH(LOWER(E$1),""(^| )""&amp;LEFT(LOWER($A14),LEN($A14)-1)&amp;""($| )""))),E$1,E$1&amp;"" ""&amp;$A14))"),"realtor fees for selling house to investor")</f>
        <v>realtor fees for selling house to investor</v>
      </c>
      <c r="F14" s="13" t="str">
        <f>IFERROR(__xludf.DUMMYFUNCTION("IF($A14="""","""",IF(OR(REGEXMATCH(LOWER(F$1),""(^| )""&amp;LOWER($A14)&amp;""($| )""),AND(RIGHT(LOWER($A14),1)=""s"",REGEXMATCH(LOWER(F$1),""(^| )""&amp;LEFT(LOWER($A14),LEN($A14)-1)&amp;""($| )""))),F$1,F$1&amp;"" ""&amp;$A14))"),"agent commission for selling house to investor")</f>
        <v>agent commission for selling house to investor</v>
      </c>
      <c r="G14" s="13" t="str">
        <f>IFERROR(__xludf.DUMMYFUNCTION("IF($A14="""","""",IF(OR(REGEXMATCH(LOWER(G$1),""(^| )""&amp;LOWER($A14)&amp;""($| )""),AND(RIGHT(LOWER($A14),1)=""s"",REGEXMATCH(LOWER(G$1),""(^| )""&amp;LEFT(LOWER($A14),LEN($A14)-1)&amp;""($| )""))),G$1,G$1&amp;"" ""&amp;$A14))"),"net proceeds from selling house to investor")</f>
        <v>net proceeds from selling house to investor</v>
      </c>
      <c r="H14" s="13" t="str">
        <f>IFERROR(__xludf.DUMMYFUNCTION("IF($A14="""","""",IF(OR(REGEXMATCH(LOWER(H$1),""(^| )""&amp;LOWER($A14)&amp;""($| )""),AND(RIGHT(LOWER($A14),1)=""s"",REGEXMATCH(LOWER(H$1),""(^| )""&amp;LEFT(LOWER($A14),LEN($A14)-1)&amp;""($| )""))),H$1,H$1&amp;"" ""&amp;$A14))"),"seller costs for selling house to investor")</f>
        <v>seller costs for selling house to investor</v>
      </c>
      <c r="I14" s="13" t="str">
        <f>IFERROR(__xludf.DUMMYFUNCTION("IF($A14="""","""",IF(OR(REGEXMATCH(LOWER(I$1),""(^| )""&amp;LOWER($A14)&amp;""($| )""),AND(RIGHT(LOWER($A14),1)=""s"",REGEXMATCH(LOWER(I$1),""(^| )""&amp;LEFT(LOWER($A14),LEN($A14)-1)&amp;""($| )""))),I$1,I$1&amp;"" ""&amp;$A14))"),"transfer taxes for selling house to investor")</f>
        <v>transfer taxes for selling house to investor</v>
      </c>
      <c r="J14" s="13" t="str">
        <f>IFERROR(__xludf.DUMMYFUNCTION("IF($A14="""","""",IF(OR(REGEXMATCH(LOWER(J$1),""(^| )""&amp;LOWER($A14)&amp;""($| )""),AND(RIGHT(LOWER($A14),1)=""s"",REGEXMATCH(LOWER(J$1),""(^| )""&amp;LEFT(LOWER($A14),LEN($A14)-1)&amp;""($| )""))),J$1,J$1&amp;"" ""&amp;$A14))"),"title fees for selling house to investor")</f>
        <v>title fees for selling house to investor</v>
      </c>
      <c r="K14" s="13" t="str">
        <f>IFERROR(__xludf.DUMMYFUNCTION("IF($A14="""","""",IF(OR(REGEXMATCH(LOWER(K$1),""(^| )""&amp;LOWER($A14)&amp;""($| )""),AND(RIGHT(LOWER($A14),1)=""s"",REGEXMATCH(LOWER(K$1),""(^| )""&amp;LEFT(LOWER($A14),LEN($A14)-1)&amp;""($| )""))),K$1,K$1&amp;"" ""&amp;$A14))"),"escrow fees for selling house to investor")</f>
        <v>escrow fees for selling house to investor</v>
      </c>
      <c r="L14" s="13"/>
      <c r="M14" s="13" t="str">
        <f>IFERROR(__xludf.DUMMYFUNCTION("""COMPUTED_VALUE"""),"fees for selling my house")</f>
        <v>fees for selling my house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>
      <c r="A15" s="16" t="s">
        <v>371</v>
      </c>
      <c r="B15" s="12" t="str">
        <f>IFERROR(__xludf.DUMMYFUNCTION("IF($A15="""","""",IF(OR(REGEXMATCH(LOWER(B$1),""(^| )""&amp;LOWER($A15)&amp;""($| )""),AND(RIGHT(LOWER($A15),1)=""s"",REGEXMATCH(LOWER(B$1),""(^| )""&amp;LEFT(LOWER($A15),LEN($A15)-1)&amp;""($| )""))),B$1,B$1&amp;"" ""&amp;$A15))"),"cost of selling inherited house")</f>
        <v>cost of selling inherited house</v>
      </c>
      <c r="C15" s="13" t="str">
        <f>IFERROR(__xludf.DUMMYFUNCTION("IF($A15="""","""",IF(OR(REGEXMATCH(LOWER(C$1),""(^| )""&amp;LOWER($A15)&amp;""($| )""),AND(RIGHT(LOWER($A15),1)=""s"",REGEXMATCH(LOWER(C$1),""(^| )""&amp;LEFT(LOWER($A15),LEN($A15)-1)&amp;""($| )""))),C$1,C$1&amp;"" ""&amp;$A15))"),"fees for selling inherited house")</f>
        <v>fees for selling inherited house</v>
      </c>
      <c r="D15" s="13" t="str">
        <f>IFERROR(__xludf.DUMMYFUNCTION("IF($A15="""","""",IF(OR(REGEXMATCH(LOWER(D$1),""(^| )""&amp;LOWER($A15)&amp;""($| )""),AND(RIGHT(LOWER($A15),1)=""s"",REGEXMATCH(LOWER(D$1),""(^| )""&amp;LEFT(LOWER($A15),LEN($A15)-1)&amp;""($| )""))),D$1,D$1&amp;"" ""&amp;$A15))"),"closing costs for selling inherited house")</f>
        <v>closing costs for selling inherited house</v>
      </c>
      <c r="E15" s="13" t="str">
        <f>IFERROR(__xludf.DUMMYFUNCTION("IF($A15="""","""",IF(OR(REGEXMATCH(LOWER(E$1),""(^| )""&amp;LOWER($A15)&amp;""($| )""),AND(RIGHT(LOWER($A15),1)=""s"",REGEXMATCH(LOWER(E$1),""(^| )""&amp;LEFT(LOWER($A15),LEN($A15)-1)&amp;""($| )""))),E$1,E$1&amp;"" ""&amp;$A15))"),"realtor fees for selling inherited house")</f>
        <v>realtor fees for selling inherited house</v>
      </c>
      <c r="F15" s="13" t="str">
        <f>IFERROR(__xludf.DUMMYFUNCTION("IF($A15="""","""",IF(OR(REGEXMATCH(LOWER(F$1),""(^| )""&amp;LOWER($A15)&amp;""($| )""),AND(RIGHT(LOWER($A15),1)=""s"",REGEXMATCH(LOWER(F$1),""(^| )""&amp;LEFT(LOWER($A15),LEN($A15)-1)&amp;""($| )""))),F$1,F$1&amp;"" ""&amp;$A15))"),"agent commission for selling inherited house")</f>
        <v>agent commission for selling inherited house</v>
      </c>
      <c r="G15" s="13" t="str">
        <f>IFERROR(__xludf.DUMMYFUNCTION("IF($A15="""","""",IF(OR(REGEXMATCH(LOWER(G$1),""(^| )""&amp;LOWER($A15)&amp;""($| )""),AND(RIGHT(LOWER($A15),1)=""s"",REGEXMATCH(LOWER(G$1),""(^| )""&amp;LEFT(LOWER($A15),LEN($A15)-1)&amp;""($| )""))),G$1,G$1&amp;"" ""&amp;$A15))"),"net proceeds from selling inherited house")</f>
        <v>net proceeds from selling inherited house</v>
      </c>
      <c r="H15" s="13" t="str">
        <f>IFERROR(__xludf.DUMMYFUNCTION("IF($A15="""","""",IF(OR(REGEXMATCH(LOWER(H$1),""(^| )""&amp;LOWER($A15)&amp;""($| )""),AND(RIGHT(LOWER($A15),1)=""s"",REGEXMATCH(LOWER(H$1),""(^| )""&amp;LEFT(LOWER($A15),LEN($A15)-1)&amp;""($| )""))),H$1,H$1&amp;"" ""&amp;$A15))"),"seller costs for selling inherited house")</f>
        <v>seller costs for selling inherited house</v>
      </c>
      <c r="I15" s="13" t="str">
        <f>IFERROR(__xludf.DUMMYFUNCTION("IF($A15="""","""",IF(OR(REGEXMATCH(LOWER(I$1),""(^| )""&amp;LOWER($A15)&amp;""($| )""),AND(RIGHT(LOWER($A15),1)=""s"",REGEXMATCH(LOWER(I$1),""(^| )""&amp;LEFT(LOWER($A15),LEN($A15)-1)&amp;""($| )""))),I$1,I$1&amp;"" ""&amp;$A15))"),"transfer taxes for selling inherited house")</f>
        <v>transfer taxes for selling inherited house</v>
      </c>
      <c r="J15" s="13" t="str">
        <f>IFERROR(__xludf.DUMMYFUNCTION("IF($A15="""","""",IF(OR(REGEXMATCH(LOWER(J$1),""(^| )""&amp;LOWER($A15)&amp;""($| )""),AND(RIGHT(LOWER($A15),1)=""s"",REGEXMATCH(LOWER(J$1),""(^| )""&amp;LEFT(LOWER($A15),LEN($A15)-1)&amp;""($| )""))),J$1,J$1&amp;"" ""&amp;$A15))"),"title fees for selling inherited house")</f>
        <v>title fees for selling inherited house</v>
      </c>
      <c r="K15" s="13" t="str">
        <f>IFERROR(__xludf.DUMMYFUNCTION("IF($A15="""","""",IF(OR(REGEXMATCH(LOWER(K$1),""(^| )""&amp;LOWER($A15)&amp;""($| )""),AND(RIGHT(LOWER($A15),1)=""s"",REGEXMATCH(LOWER(K$1),""(^| )""&amp;LEFT(LOWER($A15),LEN($A15)-1)&amp;""($| )""))),K$1,K$1&amp;"" ""&amp;$A15))"),"escrow fees for selling inherited house")</f>
        <v>escrow fees for selling inherited house</v>
      </c>
      <c r="L15" s="13"/>
      <c r="M15" s="13" t="str">
        <f>IFERROR(__xludf.DUMMYFUNCTION("""COMPUTED_VALUE"""),"closing costs for selling my house")</f>
        <v>closing costs for selling my house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>
      <c r="A16" s="16" t="s">
        <v>372</v>
      </c>
      <c r="B16" s="12" t="str">
        <f>IFERROR(__xludf.DUMMYFUNCTION("IF($A16="""","""",IF(OR(REGEXMATCH(LOWER(B$1),""(^| )""&amp;LOWER($A16)&amp;""($| )""),AND(RIGHT(LOWER($A16),1)=""s"",REGEXMATCH(LOWER(B$1),""(^| )""&amp;LEFT(LOWER($A16),LEN($A16)-1)&amp;""($| )""))),B$1,B$1&amp;"" ""&amp;$A16))"),"cost of selling probate house")</f>
        <v>cost of selling probate house</v>
      </c>
      <c r="C16" s="13" t="str">
        <f>IFERROR(__xludf.DUMMYFUNCTION("IF($A16="""","""",IF(OR(REGEXMATCH(LOWER(C$1),""(^| )""&amp;LOWER($A16)&amp;""($| )""),AND(RIGHT(LOWER($A16),1)=""s"",REGEXMATCH(LOWER(C$1),""(^| )""&amp;LEFT(LOWER($A16),LEN($A16)-1)&amp;""($| )""))),C$1,C$1&amp;"" ""&amp;$A16))"),"fees for selling probate house")</f>
        <v>fees for selling probate house</v>
      </c>
      <c r="D16" s="13" t="str">
        <f>IFERROR(__xludf.DUMMYFUNCTION("IF($A16="""","""",IF(OR(REGEXMATCH(LOWER(D$1),""(^| )""&amp;LOWER($A16)&amp;""($| )""),AND(RIGHT(LOWER($A16),1)=""s"",REGEXMATCH(LOWER(D$1),""(^| )""&amp;LEFT(LOWER($A16),LEN($A16)-1)&amp;""($| )""))),D$1,D$1&amp;"" ""&amp;$A16))"),"closing costs for selling probate house")</f>
        <v>closing costs for selling probate house</v>
      </c>
      <c r="E16" s="13" t="str">
        <f>IFERROR(__xludf.DUMMYFUNCTION("IF($A16="""","""",IF(OR(REGEXMATCH(LOWER(E$1),""(^| )""&amp;LOWER($A16)&amp;""($| )""),AND(RIGHT(LOWER($A16),1)=""s"",REGEXMATCH(LOWER(E$1),""(^| )""&amp;LEFT(LOWER($A16),LEN($A16)-1)&amp;""($| )""))),E$1,E$1&amp;"" ""&amp;$A16))"),"realtor fees for selling probate house")</f>
        <v>realtor fees for selling probate house</v>
      </c>
      <c r="F16" s="13" t="str">
        <f>IFERROR(__xludf.DUMMYFUNCTION("IF($A16="""","""",IF(OR(REGEXMATCH(LOWER(F$1),""(^| )""&amp;LOWER($A16)&amp;""($| )""),AND(RIGHT(LOWER($A16),1)=""s"",REGEXMATCH(LOWER(F$1),""(^| )""&amp;LEFT(LOWER($A16),LEN($A16)-1)&amp;""($| )""))),F$1,F$1&amp;"" ""&amp;$A16))"),"agent commission for selling probate house")</f>
        <v>agent commission for selling probate house</v>
      </c>
      <c r="G16" s="13" t="str">
        <f>IFERROR(__xludf.DUMMYFUNCTION("IF($A16="""","""",IF(OR(REGEXMATCH(LOWER(G$1),""(^| )""&amp;LOWER($A16)&amp;""($| )""),AND(RIGHT(LOWER($A16),1)=""s"",REGEXMATCH(LOWER(G$1),""(^| )""&amp;LEFT(LOWER($A16),LEN($A16)-1)&amp;""($| )""))),G$1,G$1&amp;"" ""&amp;$A16))"),"net proceeds from selling probate house")</f>
        <v>net proceeds from selling probate house</v>
      </c>
      <c r="H16" s="13" t="str">
        <f>IFERROR(__xludf.DUMMYFUNCTION("IF($A16="""","""",IF(OR(REGEXMATCH(LOWER(H$1),""(^| )""&amp;LOWER($A16)&amp;""($| )""),AND(RIGHT(LOWER($A16),1)=""s"",REGEXMATCH(LOWER(H$1),""(^| )""&amp;LEFT(LOWER($A16),LEN($A16)-1)&amp;""($| )""))),H$1,H$1&amp;"" ""&amp;$A16))"),"seller costs for selling probate house")</f>
        <v>seller costs for selling probate house</v>
      </c>
      <c r="I16" s="13" t="str">
        <f>IFERROR(__xludf.DUMMYFUNCTION("IF($A16="""","""",IF(OR(REGEXMATCH(LOWER(I$1),""(^| )""&amp;LOWER($A16)&amp;""($| )""),AND(RIGHT(LOWER($A16),1)=""s"",REGEXMATCH(LOWER(I$1),""(^| )""&amp;LEFT(LOWER($A16),LEN($A16)-1)&amp;""($| )""))),I$1,I$1&amp;"" ""&amp;$A16))"),"transfer taxes for selling probate house")</f>
        <v>transfer taxes for selling probate house</v>
      </c>
      <c r="J16" s="13" t="str">
        <f>IFERROR(__xludf.DUMMYFUNCTION("IF($A16="""","""",IF(OR(REGEXMATCH(LOWER(J$1),""(^| )""&amp;LOWER($A16)&amp;""($| )""),AND(RIGHT(LOWER($A16),1)=""s"",REGEXMATCH(LOWER(J$1),""(^| )""&amp;LEFT(LOWER($A16),LEN($A16)-1)&amp;""($| )""))),J$1,J$1&amp;"" ""&amp;$A16))"),"title fees for selling probate house")</f>
        <v>title fees for selling probate house</v>
      </c>
      <c r="K16" s="13" t="str">
        <f>IFERROR(__xludf.DUMMYFUNCTION("IF($A16="""","""",IF(OR(REGEXMATCH(LOWER(K$1),""(^| )""&amp;LOWER($A16)&amp;""($| )""),AND(RIGHT(LOWER($A16),1)=""s"",REGEXMATCH(LOWER(K$1),""(^| )""&amp;LEFT(LOWER($A16),LEN($A16)-1)&amp;""($| )""))),K$1,K$1&amp;"" ""&amp;$A16))"),"escrow fees for selling probate house")</f>
        <v>escrow fees for selling probate house</v>
      </c>
      <c r="L16" s="13"/>
      <c r="M16" s="13" t="str">
        <f>IFERROR(__xludf.DUMMYFUNCTION("""COMPUTED_VALUE"""),"realtor fees for selling my house")</f>
        <v>realtor fees for selling my house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>
      <c r="A17" s="16" t="s">
        <v>373</v>
      </c>
      <c r="B17" s="12" t="str">
        <f>IFERROR(__xludf.DUMMYFUNCTION("IF($A17="""","""",IF(OR(REGEXMATCH(LOWER(B$1),""(^| )""&amp;LOWER($A17)&amp;""($| )""),AND(RIGHT(LOWER($A17),1)=""s"",REGEXMATCH(LOWER(B$1),""(^| )""&amp;LEFT(LOWER($A17),LEN($A17)-1)&amp;""($| )""))),B$1,B$1&amp;"" ""&amp;$A17))"),"cost of selling rental property")</f>
        <v>cost of selling rental property</v>
      </c>
      <c r="C17" s="13" t="str">
        <f>IFERROR(__xludf.DUMMYFUNCTION("IF($A17="""","""",IF(OR(REGEXMATCH(LOWER(C$1),""(^| )""&amp;LOWER($A17)&amp;""($| )""),AND(RIGHT(LOWER($A17),1)=""s"",REGEXMATCH(LOWER(C$1),""(^| )""&amp;LEFT(LOWER($A17),LEN($A17)-1)&amp;""($| )""))),C$1,C$1&amp;"" ""&amp;$A17))"),"fees for selling rental property")</f>
        <v>fees for selling rental property</v>
      </c>
      <c r="D17" s="13" t="str">
        <f>IFERROR(__xludf.DUMMYFUNCTION("IF($A17="""","""",IF(OR(REGEXMATCH(LOWER(D$1),""(^| )""&amp;LOWER($A17)&amp;""($| )""),AND(RIGHT(LOWER($A17),1)=""s"",REGEXMATCH(LOWER(D$1),""(^| )""&amp;LEFT(LOWER($A17),LEN($A17)-1)&amp;""($| )""))),D$1,D$1&amp;"" ""&amp;$A17))"),"closing costs for selling rental property")</f>
        <v>closing costs for selling rental property</v>
      </c>
      <c r="E17" s="13" t="str">
        <f>IFERROR(__xludf.DUMMYFUNCTION("IF($A17="""","""",IF(OR(REGEXMATCH(LOWER(E$1),""(^| )""&amp;LOWER($A17)&amp;""($| )""),AND(RIGHT(LOWER($A17),1)=""s"",REGEXMATCH(LOWER(E$1),""(^| )""&amp;LEFT(LOWER($A17),LEN($A17)-1)&amp;""($| )""))),E$1,E$1&amp;"" ""&amp;$A17))"),"realtor fees for selling rental property")</f>
        <v>realtor fees for selling rental property</v>
      </c>
      <c r="F17" s="13" t="str">
        <f>IFERROR(__xludf.DUMMYFUNCTION("IF($A17="""","""",IF(OR(REGEXMATCH(LOWER(F$1),""(^| )""&amp;LOWER($A17)&amp;""($| )""),AND(RIGHT(LOWER($A17),1)=""s"",REGEXMATCH(LOWER(F$1),""(^| )""&amp;LEFT(LOWER($A17),LEN($A17)-1)&amp;""($| )""))),F$1,F$1&amp;"" ""&amp;$A17))"),"agent commission for selling rental property")</f>
        <v>agent commission for selling rental property</v>
      </c>
      <c r="G17" s="13" t="str">
        <f>IFERROR(__xludf.DUMMYFUNCTION("IF($A17="""","""",IF(OR(REGEXMATCH(LOWER(G$1),""(^| )""&amp;LOWER($A17)&amp;""($| )""),AND(RIGHT(LOWER($A17),1)=""s"",REGEXMATCH(LOWER(G$1),""(^| )""&amp;LEFT(LOWER($A17),LEN($A17)-1)&amp;""($| )""))),G$1,G$1&amp;"" ""&amp;$A17))"),"net proceeds from selling rental property")</f>
        <v>net proceeds from selling rental property</v>
      </c>
      <c r="H17" s="13" t="str">
        <f>IFERROR(__xludf.DUMMYFUNCTION("IF($A17="""","""",IF(OR(REGEXMATCH(LOWER(H$1),""(^| )""&amp;LOWER($A17)&amp;""($| )""),AND(RIGHT(LOWER($A17),1)=""s"",REGEXMATCH(LOWER(H$1),""(^| )""&amp;LEFT(LOWER($A17),LEN($A17)-1)&amp;""($| )""))),H$1,H$1&amp;"" ""&amp;$A17))"),"seller costs for selling rental property")</f>
        <v>seller costs for selling rental property</v>
      </c>
      <c r="I17" s="13" t="str">
        <f>IFERROR(__xludf.DUMMYFUNCTION("IF($A17="""","""",IF(OR(REGEXMATCH(LOWER(I$1),""(^| )""&amp;LOWER($A17)&amp;""($| )""),AND(RIGHT(LOWER($A17),1)=""s"",REGEXMATCH(LOWER(I$1),""(^| )""&amp;LEFT(LOWER($A17),LEN($A17)-1)&amp;""($| )""))),I$1,I$1&amp;"" ""&amp;$A17))"),"transfer taxes for selling rental property")</f>
        <v>transfer taxes for selling rental property</v>
      </c>
      <c r="J17" s="13" t="str">
        <f>IFERROR(__xludf.DUMMYFUNCTION("IF($A17="""","""",IF(OR(REGEXMATCH(LOWER(J$1),""(^| )""&amp;LOWER($A17)&amp;""($| )""),AND(RIGHT(LOWER($A17),1)=""s"",REGEXMATCH(LOWER(J$1),""(^| )""&amp;LEFT(LOWER($A17),LEN($A17)-1)&amp;""($| )""))),J$1,J$1&amp;"" ""&amp;$A17))"),"title fees for selling rental property")</f>
        <v>title fees for selling rental property</v>
      </c>
      <c r="K17" s="13" t="str">
        <f>IFERROR(__xludf.DUMMYFUNCTION("IF($A17="""","""",IF(OR(REGEXMATCH(LOWER(K$1),""(^| )""&amp;LOWER($A17)&amp;""($| )""),AND(RIGHT(LOWER($A17),1)=""s"",REGEXMATCH(LOWER(K$1),""(^| )""&amp;LEFT(LOWER($A17),LEN($A17)-1)&amp;""($| )""))),K$1,K$1&amp;"" ""&amp;$A17))"),"escrow fees for selling rental property")</f>
        <v>escrow fees for selling rental property</v>
      </c>
      <c r="L17" s="13"/>
      <c r="M17" s="13" t="str">
        <f>IFERROR(__xludf.DUMMYFUNCTION("""COMPUTED_VALUE"""),"agent commission for selling my house")</f>
        <v>agent commission for selling my house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>
      <c r="A18" s="16" t="s">
        <v>374</v>
      </c>
      <c r="B18" s="12" t="str">
        <f>IFERROR(__xludf.DUMMYFUNCTION("IF($A18="""","""",IF(OR(REGEXMATCH(LOWER(B$1),""(^| )""&amp;LOWER($A18)&amp;""($| )""),AND(RIGHT(LOWER($A18),1)=""s"",REGEXMATCH(LOWER(B$1),""(^| )""&amp;LEFT(LOWER($A18),LEN($A18)-1)&amp;""($| )""))),B$1,B$1&amp;"" ""&amp;$A18))"),"cost of selling vacant house")</f>
        <v>cost of selling vacant house</v>
      </c>
      <c r="C18" s="13" t="str">
        <f>IFERROR(__xludf.DUMMYFUNCTION("IF($A18="""","""",IF(OR(REGEXMATCH(LOWER(C$1),""(^| )""&amp;LOWER($A18)&amp;""($| )""),AND(RIGHT(LOWER($A18),1)=""s"",REGEXMATCH(LOWER(C$1),""(^| )""&amp;LEFT(LOWER($A18),LEN($A18)-1)&amp;""($| )""))),C$1,C$1&amp;"" ""&amp;$A18))"),"fees for selling vacant house")</f>
        <v>fees for selling vacant house</v>
      </c>
      <c r="D18" s="13" t="str">
        <f>IFERROR(__xludf.DUMMYFUNCTION("IF($A18="""","""",IF(OR(REGEXMATCH(LOWER(D$1),""(^| )""&amp;LOWER($A18)&amp;""($| )""),AND(RIGHT(LOWER($A18),1)=""s"",REGEXMATCH(LOWER(D$1),""(^| )""&amp;LEFT(LOWER($A18),LEN($A18)-1)&amp;""($| )""))),D$1,D$1&amp;"" ""&amp;$A18))"),"closing costs for selling vacant house")</f>
        <v>closing costs for selling vacant house</v>
      </c>
      <c r="E18" s="13" t="str">
        <f>IFERROR(__xludf.DUMMYFUNCTION("IF($A18="""","""",IF(OR(REGEXMATCH(LOWER(E$1),""(^| )""&amp;LOWER($A18)&amp;""($| )""),AND(RIGHT(LOWER($A18),1)=""s"",REGEXMATCH(LOWER(E$1),""(^| )""&amp;LEFT(LOWER($A18),LEN($A18)-1)&amp;""($| )""))),E$1,E$1&amp;"" ""&amp;$A18))"),"realtor fees for selling vacant house")</f>
        <v>realtor fees for selling vacant house</v>
      </c>
      <c r="F18" s="13" t="str">
        <f>IFERROR(__xludf.DUMMYFUNCTION("IF($A18="""","""",IF(OR(REGEXMATCH(LOWER(F$1),""(^| )""&amp;LOWER($A18)&amp;""($| )""),AND(RIGHT(LOWER($A18),1)=""s"",REGEXMATCH(LOWER(F$1),""(^| )""&amp;LEFT(LOWER($A18),LEN($A18)-1)&amp;""($| )""))),F$1,F$1&amp;"" ""&amp;$A18))"),"agent commission for selling vacant house")</f>
        <v>agent commission for selling vacant house</v>
      </c>
      <c r="G18" s="13" t="str">
        <f>IFERROR(__xludf.DUMMYFUNCTION("IF($A18="""","""",IF(OR(REGEXMATCH(LOWER(G$1),""(^| )""&amp;LOWER($A18)&amp;""($| )""),AND(RIGHT(LOWER($A18),1)=""s"",REGEXMATCH(LOWER(G$1),""(^| )""&amp;LEFT(LOWER($A18),LEN($A18)-1)&amp;""($| )""))),G$1,G$1&amp;"" ""&amp;$A18))"),"net proceeds from selling vacant house")</f>
        <v>net proceeds from selling vacant house</v>
      </c>
      <c r="H18" s="13" t="str">
        <f>IFERROR(__xludf.DUMMYFUNCTION("IF($A18="""","""",IF(OR(REGEXMATCH(LOWER(H$1),""(^| )""&amp;LOWER($A18)&amp;""($| )""),AND(RIGHT(LOWER($A18),1)=""s"",REGEXMATCH(LOWER(H$1),""(^| )""&amp;LEFT(LOWER($A18),LEN($A18)-1)&amp;""($| )""))),H$1,H$1&amp;"" ""&amp;$A18))"),"seller costs for selling vacant house")</f>
        <v>seller costs for selling vacant house</v>
      </c>
      <c r="I18" s="13" t="str">
        <f>IFERROR(__xludf.DUMMYFUNCTION("IF($A18="""","""",IF(OR(REGEXMATCH(LOWER(I$1),""(^| )""&amp;LOWER($A18)&amp;""($| )""),AND(RIGHT(LOWER($A18),1)=""s"",REGEXMATCH(LOWER(I$1),""(^| )""&amp;LEFT(LOWER($A18),LEN($A18)-1)&amp;""($| )""))),I$1,I$1&amp;"" ""&amp;$A18))"),"transfer taxes for selling vacant house")</f>
        <v>transfer taxes for selling vacant house</v>
      </c>
      <c r="J18" s="13" t="str">
        <f>IFERROR(__xludf.DUMMYFUNCTION("IF($A18="""","""",IF(OR(REGEXMATCH(LOWER(J$1),""(^| )""&amp;LOWER($A18)&amp;""($| )""),AND(RIGHT(LOWER($A18),1)=""s"",REGEXMATCH(LOWER(J$1),""(^| )""&amp;LEFT(LOWER($A18),LEN($A18)-1)&amp;""($| )""))),J$1,J$1&amp;"" ""&amp;$A18))"),"title fees for selling vacant house")</f>
        <v>title fees for selling vacant house</v>
      </c>
      <c r="K18" s="13" t="str">
        <f>IFERROR(__xludf.DUMMYFUNCTION("IF($A18="""","""",IF(OR(REGEXMATCH(LOWER(K$1),""(^| )""&amp;LOWER($A18)&amp;""($| )""),AND(RIGHT(LOWER($A18),1)=""s"",REGEXMATCH(LOWER(K$1),""(^| )""&amp;LEFT(LOWER($A18),LEN($A18)-1)&amp;""($| )""))),K$1,K$1&amp;"" ""&amp;$A18))"),"escrow fees for selling vacant house")</f>
        <v>escrow fees for selling vacant house</v>
      </c>
      <c r="L18" s="13"/>
      <c r="M18" s="13" t="str">
        <f>IFERROR(__xludf.DUMMYFUNCTION("""COMPUTED_VALUE"""),"net proceeds from selling my house")</f>
        <v>net proceeds from selling my house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>
      <c r="A19" s="16" t="s">
        <v>375</v>
      </c>
      <c r="B19" s="12" t="str">
        <f>IFERROR(__xludf.DUMMYFUNCTION("IF($A19="""","""",IF(OR(REGEXMATCH(LOWER(B$1),""(^| )""&amp;LOWER($A19)&amp;""($| )""),AND(RIGHT(LOWER($A19),1)=""s"",REGEXMATCH(LOWER(B$1),""(^| )""&amp;LEFT(LOWER($A19),LEN($A19)-1)&amp;""($| )""))),B$1,B$1&amp;"" ""&amp;$A19))"),"cost of selling damaged house")</f>
        <v>cost of selling damaged house</v>
      </c>
      <c r="C19" s="13" t="str">
        <f>IFERROR(__xludf.DUMMYFUNCTION("IF($A19="""","""",IF(OR(REGEXMATCH(LOWER(C$1),""(^| )""&amp;LOWER($A19)&amp;""($| )""),AND(RIGHT(LOWER($A19),1)=""s"",REGEXMATCH(LOWER(C$1),""(^| )""&amp;LEFT(LOWER($A19),LEN($A19)-1)&amp;""($| )""))),C$1,C$1&amp;"" ""&amp;$A19))"),"fees for selling damaged house")</f>
        <v>fees for selling damaged house</v>
      </c>
      <c r="D19" s="13" t="str">
        <f>IFERROR(__xludf.DUMMYFUNCTION("IF($A19="""","""",IF(OR(REGEXMATCH(LOWER(D$1),""(^| )""&amp;LOWER($A19)&amp;""($| )""),AND(RIGHT(LOWER($A19),1)=""s"",REGEXMATCH(LOWER(D$1),""(^| )""&amp;LEFT(LOWER($A19),LEN($A19)-1)&amp;""($| )""))),D$1,D$1&amp;"" ""&amp;$A19))"),"closing costs for selling damaged house")</f>
        <v>closing costs for selling damaged house</v>
      </c>
      <c r="E19" s="13" t="str">
        <f>IFERROR(__xludf.DUMMYFUNCTION("IF($A19="""","""",IF(OR(REGEXMATCH(LOWER(E$1),""(^| )""&amp;LOWER($A19)&amp;""($| )""),AND(RIGHT(LOWER($A19),1)=""s"",REGEXMATCH(LOWER(E$1),""(^| )""&amp;LEFT(LOWER($A19),LEN($A19)-1)&amp;""($| )""))),E$1,E$1&amp;"" ""&amp;$A19))"),"realtor fees for selling damaged house")</f>
        <v>realtor fees for selling damaged house</v>
      </c>
      <c r="F19" s="13" t="str">
        <f>IFERROR(__xludf.DUMMYFUNCTION("IF($A19="""","""",IF(OR(REGEXMATCH(LOWER(F$1),""(^| )""&amp;LOWER($A19)&amp;""($| )""),AND(RIGHT(LOWER($A19),1)=""s"",REGEXMATCH(LOWER(F$1),""(^| )""&amp;LEFT(LOWER($A19),LEN($A19)-1)&amp;""($| )""))),F$1,F$1&amp;"" ""&amp;$A19))"),"agent commission for selling damaged house")</f>
        <v>agent commission for selling damaged house</v>
      </c>
      <c r="G19" s="13" t="str">
        <f>IFERROR(__xludf.DUMMYFUNCTION("IF($A19="""","""",IF(OR(REGEXMATCH(LOWER(G$1),""(^| )""&amp;LOWER($A19)&amp;""($| )""),AND(RIGHT(LOWER($A19),1)=""s"",REGEXMATCH(LOWER(G$1),""(^| )""&amp;LEFT(LOWER($A19),LEN($A19)-1)&amp;""($| )""))),G$1,G$1&amp;"" ""&amp;$A19))"),"net proceeds from selling damaged house")</f>
        <v>net proceeds from selling damaged house</v>
      </c>
      <c r="H19" s="13" t="str">
        <f>IFERROR(__xludf.DUMMYFUNCTION("IF($A19="""","""",IF(OR(REGEXMATCH(LOWER(H$1),""(^| )""&amp;LOWER($A19)&amp;""($| )""),AND(RIGHT(LOWER($A19),1)=""s"",REGEXMATCH(LOWER(H$1),""(^| )""&amp;LEFT(LOWER($A19),LEN($A19)-1)&amp;""($| )""))),H$1,H$1&amp;"" ""&amp;$A19))"),"seller costs for selling damaged house")</f>
        <v>seller costs for selling damaged house</v>
      </c>
      <c r="I19" s="13" t="str">
        <f>IFERROR(__xludf.DUMMYFUNCTION("IF($A19="""","""",IF(OR(REGEXMATCH(LOWER(I$1),""(^| )""&amp;LOWER($A19)&amp;""($| )""),AND(RIGHT(LOWER($A19),1)=""s"",REGEXMATCH(LOWER(I$1),""(^| )""&amp;LEFT(LOWER($A19),LEN($A19)-1)&amp;""($| )""))),I$1,I$1&amp;"" ""&amp;$A19))"),"transfer taxes for selling damaged house")</f>
        <v>transfer taxes for selling damaged house</v>
      </c>
      <c r="J19" s="13" t="str">
        <f>IFERROR(__xludf.DUMMYFUNCTION("IF($A19="""","""",IF(OR(REGEXMATCH(LOWER(J$1),""(^| )""&amp;LOWER($A19)&amp;""($| )""),AND(RIGHT(LOWER($A19),1)=""s"",REGEXMATCH(LOWER(J$1),""(^| )""&amp;LEFT(LOWER($A19),LEN($A19)-1)&amp;""($| )""))),J$1,J$1&amp;"" ""&amp;$A19))"),"title fees for selling damaged house")</f>
        <v>title fees for selling damaged house</v>
      </c>
      <c r="K19" s="13" t="str">
        <f>IFERROR(__xludf.DUMMYFUNCTION("IF($A19="""","""",IF(OR(REGEXMATCH(LOWER(K$1),""(^| )""&amp;LOWER($A19)&amp;""($| )""),AND(RIGHT(LOWER($A19),1)=""s"",REGEXMATCH(LOWER(K$1),""(^| )""&amp;LEFT(LOWER($A19),LEN($A19)-1)&amp;""($| )""))),K$1,K$1&amp;"" ""&amp;$A19))"),"escrow fees for selling damaged house")</f>
        <v>escrow fees for selling damaged house</v>
      </c>
      <c r="L19" s="13"/>
      <c r="M19" s="13" t="str">
        <f>IFERROR(__xludf.DUMMYFUNCTION("""COMPUTED_VALUE"""),"seller costs for selling my house")</f>
        <v>seller costs for selling my house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>
      <c r="A20" s="16" t="s">
        <v>376</v>
      </c>
      <c r="B20" s="12" t="str">
        <f>IFERROR(__xludf.DUMMYFUNCTION("IF($A20="""","""",IF(OR(REGEXMATCH(LOWER(B$1),""(^| )""&amp;LOWER($A20)&amp;""($| )""),AND(RIGHT(LOWER($A20),1)=""s"",REGEXMATCH(LOWER(B$1),""(^| )""&amp;LEFT(LOWER($A20),LEN($A20)-1)&amp;""($| )""))),B$1,B$1&amp;"" ""&amp;$A20))"),"cost of selling fixer upper")</f>
        <v>cost of selling fixer upper</v>
      </c>
      <c r="C20" s="13" t="str">
        <f>IFERROR(__xludf.DUMMYFUNCTION("IF($A20="""","""",IF(OR(REGEXMATCH(LOWER(C$1),""(^| )""&amp;LOWER($A20)&amp;""($| )""),AND(RIGHT(LOWER($A20),1)=""s"",REGEXMATCH(LOWER(C$1),""(^| )""&amp;LEFT(LOWER($A20),LEN($A20)-1)&amp;""($| )""))),C$1,C$1&amp;"" ""&amp;$A20))"),"fees for selling fixer upper")</f>
        <v>fees for selling fixer upper</v>
      </c>
      <c r="D20" s="13" t="str">
        <f>IFERROR(__xludf.DUMMYFUNCTION("IF($A20="""","""",IF(OR(REGEXMATCH(LOWER(D$1),""(^| )""&amp;LOWER($A20)&amp;""($| )""),AND(RIGHT(LOWER($A20),1)=""s"",REGEXMATCH(LOWER(D$1),""(^| )""&amp;LEFT(LOWER($A20),LEN($A20)-1)&amp;""($| )""))),D$1,D$1&amp;"" ""&amp;$A20))"),"closing costs for selling fixer upper")</f>
        <v>closing costs for selling fixer upper</v>
      </c>
      <c r="E20" s="13" t="str">
        <f>IFERROR(__xludf.DUMMYFUNCTION("IF($A20="""","""",IF(OR(REGEXMATCH(LOWER(E$1),""(^| )""&amp;LOWER($A20)&amp;""($| )""),AND(RIGHT(LOWER($A20),1)=""s"",REGEXMATCH(LOWER(E$1),""(^| )""&amp;LEFT(LOWER($A20),LEN($A20)-1)&amp;""($| )""))),E$1,E$1&amp;"" ""&amp;$A20))"),"realtor fees for selling fixer upper")</f>
        <v>realtor fees for selling fixer upper</v>
      </c>
      <c r="F20" s="13" t="str">
        <f>IFERROR(__xludf.DUMMYFUNCTION("IF($A20="""","""",IF(OR(REGEXMATCH(LOWER(F$1),""(^| )""&amp;LOWER($A20)&amp;""($| )""),AND(RIGHT(LOWER($A20),1)=""s"",REGEXMATCH(LOWER(F$1),""(^| )""&amp;LEFT(LOWER($A20),LEN($A20)-1)&amp;""($| )""))),F$1,F$1&amp;"" ""&amp;$A20))"),"agent commission for selling fixer upper")</f>
        <v>agent commission for selling fixer upper</v>
      </c>
      <c r="G20" s="13" t="str">
        <f>IFERROR(__xludf.DUMMYFUNCTION("IF($A20="""","""",IF(OR(REGEXMATCH(LOWER(G$1),""(^| )""&amp;LOWER($A20)&amp;""($| )""),AND(RIGHT(LOWER($A20),1)=""s"",REGEXMATCH(LOWER(G$1),""(^| )""&amp;LEFT(LOWER($A20),LEN($A20)-1)&amp;""($| )""))),G$1,G$1&amp;"" ""&amp;$A20))"),"net proceeds from selling fixer upper")</f>
        <v>net proceeds from selling fixer upper</v>
      </c>
      <c r="H20" s="13" t="str">
        <f>IFERROR(__xludf.DUMMYFUNCTION("IF($A20="""","""",IF(OR(REGEXMATCH(LOWER(H$1),""(^| )""&amp;LOWER($A20)&amp;""($| )""),AND(RIGHT(LOWER($A20),1)=""s"",REGEXMATCH(LOWER(H$1),""(^| )""&amp;LEFT(LOWER($A20),LEN($A20)-1)&amp;""($| )""))),H$1,H$1&amp;"" ""&amp;$A20))"),"seller costs for selling fixer upper")</f>
        <v>seller costs for selling fixer upper</v>
      </c>
      <c r="I20" s="13" t="str">
        <f>IFERROR(__xludf.DUMMYFUNCTION("IF($A20="""","""",IF(OR(REGEXMATCH(LOWER(I$1),""(^| )""&amp;LOWER($A20)&amp;""($| )""),AND(RIGHT(LOWER($A20),1)=""s"",REGEXMATCH(LOWER(I$1),""(^| )""&amp;LEFT(LOWER($A20),LEN($A20)-1)&amp;""($| )""))),I$1,I$1&amp;"" ""&amp;$A20))"),"transfer taxes for selling fixer upper")</f>
        <v>transfer taxes for selling fixer upper</v>
      </c>
      <c r="J20" s="13" t="str">
        <f>IFERROR(__xludf.DUMMYFUNCTION("IF($A20="""","""",IF(OR(REGEXMATCH(LOWER(J$1),""(^| )""&amp;LOWER($A20)&amp;""($| )""),AND(RIGHT(LOWER($A20),1)=""s"",REGEXMATCH(LOWER(J$1),""(^| )""&amp;LEFT(LOWER($A20),LEN($A20)-1)&amp;""($| )""))),J$1,J$1&amp;"" ""&amp;$A20))"),"title fees for selling fixer upper")</f>
        <v>title fees for selling fixer upper</v>
      </c>
      <c r="K20" s="13" t="str">
        <f>IFERROR(__xludf.DUMMYFUNCTION("IF($A20="""","""",IF(OR(REGEXMATCH(LOWER(K$1),""(^| )""&amp;LOWER($A20)&amp;""($| )""),AND(RIGHT(LOWER($A20),1)=""s"",REGEXMATCH(LOWER(K$1),""(^| )""&amp;LEFT(LOWER($A20),LEN($A20)-1)&amp;""($| )""))),K$1,K$1&amp;"" ""&amp;$A20))"),"escrow fees for selling fixer upper")</f>
        <v>escrow fees for selling fixer upper</v>
      </c>
      <c r="L20" s="13"/>
      <c r="M20" s="13" t="str">
        <f>IFERROR(__xludf.DUMMYFUNCTION("""COMPUTED_VALUE"""),"transfer taxes for selling my house")</f>
        <v>transfer taxes for selling my house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>
      <c r="A21" s="16" t="s">
        <v>377</v>
      </c>
      <c r="B21" s="12" t="str">
        <f>IFERROR(__xludf.DUMMYFUNCTION("IF($A21="""","""",IF(OR(REGEXMATCH(LOWER(B$1),""(^| )""&amp;LOWER($A21)&amp;""($| )""),AND(RIGHT(LOWER($A21),1)=""s"",REGEXMATCH(LOWER(B$1),""(^| )""&amp;LEFT(LOWER($A21),LEN($A21)-1)&amp;""($| )""))),B$1,B$1&amp;"" ""&amp;$A21))"),"cost of selling house in foreclosure")</f>
        <v>cost of selling house in foreclosure</v>
      </c>
      <c r="C21" s="13" t="str">
        <f>IFERROR(__xludf.DUMMYFUNCTION("IF($A21="""","""",IF(OR(REGEXMATCH(LOWER(C$1),""(^| )""&amp;LOWER($A21)&amp;""($| )""),AND(RIGHT(LOWER($A21),1)=""s"",REGEXMATCH(LOWER(C$1),""(^| )""&amp;LEFT(LOWER($A21),LEN($A21)-1)&amp;""($| )""))),C$1,C$1&amp;"" ""&amp;$A21))"),"fees for selling house in foreclosure")</f>
        <v>fees for selling house in foreclosure</v>
      </c>
      <c r="D21" s="13" t="str">
        <f>IFERROR(__xludf.DUMMYFUNCTION("IF($A21="""","""",IF(OR(REGEXMATCH(LOWER(D$1),""(^| )""&amp;LOWER($A21)&amp;""($| )""),AND(RIGHT(LOWER($A21),1)=""s"",REGEXMATCH(LOWER(D$1),""(^| )""&amp;LEFT(LOWER($A21),LEN($A21)-1)&amp;""($| )""))),D$1,D$1&amp;"" ""&amp;$A21))"),"closing costs for selling house in foreclosure")</f>
        <v>closing costs for selling house in foreclosure</v>
      </c>
      <c r="E21" s="13" t="str">
        <f>IFERROR(__xludf.DUMMYFUNCTION("IF($A21="""","""",IF(OR(REGEXMATCH(LOWER(E$1),""(^| )""&amp;LOWER($A21)&amp;""($| )""),AND(RIGHT(LOWER($A21),1)=""s"",REGEXMATCH(LOWER(E$1),""(^| )""&amp;LEFT(LOWER($A21),LEN($A21)-1)&amp;""($| )""))),E$1,E$1&amp;"" ""&amp;$A21))"),"realtor fees for selling house in foreclosure")</f>
        <v>realtor fees for selling house in foreclosure</v>
      </c>
      <c r="F21" s="13" t="str">
        <f>IFERROR(__xludf.DUMMYFUNCTION("IF($A21="""","""",IF(OR(REGEXMATCH(LOWER(F$1),""(^| )""&amp;LOWER($A21)&amp;""($| )""),AND(RIGHT(LOWER($A21),1)=""s"",REGEXMATCH(LOWER(F$1),""(^| )""&amp;LEFT(LOWER($A21),LEN($A21)-1)&amp;""($| )""))),F$1,F$1&amp;"" ""&amp;$A21))"),"agent commission for selling house in foreclosure")</f>
        <v>agent commission for selling house in foreclosure</v>
      </c>
      <c r="G21" s="13" t="str">
        <f>IFERROR(__xludf.DUMMYFUNCTION("IF($A21="""","""",IF(OR(REGEXMATCH(LOWER(G$1),""(^| )""&amp;LOWER($A21)&amp;""($| )""),AND(RIGHT(LOWER($A21),1)=""s"",REGEXMATCH(LOWER(G$1),""(^| )""&amp;LEFT(LOWER($A21),LEN($A21)-1)&amp;""($| )""))),G$1,G$1&amp;"" ""&amp;$A21))"),"net proceeds from selling house in foreclosure")</f>
        <v>net proceeds from selling house in foreclosure</v>
      </c>
      <c r="H21" s="13" t="str">
        <f>IFERROR(__xludf.DUMMYFUNCTION("IF($A21="""","""",IF(OR(REGEXMATCH(LOWER(H$1),""(^| )""&amp;LOWER($A21)&amp;""($| )""),AND(RIGHT(LOWER($A21),1)=""s"",REGEXMATCH(LOWER(H$1),""(^| )""&amp;LEFT(LOWER($A21),LEN($A21)-1)&amp;""($| )""))),H$1,H$1&amp;"" ""&amp;$A21))"),"seller costs for selling house in foreclosure")</f>
        <v>seller costs for selling house in foreclosure</v>
      </c>
      <c r="I21" s="13" t="str">
        <f>IFERROR(__xludf.DUMMYFUNCTION("IF($A21="""","""",IF(OR(REGEXMATCH(LOWER(I$1),""(^| )""&amp;LOWER($A21)&amp;""($| )""),AND(RIGHT(LOWER($A21),1)=""s"",REGEXMATCH(LOWER(I$1),""(^| )""&amp;LEFT(LOWER($A21),LEN($A21)-1)&amp;""($| )""))),I$1,I$1&amp;"" ""&amp;$A21))"),"transfer taxes for selling house in foreclosure")</f>
        <v>transfer taxes for selling house in foreclosure</v>
      </c>
      <c r="J21" s="13" t="str">
        <f>IFERROR(__xludf.DUMMYFUNCTION("IF($A21="""","""",IF(OR(REGEXMATCH(LOWER(J$1),""(^| )""&amp;LOWER($A21)&amp;""($| )""),AND(RIGHT(LOWER($A21),1)=""s"",REGEXMATCH(LOWER(J$1),""(^| )""&amp;LEFT(LOWER($A21),LEN($A21)-1)&amp;""($| )""))),J$1,J$1&amp;"" ""&amp;$A21))"),"title fees for selling house in foreclosure")</f>
        <v>title fees for selling house in foreclosure</v>
      </c>
      <c r="K21" s="13" t="str">
        <f>IFERROR(__xludf.DUMMYFUNCTION("IF($A21="""","""",IF(OR(REGEXMATCH(LOWER(K$1),""(^| )""&amp;LOWER($A21)&amp;""($| )""),AND(RIGHT(LOWER($A21),1)=""s"",REGEXMATCH(LOWER(K$1),""(^| )""&amp;LEFT(LOWER($A21),LEN($A21)-1)&amp;""($| )""))),K$1,K$1&amp;"" ""&amp;$A21))"),"escrow fees for selling house in foreclosure")</f>
        <v>escrow fees for selling house in foreclosure</v>
      </c>
      <c r="L21" s="13"/>
      <c r="M21" s="13" t="str">
        <f>IFERROR(__xludf.DUMMYFUNCTION("""COMPUTED_VALUE"""),"title fees for selling my house")</f>
        <v>title fees for selling my house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>
      <c r="A22" s="16" t="s">
        <v>378</v>
      </c>
      <c r="B22" s="12" t="str">
        <f>IFERROR(__xludf.DUMMYFUNCTION("IF($A22="""","""",IF(OR(REGEXMATCH(LOWER(B$1),""(^| )""&amp;LOWER($A22)&amp;""($| )""),AND(RIGHT(LOWER($A22),1)=""s"",REGEXMATCH(LOWER(B$1),""(^| )""&amp;LEFT(LOWER($A22),LEN($A22)-1)&amp;""($| )""))),B$1,B$1&amp;"" ""&amp;$A22))"),"cost of selling house with liens")</f>
        <v>cost of selling house with liens</v>
      </c>
      <c r="C22" s="13" t="str">
        <f>IFERROR(__xludf.DUMMYFUNCTION("IF($A22="""","""",IF(OR(REGEXMATCH(LOWER(C$1),""(^| )""&amp;LOWER($A22)&amp;""($| )""),AND(RIGHT(LOWER($A22),1)=""s"",REGEXMATCH(LOWER(C$1),""(^| )""&amp;LEFT(LOWER($A22),LEN($A22)-1)&amp;""($| )""))),C$1,C$1&amp;"" ""&amp;$A22))"),"fees for selling house with liens")</f>
        <v>fees for selling house with liens</v>
      </c>
      <c r="D22" s="13" t="str">
        <f>IFERROR(__xludf.DUMMYFUNCTION("IF($A22="""","""",IF(OR(REGEXMATCH(LOWER(D$1),""(^| )""&amp;LOWER($A22)&amp;""($| )""),AND(RIGHT(LOWER($A22),1)=""s"",REGEXMATCH(LOWER(D$1),""(^| )""&amp;LEFT(LOWER($A22),LEN($A22)-1)&amp;""($| )""))),D$1,D$1&amp;"" ""&amp;$A22))"),"closing costs for selling house with liens")</f>
        <v>closing costs for selling house with liens</v>
      </c>
      <c r="E22" s="13" t="str">
        <f>IFERROR(__xludf.DUMMYFUNCTION("IF($A22="""","""",IF(OR(REGEXMATCH(LOWER(E$1),""(^| )""&amp;LOWER($A22)&amp;""($| )""),AND(RIGHT(LOWER($A22),1)=""s"",REGEXMATCH(LOWER(E$1),""(^| )""&amp;LEFT(LOWER($A22),LEN($A22)-1)&amp;""($| )""))),E$1,E$1&amp;"" ""&amp;$A22))"),"realtor fees for selling house with liens")</f>
        <v>realtor fees for selling house with liens</v>
      </c>
      <c r="F22" s="13" t="str">
        <f>IFERROR(__xludf.DUMMYFUNCTION("IF($A22="""","""",IF(OR(REGEXMATCH(LOWER(F$1),""(^| )""&amp;LOWER($A22)&amp;""($| )""),AND(RIGHT(LOWER($A22),1)=""s"",REGEXMATCH(LOWER(F$1),""(^| )""&amp;LEFT(LOWER($A22),LEN($A22)-1)&amp;""($| )""))),F$1,F$1&amp;"" ""&amp;$A22))"),"agent commission for selling house with liens")</f>
        <v>agent commission for selling house with liens</v>
      </c>
      <c r="G22" s="13" t="str">
        <f>IFERROR(__xludf.DUMMYFUNCTION("IF($A22="""","""",IF(OR(REGEXMATCH(LOWER(G$1),""(^| )""&amp;LOWER($A22)&amp;""($| )""),AND(RIGHT(LOWER($A22),1)=""s"",REGEXMATCH(LOWER(G$1),""(^| )""&amp;LEFT(LOWER($A22),LEN($A22)-1)&amp;""($| )""))),G$1,G$1&amp;"" ""&amp;$A22))"),"net proceeds from selling house with liens")</f>
        <v>net proceeds from selling house with liens</v>
      </c>
      <c r="H22" s="13" t="str">
        <f>IFERROR(__xludf.DUMMYFUNCTION("IF($A22="""","""",IF(OR(REGEXMATCH(LOWER(H$1),""(^| )""&amp;LOWER($A22)&amp;""($| )""),AND(RIGHT(LOWER($A22),1)=""s"",REGEXMATCH(LOWER(H$1),""(^| )""&amp;LEFT(LOWER($A22),LEN($A22)-1)&amp;""($| )""))),H$1,H$1&amp;"" ""&amp;$A22))"),"seller costs for selling house with liens")</f>
        <v>seller costs for selling house with liens</v>
      </c>
      <c r="I22" s="13" t="str">
        <f>IFERROR(__xludf.DUMMYFUNCTION("IF($A22="""","""",IF(OR(REGEXMATCH(LOWER(I$1),""(^| )""&amp;LOWER($A22)&amp;""($| )""),AND(RIGHT(LOWER($A22),1)=""s"",REGEXMATCH(LOWER(I$1),""(^| )""&amp;LEFT(LOWER($A22),LEN($A22)-1)&amp;""($| )""))),I$1,I$1&amp;"" ""&amp;$A22))"),"transfer taxes for selling house with liens")</f>
        <v>transfer taxes for selling house with liens</v>
      </c>
      <c r="J22" s="13" t="str">
        <f>IFERROR(__xludf.DUMMYFUNCTION("IF($A22="""","""",IF(OR(REGEXMATCH(LOWER(J$1),""(^| )""&amp;LOWER($A22)&amp;""($| )""),AND(RIGHT(LOWER($A22),1)=""s"",REGEXMATCH(LOWER(J$1),""(^| )""&amp;LEFT(LOWER($A22),LEN($A22)-1)&amp;""($| )""))),J$1,J$1&amp;"" ""&amp;$A22))"),"title fees for selling house with liens")</f>
        <v>title fees for selling house with liens</v>
      </c>
      <c r="K22" s="13" t="str">
        <f>IFERROR(__xludf.DUMMYFUNCTION("IF($A22="""","""",IF(OR(REGEXMATCH(LOWER(K$1),""(^| )""&amp;LOWER($A22)&amp;""($| )""),AND(RIGHT(LOWER($A22),1)=""s"",REGEXMATCH(LOWER(K$1),""(^| )""&amp;LEFT(LOWER($A22),LEN($A22)-1)&amp;""($| )""))),K$1,K$1&amp;"" ""&amp;$A22))"),"escrow fees for selling house with liens")</f>
        <v>escrow fees for selling house with liens</v>
      </c>
      <c r="L22" s="13"/>
      <c r="M22" s="13" t="str">
        <f>IFERROR(__xludf.DUMMYFUNCTION("""COMPUTED_VALUE"""),"escrow fees for selling my house")</f>
        <v>escrow fees for selling my house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>
      <c r="A23" s="16" t="s">
        <v>379</v>
      </c>
      <c r="B23" s="12" t="str">
        <f>IFERROR(__xludf.DUMMYFUNCTION("IF($A23="""","""",IF(OR(REGEXMATCH(LOWER(B$1),""(^| )""&amp;LOWER($A23)&amp;""($| )""),AND(RIGHT(LOWER($A23),1)=""s"",REGEXMATCH(LOWER(B$1),""(^| )""&amp;LEFT(LOWER($A23),LEN($A23)-1)&amp;""($| )""))),B$1,B$1&amp;"" ""&amp;$A23))"),"cost of selling house with tenants")</f>
        <v>cost of selling house with tenants</v>
      </c>
      <c r="C23" s="13" t="str">
        <f>IFERROR(__xludf.DUMMYFUNCTION("IF($A23="""","""",IF(OR(REGEXMATCH(LOWER(C$1),""(^| )""&amp;LOWER($A23)&amp;""($| )""),AND(RIGHT(LOWER($A23),1)=""s"",REGEXMATCH(LOWER(C$1),""(^| )""&amp;LEFT(LOWER($A23),LEN($A23)-1)&amp;""($| )""))),C$1,C$1&amp;"" ""&amp;$A23))"),"fees for selling house with tenants")</f>
        <v>fees for selling house with tenants</v>
      </c>
      <c r="D23" s="13" t="str">
        <f>IFERROR(__xludf.DUMMYFUNCTION("IF($A23="""","""",IF(OR(REGEXMATCH(LOWER(D$1),""(^| )""&amp;LOWER($A23)&amp;""($| )""),AND(RIGHT(LOWER($A23),1)=""s"",REGEXMATCH(LOWER(D$1),""(^| )""&amp;LEFT(LOWER($A23),LEN($A23)-1)&amp;""($| )""))),D$1,D$1&amp;"" ""&amp;$A23))"),"closing costs for selling house with tenants")</f>
        <v>closing costs for selling house with tenants</v>
      </c>
      <c r="E23" s="13" t="str">
        <f>IFERROR(__xludf.DUMMYFUNCTION("IF($A23="""","""",IF(OR(REGEXMATCH(LOWER(E$1),""(^| )""&amp;LOWER($A23)&amp;""($| )""),AND(RIGHT(LOWER($A23),1)=""s"",REGEXMATCH(LOWER(E$1),""(^| )""&amp;LEFT(LOWER($A23),LEN($A23)-1)&amp;""($| )""))),E$1,E$1&amp;"" ""&amp;$A23))"),"realtor fees for selling house with tenants")</f>
        <v>realtor fees for selling house with tenants</v>
      </c>
      <c r="F23" s="13" t="str">
        <f>IFERROR(__xludf.DUMMYFUNCTION("IF($A23="""","""",IF(OR(REGEXMATCH(LOWER(F$1),""(^| )""&amp;LOWER($A23)&amp;""($| )""),AND(RIGHT(LOWER($A23),1)=""s"",REGEXMATCH(LOWER(F$1),""(^| )""&amp;LEFT(LOWER($A23),LEN($A23)-1)&amp;""($| )""))),F$1,F$1&amp;"" ""&amp;$A23))"),"agent commission for selling house with tenants")</f>
        <v>agent commission for selling house with tenants</v>
      </c>
      <c r="G23" s="13" t="str">
        <f>IFERROR(__xludf.DUMMYFUNCTION("IF($A23="""","""",IF(OR(REGEXMATCH(LOWER(G$1),""(^| )""&amp;LOWER($A23)&amp;""($| )""),AND(RIGHT(LOWER($A23),1)=""s"",REGEXMATCH(LOWER(G$1),""(^| )""&amp;LEFT(LOWER($A23),LEN($A23)-1)&amp;""($| )""))),G$1,G$1&amp;"" ""&amp;$A23))"),"net proceeds from selling house with tenants")</f>
        <v>net proceeds from selling house with tenants</v>
      </c>
      <c r="H23" s="13" t="str">
        <f>IFERROR(__xludf.DUMMYFUNCTION("IF($A23="""","""",IF(OR(REGEXMATCH(LOWER(H$1),""(^| )""&amp;LOWER($A23)&amp;""($| )""),AND(RIGHT(LOWER($A23),1)=""s"",REGEXMATCH(LOWER(H$1),""(^| )""&amp;LEFT(LOWER($A23),LEN($A23)-1)&amp;""($| )""))),H$1,H$1&amp;"" ""&amp;$A23))"),"seller costs for selling house with tenants")</f>
        <v>seller costs for selling house with tenants</v>
      </c>
      <c r="I23" s="13" t="str">
        <f>IFERROR(__xludf.DUMMYFUNCTION("IF($A23="""","""",IF(OR(REGEXMATCH(LOWER(I$1),""(^| )""&amp;LOWER($A23)&amp;""($| )""),AND(RIGHT(LOWER($A23),1)=""s"",REGEXMATCH(LOWER(I$1),""(^| )""&amp;LEFT(LOWER($A23),LEN($A23)-1)&amp;""($| )""))),I$1,I$1&amp;"" ""&amp;$A23))"),"transfer taxes for selling house with tenants")</f>
        <v>transfer taxes for selling house with tenants</v>
      </c>
      <c r="J23" s="13" t="str">
        <f>IFERROR(__xludf.DUMMYFUNCTION("IF($A23="""","""",IF(OR(REGEXMATCH(LOWER(J$1),""(^| )""&amp;LOWER($A23)&amp;""($| )""),AND(RIGHT(LOWER($A23),1)=""s"",REGEXMATCH(LOWER(J$1),""(^| )""&amp;LEFT(LOWER($A23),LEN($A23)-1)&amp;""($| )""))),J$1,J$1&amp;"" ""&amp;$A23))"),"title fees for selling house with tenants")</f>
        <v>title fees for selling house with tenants</v>
      </c>
      <c r="K23" s="13" t="str">
        <f>IFERROR(__xludf.DUMMYFUNCTION("IF($A23="""","""",IF(OR(REGEXMATCH(LOWER(K$1),""(^| )""&amp;LOWER($A23)&amp;""($| )""),AND(RIGHT(LOWER($A23),1)=""s"",REGEXMATCH(LOWER(K$1),""(^| )""&amp;LEFT(LOWER($A23),LEN($A23)-1)&amp;""($| )""))),K$1,K$1&amp;"" ""&amp;$A23))"),"escrow fees for selling house with tenants")</f>
        <v>escrow fees for selling house with tenants</v>
      </c>
      <c r="L23" s="13"/>
      <c r="M23" s="13" t="str">
        <f>IFERROR(__xludf.DUMMYFUNCTION("""COMPUTED_VALUE"""),"cost of selling your house")</f>
        <v>cost of selling your house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>
      <c r="A24" s="16" t="s">
        <v>380</v>
      </c>
      <c r="B24" s="12" t="str">
        <f>IFERROR(__xludf.DUMMYFUNCTION("IF($A24="""","""",IF(OR(REGEXMATCH(LOWER(B$1),""(^| )""&amp;LOWER($A24)&amp;""($| )""),AND(RIGHT(LOWER($A24),1)=""s"",REGEXMATCH(LOWER(B$1),""(^| )""&amp;LEFT(LOWER($A24),LEN($A24)-1)&amp;""($| )""))),B$1,B$1&amp;"" ""&amp;$A24))"),"cost of selling unwanted house")</f>
        <v>cost of selling unwanted house</v>
      </c>
      <c r="C24" s="13" t="str">
        <f>IFERROR(__xludf.DUMMYFUNCTION("IF($A24="""","""",IF(OR(REGEXMATCH(LOWER(C$1),""(^| )""&amp;LOWER($A24)&amp;""($| )""),AND(RIGHT(LOWER($A24),1)=""s"",REGEXMATCH(LOWER(C$1),""(^| )""&amp;LEFT(LOWER($A24),LEN($A24)-1)&amp;""($| )""))),C$1,C$1&amp;"" ""&amp;$A24))"),"fees for selling unwanted house")</f>
        <v>fees for selling unwanted house</v>
      </c>
      <c r="D24" s="13" t="str">
        <f>IFERROR(__xludf.DUMMYFUNCTION("IF($A24="""","""",IF(OR(REGEXMATCH(LOWER(D$1),""(^| )""&amp;LOWER($A24)&amp;""($| )""),AND(RIGHT(LOWER($A24),1)=""s"",REGEXMATCH(LOWER(D$1),""(^| )""&amp;LEFT(LOWER($A24),LEN($A24)-1)&amp;""($| )""))),D$1,D$1&amp;"" ""&amp;$A24))"),"closing costs for selling unwanted house")</f>
        <v>closing costs for selling unwanted house</v>
      </c>
      <c r="E24" s="13" t="str">
        <f>IFERROR(__xludf.DUMMYFUNCTION("IF($A24="""","""",IF(OR(REGEXMATCH(LOWER(E$1),""(^| )""&amp;LOWER($A24)&amp;""($| )""),AND(RIGHT(LOWER($A24),1)=""s"",REGEXMATCH(LOWER(E$1),""(^| )""&amp;LEFT(LOWER($A24),LEN($A24)-1)&amp;""($| )""))),E$1,E$1&amp;"" ""&amp;$A24))"),"realtor fees for selling unwanted house")</f>
        <v>realtor fees for selling unwanted house</v>
      </c>
      <c r="F24" s="13" t="str">
        <f>IFERROR(__xludf.DUMMYFUNCTION("IF($A24="""","""",IF(OR(REGEXMATCH(LOWER(F$1),""(^| )""&amp;LOWER($A24)&amp;""($| )""),AND(RIGHT(LOWER($A24),1)=""s"",REGEXMATCH(LOWER(F$1),""(^| )""&amp;LEFT(LOWER($A24),LEN($A24)-1)&amp;""($| )""))),F$1,F$1&amp;"" ""&amp;$A24))"),"agent commission for selling unwanted house")</f>
        <v>agent commission for selling unwanted house</v>
      </c>
      <c r="G24" s="13" t="str">
        <f>IFERROR(__xludf.DUMMYFUNCTION("IF($A24="""","""",IF(OR(REGEXMATCH(LOWER(G$1),""(^| )""&amp;LOWER($A24)&amp;""($| )""),AND(RIGHT(LOWER($A24),1)=""s"",REGEXMATCH(LOWER(G$1),""(^| )""&amp;LEFT(LOWER($A24),LEN($A24)-1)&amp;""($| )""))),G$1,G$1&amp;"" ""&amp;$A24))"),"net proceeds from selling unwanted house")</f>
        <v>net proceeds from selling unwanted house</v>
      </c>
      <c r="H24" s="13" t="str">
        <f>IFERROR(__xludf.DUMMYFUNCTION("IF($A24="""","""",IF(OR(REGEXMATCH(LOWER(H$1),""(^| )""&amp;LOWER($A24)&amp;""($| )""),AND(RIGHT(LOWER($A24),1)=""s"",REGEXMATCH(LOWER(H$1),""(^| )""&amp;LEFT(LOWER($A24),LEN($A24)-1)&amp;""($| )""))),H$1,H$1&amp;"" ""&amp;$A24))"),"seller costs for selling unwanted house")</f>
        <v>seller costs for selling unwanted house</v>
      </c>
      <c r="I24" s="13" t="str">
        <f>IFERROR(__xludf.DUMMYFUNCTION("IF($A24="""","""",IF(OR(REGEXMATCH(LOWER(I$1),""(^| )""&amp;LOWER($A24)&amp;""($| )""),AND(RIGHT(LOWER($A24),1)=""s"",REGEXMATCH(LOWER(I$1),""(^| )""&amp;LEFT(LOWER($A24),LEN($A24)-1)&amp;""($| )""))),I$1,I$1&amp;"" ""&amp;$A24))"),"transfer taxes for selling unwanted house")</f>
        <v>transfer taxes for selling unwanted house</v>
      </c>
      <c r="J24" s="13" t="str">
        <f>IFERROR(__xludf.DUMMYFUNCTION("IF($A24="""","""",IF(OR(REGEXMATCH(LOWER(J$1),""(^| )""&amp;LOWER($A24)&amp;""($| )""),AND(RIGHT(LOWER($A24),1)=""s"",REGEXMATCH(LOWER(J$1),""(^| )""&amp;LEFT(LOWER($A24),LEN($A24)-1)&amp;""($| )""))),J$1,J$1&amp;"" ""&amp;$A24))"),"title fees for selling unwanted house")</f>
        <v>title fees for selling unwanted house</v>
      </c>
      <c r="K24" s="13" t="str">
        <f>IFERROR(__xludf.DUMMYFUNCTION("IF($A24="""","""",IF(OR(REGEXMATCH(LOWER(K$1),""(^| )""&amp;LOWER($A24)&amp;""($| )""),AND(RIGHT(LOWER($A24),1)=""s"",REGEXMATCH(LOWER(K$1),""(^| )""&amp;LEFT(LOWER($A24),LEN($A24)-1)&amp;""($| )""))),K$1,K$1&amp;"" ""&amp;$A24))"),"escrow fees for selling unwanted house")</f>
        <v>escrow fees for selling unwanted house</v>
      </c>
      <c r="L24" s="13"/>
      <c r="M24" s="13" t="str">
        <f>IFERROR(__xludf.DUMMYFUNCTION("""COMPUTED_VALUE"""),"fees for selling your house")</f>
        <v>fees for selling your house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>
      <c r="A25" s="16" t="s">
        <v>381</v>
      </c>
      <c r="B25" s="12" t="str">
        <f>IFERROR(__xludf.DUMMYFUNCTION("IF($A25="""","""",IF(OR(REGEXMATCH(LOWER(B$1),""(^| )""&amp;LOWER($A25)&amp;""($| )""),AND(RIGHT(LOWER($A25),1)=""s"",REGEXMATCH(LOWER(B$1),""(^| )""&amp;LEFT(LOWER($A25),LEN($A25)-1)&amp;""($| )""))),B$1,B$1&amp;"" ""&amp;$A25))"),"cost of selling house fast")</f>
        <v>cost of selling house fast</v>
      </c>
      <c r="C25" s="13" t="str">
        <f>IFERROR(__xludf.DUMMYFUNCTION("IF($A25="""","""",IF(OR(REGEXMATCH(LOWER(C$1),""(^| )""&amp;LOWER($A25)&amp;""($| )""),AND(RIGHT(LOWER($A25),1)=""s"",REGEXMATCH(LOWER(C$1),""(^| )""&amp;LEFT(LOWER($A25),LEN($A25)-1)&amp;""($| )""))),C$1,C$1&amp;"" ""&amp;$A25))"),"fees for selling house fast")</f>
        <v>fees for selling house fast</v>
      </c>
      <c r="D25" s="13" t="str">
        <f>IFERROR(__xludf.DUMMYFUNCTION("IF($A25="""","""",IF(OR(REGEXMATCH(LOWER(D$1),""(^| )""&amp;LOWER($A25)&amp;""($| )""),AND(RIGHT(LOWER($A25),1)=""s"",REGEXMATCH(LOWER(D$1),""(^| )""&amp;LEFT(LOWER($A25),LEN($A25)-1)&amp;""($| )""))),D$1,D$1&amp;"" ""&amp;$A25))"),"closing costs for selling house fast")</f>
        <v>closing costs for selling house fast</v>
      </c>
      <c r="E25" s="13" t="str">
        <f>IFERROR(__xludf.DUMMYFUNCTION("IF($A25="""","""",IF(OR(REGEXMATCH(LOWER(E$1),""(^| )""&amp;LOWER($A25)&amp;""($| )""),AND(RIGHT(LOWER($A25),1)=""s"",REGEXMATCH(LOWER(E$1),""(^| )""&amp;LEFT(LOWER($A25),LEN($A25)-1)&amp;""($| )""))),E$1,E$1&amp;"" ""&amp;$A25))"),"realtor fees for selling house fast")</f>
        <v>realtor fees for selling house fast</v>
      </c>
      <c r="F25" s="13" t="str">
        <f>IFERROR(__xludf.DUMMYFUNCTION("IF($A25="""","""",IF(OR(REGEXMATCH(LOWER(F$1),""(^| )""&amp;LOWER($A25)&amp;""($| )""),AND(RIGHT(LOWER($A25),1)=""s"",REGEXMATCH(LOWER(F$1),""(^| )""&amp;LEFT(LOWER($A25),LEN($A25)-1)&amp;""($| )""))),F$1,F$1&amp;"" ""&amp;$A25))"),"agent commission for selling house fast")</f>
        <v>agent commission for selling house fast</v>
      </c>
      <c r="G25" s="13" t="str">
        <f>IFERROR(__xludf.DUMMYFUNCTION("IF($A25="""","""",IF(OR(REGEXMATCH(LOWER(G$1),""(^| )""&amp;LOWER($A25)&amp;""($| )""),AND(RIGHT(LOWER($A25),1)=""s"",REGEXMATCH(LOWER(G$1),""(^| )""&amp;LEFT(LOWER($A25),LEN($A25)-1)&amp;""($| )""))),G$1,G$1&amp;"" ""&amp;$A25))"),"net proceeds from selling house fast")</f>
        <v>net proceeds from selling house fast</v>
      </c>
      <c r="H25" s="13" t="str">
        <f>IFERROR(__xludf.DUMMYFUNCTION("IF($A25="""","""",IF(OR(REGEXMATCH(LOWER(H$1),""(^| )""&amp;LOWER($A25)&amp;""($| )""),AND(RIGHT(LOWER($A25),1)=""s"",REGEXMATCH(LOWER(H$1),""(^| )""&amp;LEFT(LOWER($A25),LEN($A25)-1)&amp;""($| )""))),H$1,H$1&amp;"" ""&amp;$A25))"),"seller costs for selling house fast")</f>
        <v>seller costs for selling house fast</v>
      </c>
      <c r="I25" s="13" t="str">
        <f>IFERROR(__xludf.DUMMYFUNCTION("IF($A25="""","""",IF(OR(REGEXMATCH(LOWER(I$1),""(^| )""&amp;LOWER($A25)&amp;""($| )""),AND(RIGHT(LOWER($A25),1)=""s"",REGEXMATCH(LOWER(I$1),""(^| )""&amp;LEFT(LOWER($A25),LEN($A25)-1)&amp;""($| )""))),I$1,I$1&amp;"" ""&amp;$A25))"),"transfer taxes for selling house fast")</f>
        <v>transfer taxes for selling house fast</v>
      </c>
      <c r="J25" s="13" t="str">
        <f>IFERROR(__xludf.DUMMYFUNCTION("IF($A25="""","""",IF(OR(REGEXMATCH(LOWER(J$1),""(^| )""&amp;LOWER($A25)&amp;""($| )""),AND(RIGHT(LOWER($A25),1)=""s"",REGEXMATCH(LOWER(J$1),""(^| )""&amp;LEFT(LOWER($A25),LEN($A25)-1)&amp;""($| )""))),J$1,J$1&amp;"" ""&amp;$A25))"),"title fees for selling house fast")</f>
        <v>title fees for selling house fast</v>
      </c>
      <c r="K25" s="13" t="str">
        <f>IFERROR(__xludf.DUMMYFUNCTION("IF($A25="""","""",IF(OR(REGEXMATCH(LOWER(K$1),""(^| )""&amp;LOWER($A25)&amp;""($| )""),AND(RIGHT(LOWER($A25),1)=""s"",REGEXMATCH(LOWER(K$1),""(^| )""&amp;LEFT(LOWER($A25),LEN($A25)-1)&amp;""($| )""))),K$1,K$1&amp;"" ""&amp;$A25))"),"escrow fees for selling house fast")</f>
        <v>escrow fees for selling house fast</v>
      </c>
      <c r="L25" s="13"/>
      <c r="M25" s="13" t="str">
        <f>IFERROR(__xludf.DUMMYFUNCTION("""COMPUTED_VALUE"""),"closing costs for selling your house")</f>
        <v>closing costs for selling your house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>
      <c r="A26" s="16" t="s">
        <v>382</v>
      </c>
      <c r="B26" s="12" t="str">
        <f>IFERROR(__xludf.DUMMYFUNCTION("IF($A26="""","""",IF(OR(REGEXMATCH(LOWER(B$1),""(^| )""&amp;LOWER($A26)&amp;""($| )""),AND(RIGHT(LOWER($A26),1)=""s"",REGEXMATCH(LOWER(B$1),""(^| )""&amp;LEFT(LOWER($A26),LEN($A26)-1)&amp;""($| )""))),B$1,B$1&amp;"" ""&amp;$A26))"),"cost of selling house in Pennsylvania")</f>
        <v>cost of selling house in Pennsylvania</v>
      </c>
      <c r="C26" s="13" t="str">
        <f>IFERROR(__xludf.DUMMYFUNCTION("IF($A26="""","""",IF(OR(REGEXMATCH(LOWER(C$1),""(^| )""&amp;LOWER($A26)&amp;""($| )""),AND(RIGHT(LOWER($A26),1)=""s"",REGEXMATCH(LOWER(C$1),""(^| )""&amp;LEFT(LOWER($A26),LEN($A26)-1)&amp;""($| )""))),C$1,C$1&amp;"" ""&amp;$A26))"),"fees for selling house in Pennsylvania")</f>
        <v>fees for selling house in Pennsylvania</v>
      </c>
      <c r="D26" s="13" t="str">
        <f>IFERROR(__xludf.DUMMYFUNCTION("IF($A26="""","""",IF(OR(REGEXMATCH(LOWER(D$1),""(^| )""&amp;LOWER($A26)&amp;""($| )""),AND(RIGHT(LOWER($A26),1)=""s"",REGEXMATCH(LOWER(D$1),""(^| )""&amp;LEFT(LOWER($A26),LEN($A26)-1)&amp;""($| )""))),D$1,D$1&amp;"" ""&amp;$A26))"),"closing costs for selling house in Pennsylvania")</f>
        <v>closing costs for selling house in Pennsylvania</v>
      </c>
      <c r="E26" s="13" t="str">
        <f>IFERROR(__xludf.DUMMYFUNCTION("IF($A26="""","""",IF(OR(REGEXMATCH(LOWER(E$1),""(^| )""&amp;LOWER($A26)&amp;""($| )""),AND(RIGHT(LOWER($A26),1)=""s"",REGEXMATCH(LOWER(E$1),""(^| )""&amp;LEFT(LOWER($A26),LEN($A26)-1)&amp;""($| )""))),E$1,E$1&amp;"" ""&amp;$A26))"),"realtor fees for selling house in Pennsylvania")</f>
        <v>realtor fees for selling house in Pennsylvania</v>
      </c>
      <c r="F26" s="13" t="str">
        <f>IFERROR(__xludf.DUMMYFUNCTION("IF($A26="""","""",IF(OR(REGEXMATCH(LOWER(F$1),""(^| )""&amp;LOWER($A26)&amp;""($| )""),AND(RIGHT(LOWER($A26),1)=""s"",REGEXMATCH(LOWER(F$1),""(^| )""&amp;LEFT(LOWER($A26),LEN($A26)-1)&amp;""($| )""))),F$1,F$1&amp;"" ""&amp;$A26))"),"agent commission for selling house in Pennsylvania")</f>
        <v>agent commission for selling house in Pennsylvania</v>
      </c>
      <c r="G26" s="13" t="str">
        <f>IFERROR(__xludf.DUMMYFUNCTION("IF($A26="""","""",IF(OR(REGEXMATCH(LOWER(G$1),""(^| )""&amp;LOWER($A26)&amp;""($| )""),AND(RIGHT(LOWER($A26),1)=""s"",REGEXMATCH(LOWER(G$1),""(^| )""&amp;LEFT(LOWER($A26),LEN($A26)-1)&amp;""($| )""))),G$1,G$1&amp;"" ""&amp;$A26))"),"net proceeds from selling house in Pennsylvania")</f>
        <v>net proceeds from selling house in Pennsylvania</v>
      </c>
      <c r="H26" s="13" t="str">
        <f>IFERROR(__xludf.DUMMYFUNCTION("IF($A26="""","""",IF(OR(REGEXMATCH(LOWER(H$1),""(^| )""&amp;LOWER($A26)&amp;""($| )""),AND(RIGHT(LOWER($A26),1)=""s"",REGEXMATCH(LOWER(H$1),""(^| )""&amp;LEFT(LOWER($A26),LEN($A26)-1)&amp;""($| )""))),H$1,H$1&amp;"" ""&amp;$A26))"),"seller costs for selling house in Pennsylvania")</f>
        <v>seller costs for selling house in Pennsylvania</v>
      </c>
      <c r="I26" s="13" t="str">
        <f>IFERROR(__xludf.DUMMYFUNCTION("IF($A26="""","""",IF(OR(REGEXMATCH(LOWER(I$1),""(^| )""&amp;LOWER($A26)&amp;""($| )""),AND(RIGHT(LOWER($A26),1)=""s"",REGEXMATCH(LOWER(I$1),""(^| )""&amp;LEFT(LOWER($A26),LEN($A26)-1)&amp;""($| )""))),I$1,I$1&amp;"" ""&amp;$A26))"),"transfer taxes for selling house in Pennsylvania")</f>
        <v>transfer taxes for selling house in Pennsylvania</v>
      </c>
      <c r="J26" s="13" t="str">
        <f>IFERROR(__xludf.DUMMYFUNCTION("IF($A26="""","""",IF(OR(REGEXMATCH(LOWER(J$1),""(^| )""&amp;LOWER($A26)&amp;""($| )""),AND(RIGHT(LOWER($A26),1)=""s"",REGEXMATCH(LOWER(J$1),""(^| )""&amp;LEFT(LOWER($A26),LEN($A26)-1)&amp;""($| )""))),J$1,J$1&amp;"" ""&amp;$A26))"),"title fees for selling house in Pennsylvania")</f>
        <v>title fees for selling house in Pennsylvania</v>
      </c>
      <c r="K26" s="13" t="str">
        <f>IFERROR(__xludf.DUMMYFUNCTION("IF($A26="""","""",IF(OR(REGEXMATCH(LOWER(K$1),""(^| )""&amp;LOWER($A26)&amp;""($| )""),AND(RIGHT(LOWER($A26),1)=""s"",REGEXMATCH(LOWER(K$1),""(^| )""&amp;LEFT(LOWER($A26),LEN($A26)-1)&amp;""($| )""))),K$1,K$1&amp;"" ""&amp;$A26))"),"escrow fees for selling house in Pennsylvania")</f>
        <v>escrow fees for selling house in Pennsylvania</v>
      </c>
      <c r="L26" s="13"/>
      <c r="M26" s="13" t="str">
        <f>IFERROR(__xludf.DUMMYFUNCTION("""COMPUTED_VALUE"""),"realtor fees for selling your house")</f>
        <v>realtor fees for selling your house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>
      <c r="A27" s="16" t="s">
        <v>383</v>
      </c>
      <c r="B27" s="12" t="str">
        <f>IFERROR(__xludf.DUMMYFUNCTION("IF($A27="""","""",IF(OR(REGEXMATCH(LOWER(B$1),""(^| )""&amp;LOWER($A27)&amp;""($| )""),AND(RIGHT(LOWER($A27),1)=""s"",REGEXMATCH(LOWER(B$1),""(^| )""&amp;LEFT(LOWER($A27),LEN($A27)-1)&amp;""($| )""))),B$1,B$1&amp;"" ""&amp;$A27))"),"cost of selling house in Philadelphia")</f>
        <v>cost of selling house in Philadelphia</v>
      </c>
      <c r="C27" s="13" t="str">
        <f>IFERROR(__xludf.DUMMYFUNCTION("IF($A27="""","""",IF(OR(REGEXMATCH(LOWER(C$1),""(^| )""&amp;LOWER($A27)&amp;""($| )""),AND(RIGHT(LOWER($A27),1)=""s"",REGEXMATCH(LOWER(C$1),""(^| )""&amp;LEFT(LOWER($A27),LEN($A27)-1)&amp;""($| )""))),C$1,C$1&amp;"" ""&amp;$A27))"),"fees for selling house in Philadelphia")</f>
        <v>fees for selling house in Philadelphia</v>
      </c>
      <c r="D27" s="13" t="str">
        <f>IFERROR(__xludf.DUMMYFUNCTION("IF($A27="""","""",IF(OR(REGEXMATCH(LOWER(D$1),""(^| )""&amp;LOWER($A27)&amp;""($| )""),AND(RIGHT(LOWER($A27),1)=""s"",REGEXMATCH(LOWER(D$1),""(^| )""&amp;LEFT(LOWER($A27),LEN($A27)-1)&amp;""($| )""))),D$1,D$1&amp;"" ""&amp;$A27))"),"closing costs for selling house in Philadelphia")</f>
        <v>closing costs for selling house in Philadelphia</v>
      </c>
      <c r="E27" s="13" t="str">
        <f>IFERROR(__xludf.DUMMYFUNCTION("IF($A27="""","""",IF(OR(REGEXMATCH(LOWER(E$1),""(^| )""&amp;LOWER($A27)&amp;""($| )""),AND(RIGHT(LOWER($A27),1)=""s"",REGEXMATCH(LOWER(E$1),""(^| )""&amp;LEFT(LOWER($A27),LEN($A27)-1)&amp;""($| )""))),E$1,E$1&amp;"" ""&amp;$A27))"),"realtor fees for selling house in Philadelphia")</f>
        <v>realtor fees for selling house in Philadelphia</v>
      </c>
      <c r="F27" s="13" t="str">
        <f>IFERROR(__xludf.DUMMYFUNCTION("IF($A27="""","""",IF(OR(REGEXMATCH(LOWER(F$1),""(^| )""&amp;LOWER($A27)&amp;""($| )""),AND(RIGHT(LOWER($A27),1)=""s"",REGEXMATCH(LOWER(F$1),""(^| )""&amp;LEFT(LOWER($A27),LEN($A27)-1)&amp;""($| )""))),F$1,F$1&amp;"" ""&amp;$A27))"),"agent commission for selling house in Philadelphia")</f>
        <v>agent commission for selling house in Philadelphia</v>
      </c>
      <c r="G27" s="13" t="str">
        <f>IFERROR(__xludf.DUMMYFUNCTION("IF($A27="""","""",IF(OR(REGEXMATCH(LOWER(G$1),""(^| )""&amp;LOWER($A27)&amp;""($| )""),AND(RIGHT(LOWER($A27),1)=""s"",REGEXMATCH(LOWER(G$1),""(^| )""&amp;LEFT(LOWER($A27),LEN($A27)-1)&amp;""($| )""))),G$1,G$1&amp;"" ""&amp;$A27))"),"net proceeds from selling house in Philadelphia")</f>
        <v>net proceeds from selling house in Philadelphia</v>
      </c>
      <c r="H27" s="13" t="str">
        <f>IFERROR(__xludf.DUMMYFUNCTION("IF($A27="""","""",IF(OR(REGEXMATCH(LOWER(H$1),""(^| )""&amp;LOWER($A27)&amp;""($| )""),AND(RIGHT(LOWER($A27),1)=""s"",REGEXMATCH(LOWER(H$1),""(^| )""&amp;LEFT(LOWER($A27),LEN($A27)-1)&amp;""($| )""))),H$1,H$1&amp;"" ""&amp;$A27))"),"seller costs for selling house in Philadelphia")</f>
        <v>seller costs for selling house in Philadelphia</v>
      </c>
      <c r="I27" s="13" t="str">
        <f>IFERROR(__xludf.DUMMYFUNCTION("IF($A27="""","""",IF(OR(REGEXMATCH(LOWER(I$1),""(^| )""&amp;LOWER($A27)&amp;""($| )""),AND(RIGHT(LOWER($A27),1)=""s"",REGEXMATCH(LOWER(I$1),""(^| )""&amp;LEFT(LOWER($A27),LEN($A27)-1)&amp;""($| )""))),I$1,I$1&amp;"" ""&amp;$A27))"),"transfer taxes for selling house in Philadelphia")</f>
        <v>transfer taxes for selling house in Philadelphia</v>
      </c>
      <c r="J27" s="13" t="str">
        <f>IFERROR(__xludf.DUMMYFUNCTION("IF($A27="""","""",IF(OR(REGEXMATCH(LOWER(J$1),""(^| )""&amp;LOWER($A27)&amp;""($| )""),AND(RIGHT(LOWER($A27),1)=""s"",REGEXMATCH(LOWER(J$1),""(^| )""&amp;LEFT(LOWER($A27),LEN($A27)-1)&amp;""($| )""))),J$1,J$1&amp;"" ""&amp;$A27))"),"title fees for selling house in Philadelphia")</f>
        <v>title fees for selling house in Philadelphia</v>
      </c>
      <c r="K27" s="13" t="str">
        <f>IFERROR(__xludf.DUMMYFUNCTION("IF($A27="""","""",IF(OR(REGEXMATCH(LOWER(K$1),""(^| )""&amp;LOWER($A27)&amp;""($| )""),AND(RIGHT(LOWER($A27),1)=""s"",REGEXMATCH(LOWER(K$1),""(^| )""&amp;LEFT(LOWER($A27),LEN($A27)-1)&amp;""($| )""))),K$1,K$1&amp;"" ""&amp;$A27))"),"escrow fees for selling house in Philadelphia")</f>
        <v>escrow fees for selling house in Philadelphia</v>
      </c>
      <c r="L27" s="13"/>
      <c r="M27" s="13" t="str">
        <f>IFERROR(__xludf.DUMMYFUNCTION("""COMPUTED_VALUE"""),"agent commission for selling your house")</f>
        <v>agent commission for selling your house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>
      <c r="A28" s="16" t="s">
        <v>384</v>
      </c>
      <c r="B28" s="12" t="str">
        <f>IFERROR(__xludf.DUMMYFUNCTION("IF($A28="""","""",IF(OR(REGEXMATCH(LOWER(B$1),""(^| )""&amp;LOWER($A28)&amp;""($| )""),AND(RIGHT(LOWER($A28),1)=""s"",REGEXMATCH(LOWER(B$1),""(^| )""&amp;LEFT(LOWER($A28),LEN($A28)-1)&amp;""($| )""))),B$1,B$1&amp;"" ""&amp;$A28))"),"cost of selling house in Wilmington DE")</f>
        <v>cost of selling house in Wilmington DE</v>
      </c>
      <c r="C28" s="13" t="str">
        <f>IFERROR(__xludf.DUMMYFUNCTION("IF($A28="""","""",IF(OR(REGEXMATCH(LOWER(C$1),""(^| )""&amp;LOWER($A28)&amp;""($| )""),AND(RIGHT(LOWER($A28),1)=""s"",REGEXMATCH(LOWER(C$1),""(^| )""&amp;LEFT(LOWER($A28),LEN($A28)-1)&amp;""($| )""))),C$1,C$1&amp;"" ""&amp;$A28))"),"fees for selling house in Wilmington DE")</f>
        <v>fees for selling house in Wilmington DE</v>
      </c>
      <c r="D28" s="13" t="str">
        <f>IFERROR(__xludf.DUMMYFUNCTION("IF($A28="""","""",IF(OR(REGEXMATCH(LOWER(D$1),""(^| )""&amp;LOWER($A28)&amp;""($| )""),AND(RIGHT(LOWER($A28),1)=""s"",REGEXMATCH(LOWER(D$1),""(^| )""&amp;LEFT(LOWER($A28),LEN($A28)-1)&amp;""($| )""))),D$1,D$1&amp;"" ""&amp;$A28))"),"closing costs for selling house in Wilmington DE")</f>
        <v>closing costs for selling house in Wilmington DE</v>
      </c>
      <c r="E28" s="13" t="str">
        <f>IFERROR(__xludf.DUMMYFUNCTION("IF($A28="""","""",IF(OR(REGEXMATCH(LOWER(E$1),""(^| )""&amp;LOWER($A28)&amp;""($| )""),AND(RIGHT(LOWER($A28),1)=""s"",REGEXMATCH(LOWER(E$1),""(^| )""&amp;LEFT(LOWER($A28),LEN($A28)-1)&amp;""($| )""))),E$1,E$1&amp;"" ""&amp;$A28))"),"realtor fees for selling house in Wilmington DE")</f>
        <v>realtor fees for selling house in Wilmington DE</v>
      </c>
      <c r="F28" s="13" t="str">
        <f>IFERROR(__xludf.DUMMYFUNCTION("IF($A28="""","""",IF(OR(REGEXMATCH(LOWER(F$1),""(^| )""&amp;LOWER($A28)&amp;""($| )""),AND(RIGHT(LOWER($A28),1)=""s"",REGEXMATCH(LOWER(F$1),""(^| )""&amp;LEFT(LOWER($A28),LEN($A28)-1)&amp;""($| )""))),F$1,F$1&amp;"" ""&amp;$A28))"),"agent commission for selling house in Wilmington DE")</f>
        <v>agent commission for selling house in Wilmington DE</v>
      </c>
      <c r="G28" s="13" t="str">
        <f>IFERROR(__xludf.DUMMYFUNCTION("IF($A28="""","""",IF(OR(REGEXMATCH(LOWER(G$1),""(^| )""&amp;LOWER($A28)&amp;""($| )""),AND(RIGHT(LOWER($A28),1)=""s"",REGEXMATCH(LOWER(G$1),""(^| )""&amp;LEFT(LOWER($A28),LEN($A28)-1)&amp;""($| )""))),G$1,G$1&amp;"" ""&amp;$A28))"),"net proceeds from selling house in Wilmington DE")</f>
        <v>net proceeds from selling house in Wilmington DE</v>
      </c>
      <c r="H28" s="13" t="str">
        <f>IFERROR(__xludf.DUMMYFUNCTION("IF($A28="""","""",IF(OR(REGEXMATCH(LOWER(H$1),""(^| )""&amp;LOWER($A28)&amp;""($| )""),AND(RIGHT(LOWER($A28),1)=""s"",REGEXMATCH(LOWER(H$1),""(^| )""&amp;LEFT(LOWER($A28),LEN($A28)-1)&amp;""($| )""))),H$1,H$1&amp;"" ""&amp;$A28))"),"seller costs for selling house in Wilmington DE")</f>
        <v>seller costs for selling house in Wilmington DE</v>
      </c>
      <c r="I28" s="13" t="str">
        <f>IFERROR(__xludf.DUMMYFUNCTION("IF($A28="""","""",IF(OR(REGEXMATCH(LOWER(I$1),""(^| )""&amp;LOWER($A28)&amp;""($| )""),AND(RIGHT(LOWER($A28),1)=""s"",REGEXMATCH(LOWER(I$1),""(^| )""&amp;LEFT(LOWER($A28),LEN($A28)-1)&amp;""($| )""))),I$1,I$1&amp;"" ""&amp;$A28))"),"transfer taxes for selling house in Wilmington DE")</f>
        <v>transfer taxes for selling house in Wilmington DE</v>
      </c>
      <c r="J28" s="13" t="str">
        <f>IFERROR(__xludf.DUMMYFUNCTION("IF($A28="""","""",IF(OR(REGEXMATCH(LOWER(J$1),""(^| )""&amp;LOWER($A28)&amp;""($| )""),AND(RIGHT(LOWER($A28),1)=""s"",REGEXMATCH(LOWER(J$1),""(^| )""&amp;LEFT(LOWER($A28),LEN($A28)-1)&amp;""($| )""))),J$1,J$1&amp;"" ""&amp;$A28))"),"title fees for selling house in Wilmington DE")</f>
        <v>title fees for selling house in Wilmington DE</v>
      </c>
      <c r="K28" s="13" t="str">
        <f>IFERROR(__xludf.DUMMYFUNCTION("IF($A28="""","""",IF(OR(REGEXMATCH(LOWER(K$1),""(^| )""&amp;LOWER($A28)&amp;""($| )""),AND(RIGHT(LOWER($A28),1)=""s"",REGEXMATCH(LOWER(K$1),""(^| )""&amp;LEFT(LOWER($A28),LEN($A28)-1)&amp;""($| )""))),K$1,K$1&amp;"" ""&amp;$A28))"),"escrow fees for selling house in Wilmington DE")</f>
        <v>escrow fees for selling house in Wilmington DE</v>
      </c>
      <c r="L28" s="13"/>
      <c r="M28" s="13" t="str">
        <f>IFERROR(__xludf.DUMMYFUNCTION("""COMPUTED_VALUE"""),"net proceeds from selling your house")</f>
        <v>net proceeds from selling your house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>
      <c r="A29" s="16" t="s">
        <v>385</v>
      </c>
      <c r="B29" s="12" t="str">
        <f>IFERROR(__xludf.DUMMYFUNCTION("IF($A29="""","""",IF(OR(REGEXMATCH(LOWER(B$1),""(^| )""&amp;LOWER($A29)&amp;""($| )""),AND(RIGHT(LOWER($A29),1)=""s"",REGEXMATCH(LOWER(B$1),""(^| )""&amp;LEFT(LOWER($A29),LEN($A29)-1)&amp;""($| )""))),B$1,B$1&amp;"" ""&amp;$A29))"),"cost of selling house after repairs")</f>
        <v>cost of selling house after repairs</v>
      </c>
      <c r="C29" s="13" t="str">
        <f>IFERROR(__xludf.DUMMYFUNCTION("IF($A29="""","""",IF(OR(REGEXMATCH(LOWER(C$1),""(^| )""&amp;LOWER($A29)&amp;""($| )""),AND(RIGHT(LOWER($A29),1)=""s"",REGEXMATCH(LOWER(C$1),""(^| )""&amp;LEFT(LOWER($A29),LEN($A29)-1)&amp;""($| )""))),C$1,C$1&amp;"" ""&amp;$A29))"),"fees for selling house after repairs")</f>
        <v>fees for selling house after repairs</v>
      </c>
      <c r="D29" s="13" t="str">
        <f>IFERROR(__xludf.DUMMYFUNCTION("IF($A29="""","""",IF(OR(REGEXMATCH(LOWER(D$1),""(^| )""&amp;LOWER($A29)&amp;""($| )""),AND(RIGHT(LOWER($A29),1)=""s"",REGEXMATCH(LOWER(D$1),""(^| )""&amp;LEFT(LOWER($A29),LEN($A29)-1)&amp;""($| )""))),D$1,D$1&amp;"" ""&amp;$A29))"),"closing costs for selling house after repairs")</f>
        <v>closing costs for selling house after repairs</v>
      </c>
      <c r="E29" s="13" t="str">
        <f>IFERROR(__xludf.DUMMYFUNCTION("IF($A29="""","""",IF(OR(REGEXMATCH(LOWER(E$1),""(^| )""&amp;LOWER($A29)&amp;""($| )""),AND(RIGHT(LOWER($A29),1)=""s"",REGEXMATCH(LOWER(E$1),""(^| )""&amp;LEFT(LOWER($A29),LEN($A29)-1)&amp;""($| )""))),E$1,E$1&amp;"" ""&amp;$A29))"),"realtor fees for selling house after repairs")</f>
        <v>realtor fees for selling house after repairs</v>
      </c>
      <c r="F29" s="13" t="str">
        <f>IFERROR(__xludf.DUMMYFUNCTION("IF($A29="""","""",IF(OR(REGEXMATCH(LOWER(F$1),""(^| )""&amp;LOWER($A29)&amp;""($| )""),AND(RIGHT(LOWER($A29),1)=""s"",REGEXMATCH(LOWER(F$1),""(^| )""&amp;LEFT(LOWER($A29),LEN($A29)-1)&amp;""($| )""))),F$1,F$1&amp;"" ""&amp;$A29))"),"agent commission for selling house after repairs")</f>
        <v>agent commission for selling house after repairs</v>
      </c>
      <c r="G29" s="13" t="str">
        <f>IFERROR(__xludf.DUMMYFUNCTION("IF($A29="""","""",IF(OR(REGEXMATCH(LOWER(G$1),""(^| )""&amp;LOWER($A29)&amp;""($| )""),AND(RIGHT(LOWER($A29),1)=""s"",REGEXMATCH(LOWER(G$1),""(^| )""&amp;LEFT(LOWER($A29),LEN($A29)-1)&amp;""($| )""))),G$1,G$1&amp;"" ""&amp;$A29))"),"net proceeds from selling house after repairs")</f>
        <v>net proceeds from selling house after repairs</v>
      </c>
      <c r="H29" s="13" t="str">
        <f>IFERROR(__xludf.DUMMYFUNCTION("IF($A29="""","""",IF(OR(REGEXMATCH(LOWER(H$1),""(^| )""&amp;LOWER($A29)&amp;""($| )""),AND(RIGHT(LOWER($A29),1)=""s"",REGEXMATCH(LOWER(H$1),""(^| )""&amp;LEFT(LOWER($A29),LEN($A29)-1)&amp;""($| )""))),H$1,H$1&amp;"" ""&amp;$A29))"),"seller costs for selling house after repairs")</f>
        <v>seller costs for selling house after repairs</v>
      </c>
      <c r="I29" s="13" t="str">
        <f>IFERROR(__xludf.DUMMYFUNCTION("IF($A29="""","""",IF(OR(REGEXMATCH(LOWER(I$1),""(^| )""&amp;LOWER($A29)&amp;""($| )""),AND(RIGHT(LOWER($A29),1)=""s"",REGEXMATCH(LOWER(I$1),""(^| )""&amp;LEFT(LOWER($A29),LEN($A29)-1)&amp;""($| )""))),I$1,I$1&amp;"" ""&amp;$A29))"),"transfer taxes for selling house after repairs")</f>
        <v>transfer taxes for selling house after repairs</v>
      </c>
      <c r="J29" s="13" t="str">
        <f>IFERROR(__xludf.DUMMYFUNCTION("IF($A29="""","""",IF(OR(REGEXMATCH(LOWER(J$1),""(^| )""&amp;LOWER($A29)&amp;""($| )""),AND(RIGHT(LOWER($A29),1)=""s"",REGEXMATCH(LOWER(J$1),""(^| )""&amp;LEFT(LOWER($A29),LEN($A29)-1)&amp;""($| )""))),J$1,J$1&amp;"" ""&amp;$A29))"),"title fees for selling house after repairs")</f>
        <v>title fees for selling house after repairs</v>
      </c>
      <c r="K29" s="13" t="str">
        <f>IFERROR(__xludf.DUMMYFUNCTION("IF($A29="""","""",IF(OR(REGEXMATCH(LOWER(K$1),""(^| )""&amp;LOWER($A29)&amp;""($| )""),AND(RIGHT(LOWER($A29),1)=""s"",REGEXMATCH(LOWER(K$1),""(^| )""&amp;LEFT(LOWER($A29),LEN($A29)-1)&amp;""($| )""))),K$1,K$1&amp;"" ""&amp;$A29))"),"escrow fees for selling house after repairs")</f>
        <v>escrow fees for selling house after repairs</v>
      </c>
      <c r="L29" s="13"/>
      <c r="M29" s="13" t="str">
        <f>IFERROR(__xludf.DUMMYFUNCTION("""COMPUTED_VALUE"""),"seller costs for selling your house")</f>
        <v>seller costs for selling your house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</row>
    <row r="30">
      <c r="A30" s="16" t="s">
        <v>386</v>
      </c>
      <c r="B30" s="12" t="str">
        <f>IFERROR(__xludf.DUMMYFUNCTION("IF($A30="""","""",IF(OR(REGEXMATCH(LOWER(B$1),""(^| )""&amp;LOWER($A30)&amp;""($| )""),AND(RIGHT(LOWER($A30),1)=""s"",REGEXMATCH(LOWER(B$1),""(^| )""&amp;LEFT(LOWER($A30),LEN($A30)-1)&amp;""($| )""))),B$1,B$1&amp;"" ""&amp;$A30))"),"cost of selling house before repairs")</f>
        <v>cost of selling house before repairs</v>
      </c>
      <c r="C30" s="13" t="str">
        <f>IFERROR(__xludf.DUMMYFUNCTION("IF($A30="""","""",IF(OR(REGEXMATCH(LOWER(C$1),""(^| )""&amp;LOWER($A30)&amp;""($| )""),AND(RIGHT(LOWER($A30),1)=""s"",REGEXMATCH(LOWER(C$1),""(^| )""&amp;LEFT(LOWER($A30),LEN($A30)-1)&amp;""($| )""))),C$1,C$1&amp;"" ""&amp;$A30))"),"fees for selling house before repairs")</f>
        <v>fees for selling house before repairs</v>
      </c>
      <c r="D30" s="13" t="str">
        <f>IFERROR(__xludf.DUMMYFUNCTION("IF($A30="""","""",IF(OR(REGEXMATCH(LOWER(D$1),""(^| )""&amp;LOWER($A30)&amp;""($| )""),AND(RIGHT(LOWER($A30),1)=""s"",REGEXMATCH(LOWER(D$1),""(^| )""&amp;LEFT(LOWER($A30),LEN($A30)-1)&amp;""($| )""))),D$1,D$1&amp;"" ""&amp;$A30))"),"closing costs for selling house before repairs")</f>
        <v>closing costs for selling house before repairs</v>
      </c>
      <c r="E30" s="13" t="str">
        <f>IFERROR(__xludf.DUMMYFUNCTION("IF($A30="""","""",IF(OR(REGEXMATCH(LOWER(E$1),""(^| )""&amp;LOWER($A30)&amp;""($| )""),AND(RIGHT(LOWER($A30),1)=""s"",REGEXMATCH(LOWER(E$1),""(^| )""&amp;LEFT(LOWER($A30),LEN($A30)-1)&amp;""($| )""))),E$1,E$1&amp;"" ""&amp;$A30))"),"realtor fees for selling house before repairs")</f>
        <v>realtor fees for selling house before repairs</v>
      </c>
      <c r="F30" s="13" t="str">
        <f>IFERROR(__xludf.DUMMYFUNCTION("IF($A30="""","""",IF(OR(REGEXMATCH(LOWER(F$1),""(^| )""&amp;LOWER($A30)&amp;""($| )""),AND(RIGHT(LOWER($A30),1)=""s"",REGEXMATCH(LOWER(F$1),""(^| )""&amp;LEFT(LOWER($A30),LEN($A30)-1)&amp;""($| )""))),F$1,F$1&amp;"" ""&amp;$A30))"),"agent commission for selling house before repairs")</f>
        <v>agent commission for selling house before repairs</v>
      </c>
      <c r="G30" s="13" t="str">
        <f>IFERROR(__xludf.DUMMYFUNCTION("IF($A30="""","""",IF(OR(REGEXMATCH(LOWER(G$1),""(^| )""&amp;LOWER($A30)&amp;""($| )""),AND(RIGHT(LOWER($A30),1)=""s"",REGEXMATCH(LOWER(G$1),""(^| )""&amp;LEFT(LOWER($A30),LEN($A30)-1)&amp;""($| )""))),G$1,G$1&amp;"" ""&amp;$A30))"),"net proceeds from selling house before repairs")</f>
        <v>net proceeds from selling house before repairs</v>
      </c>
      <c r="H30" s="13" t="str">
        <f>IFERROR(__xludf.DUMMYFUNCTION("IF($A30="""","""",IF(OR(REGEXMATCH(LOWER(H$1),""(^| )""&amp;LOWER($A30)&amp;""($| )""),AND(RIGHT(LOWER($A30),1)=""s"",REGEXMATCH(LOWER(H$1),""(^| )""&amp;LEFT(LOWER($A30),LEN($A30)-1)&amp;""($| )""))),H$1,H$1&amp;"" ""&amp;$A30))"),"seller costs for selling house before repairs")</f>
        <v>seller costs for selling house before repairs</v>
      </c>
      <c r="I30" s="13" t="str">
        <f>IFERROR(__xludf.DUMMYFUNCTION("IF($A30="""","""",IF(OR(REGEXMATCH(LOWER(I$1),""(^| )""&amp;LOWER($A30)&amp;""($| )""),AND(RIGHT(LOWER($A30),1)=""s"",REGEXMATCH(LOWER(I$1),""(^| )""&amp;LEFT(LOWER($A30),LEN($A30)-1)&amp;""($| )""))),I$1,I$1&amp;"" ""&amp;$A30))"),"transfer taxes for selling house before repairs")</f>
        <v>transfer taxes for selling house before repairs</v>
      </c>
      <c r="J30" s="13" t="str">
        <f>IFERROR(__xludf.DUMMYFUNCTION("IF($A30="""","""",IF(OR(REGEXMATCH(LOWER(J$1),""(^| )""&amp;LOWER($A30)&amp;""($| )""),AND(RIGHT(LOWER($A30),1)=""s"",REGEXMATCH(LOWER(J$1),""(^| )""&amp;LEFT(LOWER($A30),LEN($A30)-1)&amp;""($| )""))),J$1,J$1&amp;"" ""&amp;$A30))"),"title fees for selling house before repairs")</f>
        <v>title fees for selling house before repairs</v>
      </c>
      <c r="K30" s="13" t="str">
        <f>IFERROR(__xludf.DUMMYFUNCTION("IF($A30="""","""",IF(OR(REGEXMATCH(LOWER(K$1),""(^| )""&amp;LOWER($A30)&amp;""($| )""),AND(RIGHT(LOWER($A30),1)=""s"",REGEXMATCH(LOWER(K$1),""(^| )""&amp;LEFT(LOWER($A30),LEN($A30)-1)&amp;""($| )""))),K$1,K$1&amp;"" ""&amp;$A30))"),"escrow fees for selling house before repairs")</f>
        <v>escrow fees for selling house before repairs</v>
      </c>
      <c r="L30" s="13"/>
      <c r="M30" s="13" t="str">
        <f>IFERROR(__xludf.DUMMYFUNCTION("""COMPUTED_VALUE"""),"transfer taxes for selling your house")</f>
        <v>transfer taxes for selling your house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>
      <c r="A31" s="16" t="s">
        <v>387</v>
      </c>
      <c r="B31" s="12" t="str">
        <f>IFERROR(__xludf.DUMMYFUNCTION("IF($A31="""","""",IF(OR(REGEXMATCH(LOWER(B$1),""(^| )""&amp;LOWER($A31)&amp;""($| )""),AND(RIGHT(LOWER($A31),1)=""s"",REGEXMATCH(LOWER(B$1),""(^| )""&amp;LEFT(LOWER($A31),LEN($A31)-1)&amp;""($| )""))),B$1,B$1&amp;"" ""&amp;$A31))"),"cost of selling house with mortgage")</f>
        <v>cost of selling house with mortgage</v>
      </c>
      <c r="C31" s="13" t="str">
        <f>IFERROR(__xludf.DUMMYFUNCTION("IF($A31="""","""",IF(OR(REGEXMATCH(LOWER(C$1),""(^| )""&amp;LOWER($A31)&amp;""($| )""),AND(RIGHT(LOWER($A31),1)=""s"",REGEXMATCH(LOWER(C$1),""(^| )""&amp;LEFT(LOWER($A31),LEN($A31)-1)&amp;""($| )""))),C$1,C$1&amp;"" ""&amp;$A31))"),"fees for selling house with mortgage")</f>
        <v>fees for selling house with mortgage</v>
      </c>
      <c r="D31" s="13" t="str">
        <f>IFERROR(__xludf.DUMMYFUNCTION("IF($A31="""","""",IF(OR(REGEXMATCH(LOWER(D$1),""(^| )""&amp;LOWER($A31)&amp;""($| )""),AND(RIGHT(LOWER($A31),1)=""s"",REGEXMATCH(LOWER(D$1),""(^| )""&amp;LEFT(LOWER($A31),LEN($A31)-1)&amp;""($| )""))),D$1,D$1&amp;"" ""&amp;$A31))"),"closing costs for selling house with mortgage")</f>
        <v>closing costs for selling house with mortgage</v>
      </c>
      <c r="E31" s="13" t="str">
        <f>IFERROR(__xludf.DUMMYFUNCTION("IF($A31="""","""",IF(OR(REGEXMATCH(LOWER(E$1),""(^| )""&amp;LOWER($A31)&amp;""($| )""),AND(RIGHT(LOWER($A31),1)=""s"",REGEXMATCH(LOWER(E$1),""(^| )""&amp;LEFT(LOWER($A31),LEN($A31)-1)&amp;""($| )""))),E$1,E$1&amp;"" ""&amp;$A31))"),"realtor fees for selling house with mortgage")</f>
        <v>realtor fees for selling house with mortgage</v>
      </c>
      <c r="F31" s="13" t="str">
        <f>IFERROR(__xludf.DUMMYFUNCTION("IF($A31="""","""",IF(OR(REGEXMATCH(LOWER(F$1),""(^| )""&amp;LOWER($A31)&amp;""($| )""),AND(RIGHT(LOWER($A31),1)=""s"",REGEXMATCH(LOWER(F$1),""(^| )""&amp;LEFT(LOWER($A31),LEN($A31)-1)&amp;""($| )""))),F$1,F$1&amp;"" ""&amp;$A31))"),"agent commission for selling house with mortgage")</f>
        <v>agent commission for selling house with mortgage</v>
      </c>
      <c r="G31" s="13" t="str">
        <f>IFERROR(__xludf.DUMMYFUNCTION("IF($A31="""","""",IF(OR(REGEXMATCH(LOWER(G$1),""(^| )""&amp;LOWER($A31)&amp;""($| )""),AND(RIGHT(LOWER($A31),1)=""s"",REGEXMATCH(LOWER(G$1),""(^| )""&amp;LEFT(LOWER($A31),LEN($A31)-1)&amp;""($| )""))),G$1,G$1&amp;"" ""&amp;$A31))"),"net proceeds from selling house with mortgage")</f>
        <v>net proceeds from selling house with mortgage</v>
      </c>
      <c r="H31" s="13" t="str">
        <f>IFERROR(__xludf.DUMMYFUNCTION("IF($A31="""","""",IF(OR(REGEXMATCH(LOWER(H$1),""(^| )""&amp;LOWER($A31)&amp;""($| )""),AND(RIGHT(LOWER($A31),1)=""s"",REGEXMATCH(LOWER(H$1),""(^| )""&amp;LEFT(LOWER($A31),LEN($A31)-1)&amp;""($| )""))),H$1,H$1&amp;"" ""&amp;$A31))"),"seller costs for selling house with mortgage")</f>
        <v>seller costs for selling house with mortgage</v>
      </c>
      <c r="I31" s="13" t="str">
        <f>IFERROR(__xludf.DUMMYFUNCTION("IF($A31="""","""",IF(OR(REGEXMATCH(LOWER(I$1),""(^| )""&amp;LOWER($A31)&amp;""($| )""),AND(RIGHT(LOWER($A31),1)=""s"",REGEXMATCH(LOWER(I$1),""(^| )""&amp;LEFT(LOWER($A31),LEN($A31)-1)&amp;""($| )""))),I$1,I$1&amp;"" ""&amp;$A31))"),"transfer taxes for selling house with mortgage")</f>
        <v>transfer taxes for selling house with mortgage</v>
      </c>
      <c r="J31" s="13" t="str">
        <f>IFERROR(__xludf.DUMMYFUNCTION("IF($A31="""","""",IF(OR(REGEXMATCH(LOWER(J$1),""(^| )""&amp;LOWER($A31)&amp;""($| )""),AND(RIGHT(LOWER($A31),1)=""s"",REGEXMATCH(LOWER(J$1),""(^| )""&amp;LEFT(LOWER($A31),LEN($A31)-1)&amp;""($| )""))),J$1,J$1&amp;"" ""&amp;$A31))"),"title fees for selling house with mortgage")</f>
        <v>title fees for selling house with mortgage</v>
      </c>
      <c r="K31" s="13" t="str">
        <f>IFERROR(__xludf.DUMMYFUNCTION("IF($A31="""","""",IF(OR(REGEXMATCH(LOWER(K$1),""(^| )""&amp;LOWER($A31)&amp;""($| )""),AND(RIGHT(LOWER($A31),1)=""s"",REGEXMATCH(LOWER(K$1),""(^| )""&amp;LEFT(LOWER($A31),LEN($A31)-1)&amp;""($| )""))),K$1,K$1&amp;"" ""&amp;$A31))"),"escrow fees for selling house with mortgage")</f>
        <v>escrow fees for selling house with mortgage</v>
      </c>
      <c r="L31" s="13"/>
      <c r="M31" s="13" t="str">
        <f>IFERROR(__xludf.DUMMYFUNCTION("""COMPUTED_VALUE"""),"title fees for selling your house")</f>
        <v>title fees for selling your house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>
      <c r="A32" s="16" t="s">
        <v>388</v>
      </c>
      <c r="B32" s="12" t="str">
        <f>IFERROR(__xludf.DUMMYFUNCTION("IF($A32="""","""",IF(OR(REGEXMATCH(LOWER(B$1),""(^| )""&amp;LOWER($A32)&amp;""($| )""),AND(RIGHT(LOWER($A32),1)=""s"",REGEXMATCH(LOWER(B$1),""(^| )""&amp;LEFT(LOWER($A32),LEN($A32)-1)&amp;""($| )""))),B$1,B$1&amp;"" ""&amp;$A32))"),"cost of selling house with title issues")</f>
        <v>cost of selling house with title issues</v>
      </c>
      <c r="C32" s="13" t="str">
        <f>IFERROR(__xludf.DUMMYFUNCTION("IF($A32="""","""",IF(OR(REGEXMATCH(LOWER(C$1),""(^| )""&amp;LOWER($A32)&amp;""($| )""),AND(RIGHT(LOWER($A32),1)=""s"",REGEXMATCH(LOWER(C$1),""(^| )""&amp;LEFT(LOWER($A32),LEN($A32)-1)&amp;""($| )""))),C$1,C$1&amp;"" ""&amp;$A32))"),"fees for selling house with title issues")</f>
        <v>fees for selling house with title issues</v>
      </c>
      <c r="D32" s="13" t="str">
        <f>IFERROR(__xludf.DUMMYFUNCTION("IF($A32="""","""",IF(OR(REGEXMATCH(LOWER(D$1),""(^| )""&amp;LOWER($A32)&amp;""($| )""),AND(RIGHT(LOWER($A32),1)=""s"",REGEXMATCH(LOWER(D$1),""(^| )""&amp;LEFT(LOWER($A32),LEN($A32)-1)&amp;""($| )""))),D$1,D$1&amp;"" ""&amp;$A32))"),"closing costs for selling house with title issues")</f>
        <v>closing costs for selling house with title issues</v>
      </c>
      <c r="E32" s="13" t="str">
        <f>IFERROR(__xludf.DUMMYFUNCTION("IF($A32="""","""",IF(OR(REGEXMATCH(LOWER(E$1),""(^| )""&amp;LOWER($A32)&amp;""($| )""),AND(RIGHT(LOWER($A32),1)=""s"",REGEXMATCH(LOWER(E$1),""(^| )""&amp;LEFT(LOWER($A32),LEN($A32)-1)&amp;""($| )""))),E$1,E$1&amp;"" ""&amp;$A32))"),"realtor fees for selling house with title issues")</f>
        <v>realtor fees for selling house with title issues</v>
      </c>
      <c r="F32" s="13" t="str">
        <f>IFERROR(__xludf.DUMMYFUNCTION("IF($A32="""","""",IF(OR(REGEXMATCH(LOWER(F$1),""(^| )""&amp;LOWER($A32)&amp;""($| )""),AND(RIGHT(LOWER($A32),1)=""s"",REGEXMATCH(LOWER(F$1),""(^| )""&amp;LEFT(LOWER($A32),LEN($A32)-1)&amp;""($| )""))),F$1,F$1&amp;"" ""&amp;$A32))"),"agent commission for selling house with title issues")</f>
        <v>agent commission for selling house with title issues</v>
      </c>
      <c r="G32" s="13" t="str">
        <f>IFERROR(__xludf.DUMMYFUNCTION("IF($A32="""","""",IF(OR(REGEXMATCH(LOWER(G$1),""(^| )""&amp;LOWER($A32)&amp;""($| )""),AND(RIGHT(LOWER($A32),1)=""s"",REGEXMATCH(LOWER(G$1),""(^| )""&amp;LEFT(LOWER($A32),LEN($A32)-1)&amp;""($| )""))),G$1,G$1&amp;"" ""&amp;$A32))"),"net proceeds from selling house with title issues")</f>
        <v>net proceeds from selling house with title issues</v>
      </c>
      <c r="H32" s="13" t="str">
        <f>IFERROR(__xludf.DUMMYFUNCTION("IF($A32="""","""",IF(OR(REGEXMATCH(LOWER(H$1),""(^| )""&amp;LOWER($A32)&amp;""($| )""),AND(RIGHT(LOWER($A32),1)=""s"",REGEXMATCH(LOWER(H$1),""(^| )""&amp;LEFT(LOWER($A32),LEN($A32)-1)&amp;""($| )""))),H$1,H$1&amp;"" ""&amp;$A32))"),"seller costs for selling house with title issues")</f>
        <v>seller costs for selling house with title issues</v>
      </c>
      <c r="I32" s="13" t="str">
        <f>IFERROR(__xludf.DUMMYFUNCTION("IF($A32="""","""",IF(OR(REGEXMATCH(LOWER(I$1),""(^| )""&amp;LOWER($A32)&amp;""($| )""),AND(RIGHT(LOWER($A32),1)=""s"",REGEXMATCH(LOWER(I$1),""(^| )""&amp;LEFT(LOWER($A32),LEN($A32)-1)&amp;""($| )""))),I$1,I$1&amp;"" ""&amp;$A32))"),"transfer taxes for selling house with title issues")</f>
        <v>transfer taxes for selling house with title issues</v>
      </c>
      <c r="J32" s="13" t="str">
        <f>IFERROR(__xludf.DUMMYFUNCTION("IF($A32="""","""",IF(OR(REGEXMATCH(LOWER(J$1),""(^| )""&amp;LOWER($A32)&amp;""($| )""),AND(RIGHT(LOWER($A32),1)=""s"",REGEXMATCH(LOWER(J$1),""(^| )""&amp;LEFT(LOWER($A32),LEN($A32)-1)&amp;""($| )""))),J$1,J$1&amp;"" ""&amp;$A32))"),"title fees for selling house with title issues")</f>
        <v>title fees for selling house with title issues</v>
      </c>
      <c r="K32" s="13" t="str">
        <f>IFERROR(__xludf.DUMMYFUNCTION("IF($A32="""","""",IF(OR(REGEXMATCH(LOWER(K$1),""(^| )""&amp;LOWER($A32)&amp;""($| )""),AND(RIGHT(LOWER($A32),1)=""s"",REGEXMATCH(LOWER(K$1),""(^| )""&amp;LEFT(LOWER($A32),LEN($A32)-1)&amp;""($| )""))),K$1,K$1&amp;"" ""&amp;$A32))"),"escrow fees for selling house with title issues")</f>
        <v>escrow fees for selling house with title issues</v>
      </c>
      <c r="L32" s="13"/>
      <c r="M32" s="13" t="str">
        <f>IFERROR(__xludf.DUMMYFUNCTION("""COMPUTED_VALUE"""),"escrow fees for selling your house")</f>
        <v>escrow fees for selling your house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>
      <c r="A33" s="16" t="s">
        <v>389</v>
      </c>
      <c r="B33" s="12" t="str">
        <f>IFERROR(__xludf.DUMMYFUNCTION("IF($A33="""","""",IF(OR(REGEXMATCH(LOWER(B$1),""(^| )""&amp;LOWER($A33)&amp;""($| )""),AND(RIGHT(LOWER($A33),1)=""s"",REGEXMATCH(LOWER(B$1),""(^| )""&amp;LEFT(LOWER($A33),LEN($A33)-1)&amp;""($| )""))),B$1,B$1&amp;"" ""&amp;$A33))"),"cost of selling house through realtor")</f>
        <v>cost of selling house through realtor</v>
      </c>
      <c r="C33" s="13" t="str">
        <f>IFERROR(__xludf.DUMMYFUNCTION("IF($A33="""","""",IF(OR(REGEXMATCH(LOWER(C$1),""(^| )""&amp;LOWER($A33)&amp;""($| )""),AND(RIGHT(LOWER($A33),1)=""s"",REGEXMATCH(LOWER(C$1),""(^| )""&amp;LEFT(LOWER($A33),LEN($A33)-1)&amp;""($| )""))),C$1,C$1&amp;"" ""&amp;$A33))"),"fees for selling house through realtor")</f>
        <v>fees for selling house through realtor</v>
      </c>
      <c r="D33" s="13" t="str">
        <f>IFERROR(__xludf.DUMMYFUNCTION("IF($A33="""","""",IF(OR(REGEXMATCH(LOWER(D$1),""(^| )""&amp;LOWER($A33)&amp;""($| )""),AND(RIGHT(LOWER($A33),1)=""s"",REGEXMATCH(LOWER(D$1),""(^| )""&amp;LEFT(LOWER($A33),LEN($A33)-1)&amp;""($| )""))),D$1,D$1&amp;"" ""&amp;$A33))"),"closing costs for selling house through realtor")</f>
        <v>closing costs for selling house through realtor</v>
      </c>
      <c r="E33" s="13" t="str">
        <f>IFERROR(__xludf.DUMMYFUNCTION("IF($A33="""","""",IF(OR(REGEXMATCH(LOWER(E$1),""(^| )""&amp;LOWER($A33)&amp;""($| )""),AND(RIGHT(LOWER($A33),1)=""s"",REGEXMATCH(LOWER(E$1),""(^| )""&amp;LEFT(LOWER($A33),LEN($A33)-1)&amp;""($| )""))),E$1,E$1&amp;"" ""&amp;$A33))"),"realtor fees for selling house through realtor")</f>
        <v>realtor fees for selling house through realtor</v>
      </c>
      <c r="F33" s="13" t="str">
        <f>IFERROR(__xludf.DUMMYFUNCTION("IF($A33="""","""",IF(OR(REGEXMATCH(LOWER(F$1),""(^| )""&amp;LOWER($A33)&amp;""($| )""),AND(RIGHT(LOWER($A33),1)=""s"",REGEXMATCH(LOWER(F$1),""(^| )""&amp;LEFT(LOWER($A33),LEN($A33)-1)&amp;""($| )""))),F$1,F$1&amp;"" ""&amp;$A33))"),"agent commission for selling house through realtor")</f>
        <v>agent commission for selling house through realtor</v>
      </c>
      <c r="G33" s="13" t="str">
        <f>IFERROR(__xludf.DUMMYFUNCTION("IF($A33="""","""",IF(OR(REGEXMATCH(LOWER(G$1),""(^| )""&amp;LOWER($A33)&amp;""($| )""),AND(RIGHT(LOWER($A33),1)=""s"",REGEXMATCH(LOWER(G$1),""(^| )""&amp;LEFT(LOWER($A33),LEN($A33)-1)&amp;""($| )""))),G$1,G$1&amp;"" ""&amp;$A33))"),"net proceeds from selling house through realtor")</f>
        <v>net proceeds from selling house through realtor</v>
      </c>
      <c r="H33" s="13" t="str">
        <f>IFERROR(__xludf.DUMMYFUNCTION("IF($A33="""","""",IF(OR(REGEXMATCH(LOWER(H$1),""(^| )""&amp;LOWER($A33)&amp;""($| )""),AND(RIGHT(LOWER($A33),1)=""s"",REGEXMATCH(LOWER(H$1),""(^| )""&amp;LEFT(LOWER($A33),LEN($A33)-1)&amp;""($| )""))),H$1,H$1&amp;"" ""&amp;$A33))"),"seller costs for selling house through realtor")</f>
        <v>seller costs for selling house through realtor</v>
      </c>
      <c r="I33" s="13" t="str">
        <f>IFERROR(__xludf.DUMMYFUNCTION("IF($A33="""","""",IF(OR(REGEXMATCH(LOWER(I$1),""(^| )""&amp;LOWER($A33)&amp;""($| )""),AND(RIGHT(LOWER($A33),1)=""s"",REGEXMATCH(LOWER(I$1),""(^| )""&amp;LEFT(LOWER($A33),LEN($A33)-1)&amp;""($| )""))),I$1,I$1&amp;"" ""&amp;$A33))"),"transfer taxes for selling house through realtor")</f>
        <v>transfer taxes for selling house through realtor</v>
      </c>
      <c r="J33" s="13" t="str">
        <f>IFERROR(__xludf.DUMMYFUNCTION("IF($A33="""","""",IF(OR(REGEXMATCH(LOWER(J$1),""(^| )""&amp;LOWER($A33)&amp;""($| )""),AND(RIGHT(LOWER($A33),1)=""s"",REGEXMATCH(LOWER(J$1),""(^| )""&amp;LEFT(LOWER($A33),LEN($A33)-1)&amp;""($| )""))),J$1,J$1&amp;"" ""&amp;$A33))"),"title fees for selling house through realtor")</f>
        <v>title fees for selling house through realtor</v>
      </c>
      <c r="K33" s="13" t="str">
        <f>IFERROR(__xludf.DUMMYFUNCTION("IF($A33="""","""",IF(OR(REGEXMATCH(LOWER(K$1),""(^| )""&amp;LOWER($A33)&amp;""($| )""),AND(RIGHT(LOWER($A33),1)=""s"",REGEXMATCH(LOWER(K$1),""(^| )""&amp;LEFT(LOWER($A33),LEN($A33)-1)&amp;""($| )""))),K$1,K$1&amp;"" ""&amp;$A33))"),"escrow fees for selling house through realtor")</f>
        <v>escrow fees for selling house through realtor</v>
      </c>
      <c r="L33" s="13"/>
      <c r="M33" s="13" t="str">
        <f>IFERROR(__xludf.DUMMYFUNCTION("""COMPUTED_VALUE"""),"cost of selling a home")</f>
        <v>cost of selling a home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>
      <c r="A34" s="16" t="s">
        <v>390</v>
      </c>
      <c r="B34" s="12" t="str">
        <f>IFERROR(__xludf.DUMMYFUNCTION("IF($A34="""","""",IF(OR(REGEXMATCH(LOWER(B$1),""(^| )""&amp;LOWER($A34)&amp;""($| )""),AND(RIGHT(LOWER($A34),1)=""s"",REGEXMATCH(LOWER(B$1),""(^| )""&amp;LEFT(LOWER($A34),LEN($A34)-1)&amp;""($| )""))),B$1,B$1&amp;"" ""&amp;$A34))"),"cost of selling house FSBO")</f>
        <v>cost of selling house FSBO</v>
      </c>
      <c r="C34" s="13" t="str">
        <f>IFERROR(__xludf.DUMMYFUNCTION("IF($A34="""","""",IF(OR(REGEXMATCH(LOWER(C$1),""(^| )""&amp;LOWER($A34)&amp;""($| )""),AND(RIGHT(LOWER($A34),1)=""s"",REGEXMATCH(LOWER(C$1),""(^| )""&amp;LEFT(LOWER($A34),LEN($A34)-1)&amp;""($| )""))),C$1,C$1&amp;"" ""&amp;$A34))"),"fees for selling house FSBO")</f>
        <v>fees for selling house FSBO</v>
      </c>
      <c r="D34" s="13" t="str">
        <f>IFERROR(__xludf.DUMMYFUNCTION("IF($A34="""","""",IF(OR(REGEXMATCH(LOWER(D$1),""(^| )""&amp;LOWER($A34)&amp;""($| )""),AND(RIGHT(LOWER($A34),1)=""s"",REGEXMATCH(LOWER(D$1),""(^| )""&amp;LEFT(LOWER($A34),LEN($A34)-1)&amp;""($| )""))),D$1,D$1&amp;"" ""&amp;$A34))"),"closing costs for selling house FSBO")</f>
        <v>closing costs for selling house FSBO</v>
      </c>
      <c r="E34" s="13" t="str">
        <f>IFERROR(__xludf.DUMMYFUNCTION("IF($A34="""","""",IF(OR(REGEXMATCH(LOWER(E$1),""(^| )""&amp;LOWER($A34)&amp;""($| )""),AND(RIGHT(LOWER($A34),1)=""s"",REGEXMATCH(LOWER(E$1),""(^| )""&amp;LEFT(LOWER($A34),LEN($A34)-1)&amp;""($| )""))),E$1,E$1&amp;"" ""&amp;$A34))"),"realtor fees for selling house FSBO")</f>
        <v>realtor fees for selling house FSBO</v>
      </c>
      <c r="F34" s="13" t="str">
        <f>IFERROR(__xludf.DUMMYFUNCTION("IF($A34="""","""",IF(OR(REGEXMATCH(LOWER(F$1),""(^| )""&amp;LOWER($A34)&amp;""($| )""),AND(RIGHT(LOWER($A34),1)=""s"",REGEXMATCH(LOWER(F$1),""(^| )""&amp;LEFT(LOWER($A34),LEN($A34)-1)&amp;""($| )""))),F$1,F$1&amp;"" ""&amp;$A34))"),"agent commission for selling house FSBO")</f>
        <v>agent commission for selling house FSBO</v>
      </c>
      <c r="G34" s="13" t="str">
        <f>IFERROR(__xludf.DUMMYFUNCTION("IF($A34="""","""",IF(OR(REGEXMATCH(LOWER(G$1),""(^| )""&amp;LOWER($A34)&amp;""($| )""),AND(RIGHT(LOWER($A34),1)=""s"",REGEXMATCH(LOWER(G$1),""(^| )""&amp;LEFT(LOWER($A34),LEN($A34)-1)&amp;""($| )""))),G$1,G$1&amp;"" ""&amp;$A34))"),"net proceeds from selling house FSBO")</f>
        <v>net proceeds from selling house FSBO</v>
      </c>
      <c r="H34" s="13" t="str">
        <f>IFERROR(__xludf.DUMMYFUNCTION("IF($A34="""","""",IF(OR(REGEXMATCH(LOWER(H$1),""(^| )""&amp;LOWER($A34)&amp;""($| )""),AND(RIGHT(LOWER($A34),1)=""s"",REGEXMATCH(LOWER(H$1),""(^| )""&amp;LEFT(LOWER($A34),LEN($A34)-1)&amp;""($| )""))),H$1,H$1&amp;"" ""&amp;$A34))"),"seller costs for selling house FSBO")</f>
        <v>seller costs for selling house FSBO</v>
      </c>
      <c r="I34" s="13" t="str">
        <f>IFERROR(__xludf.DUMMYFUNCTION("IF($A34="""","""",IF(OR(REGEXMATCH(LOWER(I$1),""(^| )""&amp;LOWER($A34)&amp;""($| )""),AND(RIGHT(LOWER($A34),1)=""s"",REGEXMATCH(LOWER(I$1),""(^| )""&amp;LEFT(LOWER($A34),LEN($A34)-1)&amp;""($| )""))),I$1,I$1&amp;"" ""&amp;$A34))"),"transfer taxes for selling house FSBO")</f>
        <v>transfer taxes for selling house FSBO</v>
      </c>
      <c r="J34" s="13" t="str">
        <f>IFERROR(__xludf.DUMMYFUNCTION("IF($A34="""","""",IF(OR(REGEXMATCH(LOWER(J$1),""(^| )""&amp;LOWER($A34)&amp;""($| )""),AND(RIGHT(LOWER($A34),1)=""s"",REGEXMATCH(LOWER(J$1),""(^| )""&amp;LEFT(LOWER($A34),LEN($A34)-1)&amp;""($| )""))),J$1,J$1&amp;"" ""&amp;$A34))"),"title fees for selling house FSBO")</f>
        <v>title fees for selling house FSBO</v>
      </c>
      <c r="K34" s="13" t="str">
        <f>IFERROR(__xludf.DUMMYFUNCTION("IF($A34="""","""",IF(OR(REGEXMATCH(LOWER(K$1),""(^| )""&amp;LOWER($A34)&amp;""($| )""),AND(RIGHT(LOWER($A34),1)=""s"",REGEXMATCH(LOWER(K$1),""(^| )""&amp;LEFT(LOWER($A34),LEN($A34)-1)&amp;""($| )""))),K$1,K$1&amp;"" ""&amp;$A34))"),"escrow fees for selling house FSBO")</f>
        <v>escrow fees for selling house FSBO</v>
      </c>
      <c r="L34" s="13"/>
      <c r="M34" s="13" t="str">
        <f>IFERROR(__xludf.DUMMYFUNCTION("""COMPUTED_VALUE"""),"fees for selling a home")</f>
        <v>fees for selling a home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>
      <c r="A35" s="16"/>
      <c r="B35" s="12" t="str">
        <f>IFERROR(__xludf.DUMMYFUNCTION("IF($A35="""","""",IF(OR(REGEXMATCH(LOWER(B$1),""(^| )""&amp;LOWER($A35)&amp;""($| )""),AND(RIGHT(LOWER($A35),1)=""s"",REGEXMATCH(LOWER(B$1),""(^| )""&amp;LEFT(LOWER($A35),LEN($A35)-1)&amp;""($| )""))),B$1,B$1&amp;"" ""&amp;$A35))"),"")</f>
        <v/>
      </c>
      <c r="C35" s="13" t="str">
        <f>IFERROR(__xludf.DUMMYFUNCTION("IF($A35="""","""",IF(OR(REGEXMATCH(LOWER(C$1),""(^| )""&amp;LOWER($A35)&amp;""($| )""),AND(RIGHT(LOWER($A35),1)=""s"",REGEXMATCH(LOWER(C$1),""(^| )""&amp;LEFT(LOWER($A35),LEN($A35)-1)&amp;""($| )""))),C$1,C$1&amp;"" ""&amp;$A35))"),"")</f>
        <v/>
      </c>
      <c r="D35" s="13" t="str">
        <f>IFERROR(__xludf.DUMMYFUNCTION("IF($A35="""","""",IF(OR(REGEXMATCH(LOWER(D$1),""(^| )""&amp;LOWER($A35)&amp;""($| )""),AND(RIGHT(LOWER($A35),1)=""s"",REGEXMATCH(LOWER(D$1),""(^| )""&amp;LEFT(LOWER($A35),LEN($A35)-1)&amp;""($| )""))),D$1,D$1&amp;"" ""&amp;$A35))"),"")</f>
        <v/>
      </c>
      <c r="E35" s="13" t="str">
        <f>IFERROR(__xludf.DUMMYFUNCTION("IF($A35="""","""",IF(OR(REGEXMATCH(LOWER(E$1),""(^| )""&amp;LOWER($A35)&amp;""($| )""),AND(RIGHT(LOWER($A35),1)=""s"",REGEXMATCH(LOWER(E$1),""(^| )""&amp;LEFT(LOWER($A35),LEN($A35)-1)&amp;""($| )""))),E$1,E$1&amp;"" ""&amp;$A35))"),"")</f>
        <v/>
      </c>
      <c r="F35" s="13" t="str">
        <f>IFERROR(__xludf.DUMMYFUNCTION("IF($A35="""","""",IF(OR(REGEXMATCH(LOWER(F$1),""(^| )""&amp;LOWER($A35)&amp;""($| )""),AND(RIGHT(LOWER($A35),1)=""s"",REGEXMATCH(LOWER(F$1),""(^| )""&amp;LEFT(LOWER($A35),LEN($A35)-1)&amp;""($| )""))),F$1,F$1&amp;"" ""&amp;$A35))"),"")</f>
        <v/>
      </c>
      <c r="G35" s="13" t="str">
        <f>IFERROR(__xludf.DUMMYFUNCTION("IF($A35="""","""",IF(OR(REGEXMATCH(LOWER(G$1),""(^| )""&amp;LOWER($A35)&amp;""($| )""),AND(RIGHT(LOWER($A35),1)=""s"",REGEXMATCH(LOWER(G$1),""(^| )""&amp;LEFT(LOWER($A35),LEN($A35)-1)&amp;""($| )""))),G$1,G$1&amp;"" ""&amp;$A35))"),"")</f>
        <v/>
      </c>
      <c r="H35" s="13" t="str">
        <f>IFERROR(__xludf.DUMMYFUNCTION("IF($A35="""","""",IF(OR(REGEXMATCH(LOWER(H$1),""(^| )""&amp;LOWER($A35)&amp;""($| )""),AND(RIGHT(LOWER($A35),1)=""s"",REGEXMATCH(LOWER(H$1),""(^| )""&amp;LEFT(LOWER($A35),LEN($A35)-1)&amp;""($| )""))),H$1,H$1&amp;"" ""&amp;$A35))"),"")</f>
        <v/>
      </c>
      <c r="I35" s="13" t="str">
        <f>IFERROR(__xludf.DUMMYFUNCTION("IF($A35="""","""",IF(OR(REGEXMATCH(LOWER(I$1),""(^| )""&amp;LOWER($A35)&amp;""($| )""),AND(RIGHT(LOWER($A35),1)=""s"",REGEXMATCH(LOWER(I$1),""(^| )""&amp;LEFT(LOWER($A35),LEN($A35)-1)&amp;""($| )""))),I$1,I$1&amp;"" ""&amp;$A35))"),"")</f>
        <v/>
      </c>
      <c r="J35" s="13" t="str">
        <f>IFERROR(__xludf.DUMMYFUNCTION("IF($A35="""","""",IF(OR(REGEXMATCH(LOWER(J$1),""(^| )""&amp;LOWER($A35)&amp;""($| )""),AND(RIGHT(LOWER($A35),1)=""s"",REGEXMATCH(LOWER(J$1),""(^| )""&amp;LEFT(LOWER($A35),LEN($A35)-1)&amp;""($| )""))),J$1,J$1&amp;"" ""&amp;$A35))"),"")</f>
        <v/>
      </c>
      <c r="K35" s="13" t="str">
        <f>IFERROR(__xludf.DUMMYFUNCTION("IF($A35="""","""",IF(OR(REGEXMATCH(LOWER(K$1),""(^| )""&amp;LOWER($A35)&amp;""($| )""),AND(RIGHT(LOWER($A35),1)=""s"",REGEXMATCH(LOWER(K$1),""(^| )""&amp;LEFT(LOWER($A35),LEN($A35)-1)&amp;""($| )""))),K$1,K$1&amp;"" ""&amp;$A35))"),"")</f>
        <v/>
      </c>
      <c r="L35" s="13"/>
      <c r="M35" s="13" t="str">
        <f>IFERROR(__xludf.DUMMYFUNCTION("""COMPUTED_VALUE"""),"closing costs for selling a home")</f>
        <v>closing costs for selling a home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>
      <c r="A36" s="16"/>
      <c r="B36" s="12" t="str">
        <f>IFERROR(__xludf.DUMMYFUNCTION("IF($A36="""","""",IF(OR(REGEXMATCH(LOWER(B$1),""(^| )""&amp;LOWER($A36)&amp;""($| )""),AND(RIGHT(LOWER($A36),1)=""s"",REGEXMATCH(LOWER(B$1),""(^| )""&amp;LEFT(LOWER($A36),LEN($A36)-1)&amp;""($| )""))),B$1,B$1&amp;"" ""&amp;$A36))"),"")</f>
        <v/>
      </c>
      <c r="C36" s="13" t="str">
        <f>IFERROR(__xludf.DUMMYFUNCTION("IF($A36="""","""",IF(OR(REGEXMATCH(LOWER(C$1),""(^| )""&amp;LOWER($A36)&amp;""($| )""),AND(RIGHT(LOWER($A36),1)=""s"",REGEXMATCH(LOWER(C$1),""(^| )""&amp;LEFT(LOWER($A36),LEN($A36)-1)&amp;""($| )""))),C$1,C$1&amp;"" ""&amp;$A36))"),"")</f>
        <v/>
      </c>
      <c r="D36" s="13" t="str">
        <f>IFERROR(__xludf.DUMMYFUNCTION("IF($A36="""","""",IF(OR(REGEXMATCH(LOWER(D$1),""(^| )""&amp;LOWER($A36)&amp;""($| )""),AND(RIGHT(LOWER($A36),1)=""s"",REGEXMATCH(LOWER(D$1),""(^| )""&amp;LEFT(LOWER($A36),LEN($A36)-1)&amp;""($| )""))),D$1,D$1&amp;"" ""&amp;$A36))"),"")</f>
        <v/>
      </c>
      <c r="E36" s="13" t="str">
        <f>IFERROR(__xludf.DUMMYFUNCTION("IF($A36="""","""",IF(OR(REGEXMATCH(LOWER(E$1),""(^| )""&amp;LOWER($A36)&amp;""($| )""),AND(RIGHT(LOWER($A36),1)=""s"",REGEXMATCH(LOWER(E$1),""(^| )""&amp;LEFT(LOWER($A36),LEN($A36)-1)&amp;""($| )""))),E$1,E$1&amp;"" ""&amp;$A36))"),"")</f>
        <v/>
      </c>
      <c r="F36" s="13" t="str">
        <f>IFERROR(__xludf.DUMMYFUNCTION("IF($A36="""","""",IF(OR(REGEXMATCH(LOWER(F$1),""(^| )""&amp;LOWER($A36)&amp;""($| )""),AND(RIGHT(LOWER($A36),1)=""s"",REGEXMATCH(LOWER(F$1),""(^| )""&amp;LEFT(LOWER($A36),LEN($A36)-1)&amp;""($| )""))),F$1,F$1&amp;"" ""&amp;$A36))"),"")</f>
        <v/>
      </c>
      <c r="G36" s="13" t="str">
        <f>IFERROR(__xludf.DUMMYFUNCTION("IF($A36="""","""",IF(OR(REGEXMATCH(LOWER(G$1),""(^| )""&amp;LOWER($A36)&amp;""($| )""),AND(RIGHT(LOWER($A36),1)=""s"",REGEXMATCH(LOWER(G$1),""(^| )""&amp;LEFT(LOWER($A36),LEN($A36)-1)&amp;""($| )""))),G$1,G$1&amp;"" ""&amp;$A36))"),"")</f>
        <v/>
      </c>
      <c r="H36" s="13" t="str">
        <f>IFERROR(__xludf.DUMMYFUNCTION("IF($A36="""","""",IF(OR(REGEXMATCH(LOWER(H$1),""(^| )""&amp;LOWER($A36)&amp;""($| )""),AND(RIGHT(LOWER($A36),1)=""s"",REGEXMATCH(LOWER(H$1),""(^| )""&amp;LEFT(LOWER($A36),LEN($A36)-1)&amp;""($| )""))),H$1,H$1&amp;"" ""&amp;$A36))"),"")</f>
        <v/>
      </c>
      <c r="I36" s="13" t="str">
        <f>IFERROR(__xludf.DUMMYFUNCTION("IF($A36="""","""",IF(OR(REGEXMATCH(LOWER(I$1),""(^| )""&amp;LOWER($A36)&amp;""($| )""),AND(RIGHT(LOWER($A36),1)=""s"",REGEXMATCH(LOWER(I$1),""(^| )""&amp;LEFT(LOWER($A36),LEN($A36)-1)&amp;""($| )""))),I$1,I$1&amp;"" ""&amp;$A36))"),"")</f>
        <v/>
      </c>
      <c r="J36" s="13" t="str">
        <f>IFERROR(__xludf.DUMMYFUNCTION("IF($A36="""","""",IF(OR(REGEXMATCH(LOWER(J$1),""(^| )""&amp;LOWER($A36)&amp;""($| )""),AND(RIGHT(LOWER($A36),1)=""s"",REGEXMATCH(LOWER(J$1),""(^| )""&amp;LEFT(LOWER($A36),LEN($A36)-1)&amp;""($| )""))),J$1,J$1&amp;"" ""&amp;$A36))"),"")</f>
        <v/>
      </c>
      <c r="K36" s="13" t="str">
        <f>IFERROR(__xludf.DUMMYFUNCTION("IF($A36="""","""",IF(OR(REGEXMATCH(LOWER(K$1),""(^| )""&amp;LOWER($A36)&amp;""($| )""),AND(RIGHT(LOWER($A36),1)=""s"",REGEXMATCH(LOWER(K$1),""(^| )""&amp;LEFT(LOWER($A36),LEN($A36)-1)&amp;""($| )""))),K$1,K$1&amp;"" ""&amp;$A36))"),"")</f>
        <v/>
      </c>
      <c r="L36" s="13"/>
      <c r="M36" s="13" t="str">
        <f>IFERROR(__xludf.DUMMYFUNCTION("""COMPUTED_VALUE"""),"realtor fees for selling a home")</f>
        <v>realtor fees for selling a home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>
      <c r="A37" s="16"/>
      <c r="B37" s="12" t="str">
        <f>IFERROR(__xludf.DUMMYFUNCTION("IF($A37="""","""",IF(OR(REGEXMATCH(LOWER(B$1),""(^| )""&amp;LOWER($A37)&amp;""($| )""),AND(RIGHT(LOWER($A37),1)=""s"",REGEXMATCH(LOWER(B$1),""(^| )""&amp;LEFT(LOWER($A37),LEN($A37)-1)&amp;""($| )""))),B$1,B$1&amp;"" ""&amp;$A37))"),"")</f>
        <v/>
      </c>
      <c r="C37" s="13" t="str">
        <f>IFERROR(__xludf.DUMMYFUNCTION("IF($A37="""","""",IF(OR(REGEXMATCH(LOWER(C$1),""(^| )""&amp;LOWER($A37)&amp;""($| )""),AND(RIGHT(LOWER($A37),1)=""s"",REGEXMATCH(LOWER(C$1),""(^| )""&amp;LEFT(LOWER($A37),LEN($A37)-1)&amp;""($| )""))),C$1,C$1&amp;"" ""&amp;$A37))"),"")</f>
        <v/>
      </c>
      <c r="D37" s="13" t="str">
        <f>IFERROR(__xludf.DUMMYFUNCTION("IF($A37="""","""",IF(OR(REGEXMATCH(LOWER(D$1),""(^| )""&amp;LOWER($A37)&amp;""($| )""),AND(RIGHT(LOWER($A37),1)=""s"",REGEXMATCH(LOWER(D$1),""(^| )""&amp;LEFT(LOWER($A37),LEN($A37)-1)&amp;""($| )""))),D$1,D$1&amp;"" ""&amp;$A37))"),"")</f>
        <v/>
      </c>
      <c r="E37" s="13" t="str">
        <f>IFERROR(__xludf.DUMMYFUNCTION("IF($A37="""","""",IF(OR(REGEXMATCH(LOWER(E$1),""(^| )""&amp;LOWER($A37)&amp;""($| )""),AND(RIGHT(LOWER($A37),1)=""s"",REGEXMATCH(LOWER(E$1),""(^| )""&amp;LEFT(LOWER($A37),LEN($A37)-1)&amp;""($| )""))),E$1,E$1&amp;"" ""&amp;$A37))"),"")</f>
        <v/>
      </c>
      <c r="F37" s="13" t="str">
        <f>IFERROR(__xludf.DUMMYFUNCTION("IF($A37="""","""",IF(OR(REGEXMATCH(LOWER(F$1),""(^| )""&amp;LOWER($A37)&amp;""($| )""),AND(RIGHT(LOWER($A37),1)=""s"",REGEXMATCH(LOWER(F$1),""(^| )""&amp;LEFT(LOWER($A37),LEN($A37)-1)&amp;""($| )""))),F$1,F$1&amp;"" ""&amp;$A37))"),"")</f>
        <v/>
      </c>
      <c r="G37" s="13" t="str">
        <f>IFERROR(__xludf.DUMMYFUNCTION("IF($A37="""","""",IF(OR(REGEXMATCH(LOWER(G$1),""(^| )""&amp;LOWER($A37)&amp;""($| )""),AND(RIGHT(LOWER($A37),1)=""s"",REGEXMATCH(LOWER(G$1),""(^| )""&amp;LEFT(LOWER($A37),LEN($A37)-1)&amp;""($| )""))),G$1,G$1&amp;"" ""&amp;$A37))"),"")</f>
        <v/>
      </c>
      <c r="H37" s="13" t="str">
        <f>IFERROR(__xludf.DUMMYFUNCTION("IF($A37="""","""",IF(OR(REGEXMATCH(LOWER(H$1),""(^| )""&amp;LOWER($A37)&amp;""($| )""),AND(RIGHT(LOWER($A37),1)=""s"",REGEXMATCH(LOWER(H$1),""(^| )""&amp;LEFT(LOWER($A37),LEN($A37)-1)&amp;""($| )""))),H$1,H$1&amp;"" ""&amp;$A37))"),"")</f>
        <v/>
      </c>
      <c r="I37" s="13" t="str">
        <f>IFERROR(__xludf.DUMMYFUNCTION("IF($A37="""","""",IF(OR(REGEXMATCH(LOWER(I$1),""(^| )""&amp;LOWER($A37)&amp;""($| )""),AND(RIGHT(LOWER($A37),1)=""s"",REGEXMATCH(LOWER(I$1),""(^| )""&amp;LEFT(LOWER($A37),LEN($A37)-1)&amp;""($| )""))),I$1,I$1&amp;"" ""&amp;$A37))"),"")</f>
        <v/>
      </c>
      <c r="J37" s="13" t="str">
        <f>IFERROR(__xludf.DUMMYFUNCTION("IF($A37="""","""",IF(OR(REGEXMATCH(LOWER(J$1),""(^| )""&amp;LOWER($A37)&amp;""($| )""),AND(RIGHT(LOWER($A37),1)=""s"",REGEXMATCH(LOWER(J$1),""(^| )""&amp;LEFT(LOWER($A37),LEN($A37)-1)&amp;""($| )""))),J$1,J$1&amp;"" ""&amp;$A37))"),"")</f>
        <v/>
      </c>
      <c r="K37" s="13" t="str">
        <f>IFERROR(__xludf.DUMMYFUNCTION("IF($A37="""","""",IF(OR(REGEXMATCH(LOWER(K$1),""(^| )""&amp;LOWER($A37)&amp;""($| )""),AND(RIGHT(LOWER($A37),1)=""s"",REGEXMATCH(LOWER(K$1),""(^| )""&amp;LEFT(LOWER($A37),LEN($A37)-1)&amp;""($| )""))),K$1,K$1&amp;"" ""&amp;$A37))"),"")</f>
        <v/>
      </c>
      <c r="L37" s="13"/>
      <c r="M37" s="13" t="str">
        <f>IFERROR(__xludf.DUMMYFUNCTION("""COMPUTED_VALUE"""),"agent commission for selling a home")</f>
        <v>agent commission for selling a home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>
      <c r="A38" s="16"/>
      <c r="B38" s="12" t="str">
        <f>IFERROR(__xludf.DUMMYFUNCTION("IF($A38="""","""",IF(OR(REGEXMATCH(LOWER(B$1),""(^| )""&amp;LOWER($A38)&amp;""($| )""),AND(RIGHT(LOWER($A38),1)=""s"",REGEXMATCH(LOWER(B$1),""(^| )""&amp;LEFT(LOWER($A38),LEN($A38)-1)&amp;""($| )""))),B$1,B$1&amp;"" ""&amp;$A38))"),"")</f>
        <v/>
      </c>
      <c r="C38" s="13" t="str">
        <f>IFERROR(__xludf.DUMMYFUNCTION("IF($A38="""","""",IF(OR(REGEXMATCH(LOWER(C$1),""(^| )""&amp;LOWER($A38)&amp;""($| )""),AND(RIGHT(LOWER($A38),1)=""s"",REGEXMATCH(LOWER(C$1),""(^| )""&amp;LEFT(LOWER($A38),LEN($A38)-1)&amp;""($| )""))),C$1,C$1&amp;"" ""&amp;$A38))"),"")</f>
        <v/>
      </c>
      <c r="D38" s="13" t="str">
        <f>IFERROR(__xludf.DUMMYFUNCTION("IF($A38="""","""",IF(OR(REGEXMATCH(LOWER(D$1),""(^| )""&amp;LOWER($A38)&amp;""($| )""),AND(RIGHT(LOWER($A38),1)=""s"",REGEXMATCH(LOWER(D$1),""(^| )""&amp;LEFT(LOWER($A38),LEN($A38)-1)&amp;""($| )""))),D$1,D$1&amp;"" ""&amp;$A38))"),"")</f>
        <v/>
      </c>
      <c r="E38" s="13" t="str">
        <f>IFERROR(__xludf.DUMMYFUNCTION("IF($A38="""","""",IF(OR(REGEXMATCH(LOWER(E$1),""(^| )""&amp;LOWER($A38)&amp;""($| )""),AND(RIGHT(LOWER($A38),1)=""s"",REGEXMATCH(LOWER(E$1),""(^| )""&amp;LEFT(LOWER($A38),LEN($A38)-1)&amp;""($| )""))),E$1,E$1&amp;"" ""&amp;$A38))"),"")</f>
        <v/>
      </c>
      <c r="F38" s="13" t="str">
        <f>IFERROR(__xludf.DUMMYFUNCTION("IF($A38="""","""",IF(OR(REGEXMATCH(LOWER(F$1),""(^| )""&amp;LOWER($A38)&amp;""($| )""),AND(RIGHT(LOWER($A38),1)=""s"",REGEXMATCH(LOWER(F$1),""(^| )""&amp;LEFT(LOWER($A38),LEN($A38)-1)&amp;""($| )""))),F$1,F$1&amp;"" ""&amp;$A38))"),"")</f>
        <v/>
      </c>
      <c r="G38" s="13" t="str">
        <f>IFERROR(__xludf.DUMMYFUNCTION("IF($A38="""","""",IF(OR(REGEXMATCH(LOWER(G$1),""(^| )""&amp;LOWER($A38)&amp;""($| )""),AND(RIGHT(LOWER($A38),1)=""s"",REGEXMATCH(LOWER(G$1),""(^| )""&amp;LEFT(LOWER($A38),LEN($A38)-1)&amp;""($| )""))),G$1,G$1&amp;"" ""&amp;$A38))"),"")</f>
        <v/>
      </c>
      <c r="H38" s="13" t="str">
        <f>IFERROR(__xludf.DUMMYFUNCTION("IF($A38="""","""",IF(OR(REGEXMATCH(LOWER(H$1),""(^| )""&amp;LOWER($A38)&amp;""($| )""),AND(RIGHT(LOWER($A38),1)=""s"",REGEXMATCH(LOWER(H$1),""(^| )""&amp;LEFT(LOWER($A38),LEN($A38)-1)&amp;""($| )""))),H$1,H$1&amp;"" ""&amp;$A38))"),"")</f>
        <v/>
      </c>
      <c r="I38" s="13" t="str">
        <f>IFERROR(__xludf.DUMMYFUNCTION("IF($A38="""","""",IF(OR(REGEXMATCH(LOWER(I$1),""(^| )""&amp;LOWER($A38)&amp;""($| )""),AND(RIGHT(LOWER($A38),1)=""s"",REGEXMATCH(LOWER(I$1),""(^| )""&amp;LEFT(LOWER($A38),LEN($A38)-1)&amp;""($| )""))),I$1,I$1&amp;"" ""&amp;$A38))"),"")</f>
        <v/>
      </c>
      <c r="J38" s="13" t="str">
        <f>IFERROR(__xludf.DUMMYFUNCTION("IF($A38="""","""",IF(OR(REGEXMATCH(LOWER(J$1),""(^| )""&amp;LOWER($A38)&amp;""($| )""),AND(RIGHT(LOWER($A38),1)=""s"",REGEXMATCH(LOWER(J$1),""(^| )""&amp;LEFT(LOWER($A38),LEN($A38)-1)&amp;""($| )""))),J$1,J$1&amp;"" ""&amp;$A38))"),"")</f>
        <v/>
      </c>
      <c r="K38" s="13" t="str">
        <f>IFERROR(__xludf.DUMMYFUNCTION("IF($A38="""","""",IF(OR(REGEXMATCH(LOWER(K$1),""(^| )""&amp;LOWER($A38)&amp;""($| )""),AND(RIGHT(LOWER($A38),1)=""s"",REGEXMATCH(LOWER(K$1),""(^| )""&amp;LEFT(LOWER($A38),LEN($A38)-1)&amp;""($| )""))),K$1,K$1&amp;"" ""&amp;$A38))"),"")</f>
        <v/>
      </c>
      <c r="L38" s="13"/>
      <c r="M38" s="13" t="str">
        <f>IFERROR(__xludf.DUMMYFUNCTION("""COMPUTED_VALUE"""),"net proceeds from selling a home")</f>
        <v>net proceeds from selling a home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>
      <c r="A39" s="16"/>
      <c r="B39" s="12" t="str">
        <f>IFERROR(__xludf.DUMMYFUNCTION("IF($A39="""","""",IF(OR(REGEXMATCH(LOWER(B$1),""(^| )""&amp;LOWER($A39)&amp;""($| )""),AND(RIGHT(LOWER($A39),1)=""s"",REGEXMATCH(LOWER(B$1),""(^| )""&amp;LEFT(LOWER($A39),LEN($A39)-1)&amp;""($| )""))),B$1,B$1&amp;"" ""&amp;$A39))"),"")</f>
        <v/>
      </c>
      <c r="C39" s="13" t="str">
        <f>IFERROR(__xludf.DUMMYFUNCTION("IF($A39="""","""",IF(OR(REGEXMATCH(LOWER(C$1),""(^| )""&amp;LOWER($A39)&amp;""($| )""),AND(RIGHT(LOWER($A39),1)=""s"",REGEXMATCH(LOWER(C$1),""(^| )""&amp;LEFT(LOWER($A39),LEN($A39)-1)&amp;""($| )""))),C$1,C$1&amp;"" ""&amp;$A39))"),"")</f>
        <v/>
      </c>
      <c r="D39" s="13" t="str">
        <f>IFERROR(__xludf.DUMMYFUNCTION("IF($A39="""","""",IF(OR(REGEXMATCH(LOWER(D$1),""(^| )""&amp;LOWER($A39)&amp;""($| )""),AND(RIGHT(LOWER($A39),1)=""s"",REGEXMATCH(LOWER(D$1),""(^| )""&amp;LEFT(LOWER($A39),LEN($A39)-1)&amp;""($| )""))),D$1,D$1&amp;"" ""&amp;$A39))"),"")</f>
        <v/>
      </c>
      <c r="E39" s="13" t="str">
        <f>IFERROR(__xludf.DUMMYFUNCTION("IF($A39="""","""",IF(OR(REGEXMATCH(LOWER(E$1),""(^| )""&amp;LOWER($A39)&amp;""($| )""),AND(RIGHT(LOWER($A39),1)=""s"",REGEXMATCH(LOWER(E$1),""(^| )""&amp;LEFT(LOWER($A39),LEN($A39)-1)&amp;""($| )""))),E$1,E$1&amp;"" ""&amp;$A39))"),"")</f>
        <v/>
      </c>
      <c r="F39" s="13" t="str">
        <f>IFERROR(__xludf.DUMMYFUNCTION("IF($A39="""","""",IF(OR(REGEXMATCH(LOWER(F$1),""(^| )""&amp;LOWER($A39)&amp;""($| )""),AND(RIGHT(LOWER($A39),1)=""s"",REGEXMATCH(LOWER(F$1),""(^| )""&amp;LEFT(LOWER($A39),LEN($A39)-1)&amp;""($| )""))),F$1,F$1&amp;"" ""&amp;$A39))"),"")</f>
        <v/>
      </c>
      <c r="G39" s="13" t="str">
        <f>IFERROR(__xludf.DUMMYFUNCTION("IF($A39="""","""",IF(OR(REGEXMATCH(LOWER(G$1),""(^| )""&amp;LOWER($A39)&amp;""($| )""),AND(RIGHT(LOWER($A39),1)=""s"",REGEXMATCH(LOWER(G$1),""(^| )""&amp;LEFT(LOWER($A39),LEN($A39)-1)&amp;""($| )""))),G$1,G$1&amp;"" ""&amp;$A39))"),"")</f>
        <v/>
      </c>
      <c r="H39" s="13" t="str">
        <f>IFERROR(__xludf.DUMMYFUNCTION("IF($A39="""","""",IF(OR(REGEXMATCH(LOWER(H$1),""(^| )""&amp;LOWER($A39)&amp;""($| )""),AND(RIGHT(LOWER($A39),1)=""s"",REGEXMATCH(LOWER(H$1),""(^| )""&amp;LEFT(LOWER($A39),LEN($A39)-1)&amp;""($| )""))),H$1,H$1&amp;"" ""&amp;$A39))"),"")</f>
        <v/>
      </c>
      <c r="I39" s="13" t="str">
        <f>IFERROR(__xludf.DUMMYFUNCTION("IF($A39="""","""",IF(OR(REGEXMATCH(LOWER(I$1),""(^| )""&amp;LOWER($A39)&amp;""($| )""),AND(RIGHT(LOWER($A39),1)=""s"",REGEXMATCH(LOWER(I$1),""(^| )""&amp;LEFT(LOWER($A39),LEN($A39)-1)&amp;""($| )""))),I$1,I$1&amp;"" ""&amp;$A39))"),"")</f>
        <v/>
      </c>
      <c r="J39" s="13" t="str">
        <f>IFERROR(__xludf.DUMMYFUNCTION("IF($A39="""","""",IF(OR(REGEXMATCH(LOWER(J$1),""(^| )""&amp;LOWER($A39)&amp;""($| )""),AND(RIGHT(LOWER($A39),1)=""s"",REGEXMATCH(LOWER(J$1),""(^| )""&amp;LEFT(LOWER($A39),LEN($A39)-1)&amp;""($| )""))),J$1,J$1&amp;"" ""&amp;$A39))"),"")</f>
        <v/>
      </c>
      <c r="K39" s="13" t="str">
        <f>IFERROR(__xludf.DUMMYFUNCTION("IF($A39="""","""",IF(OR(REGEXMATCH(LOWER(K$1),""(^| )""&amp;LOWER($A39)&amp;""($| )""),AND(RIGHT(LOWER($A39),1)=""s"",REGEXMATCH(LOWER(K$1),""(^| )""&amp;LEFT(LOWER($A39),LEN($A39)-1)&amp;""($| )""))),K$1,K$1&amp;"" ""&amp;$A39))"),"")</f>
        <v/>
      </c>
      <c r="L39" s="13"/>
      <c r="M39" s="13" t="str">
        <f>IFERROR(__xludf.DUMMYFUNCTION("""COMPUTED_VALUE"""),"seller costs for selling a home")</f>
        <v>seller costs for selling a home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>
      <c r="A40" s="16"/>
      <c r="B40" s="13" t="str">
        <f>IFERROR(__xludf.DUMMYFUNCTION("IF($A40="""","""",IF(OR(REGEXMATCH(LOWER(B$1),""(^| )""&amp;LOWER($A40)&amp;""($| )""),AND(RIGHT(LOWER($A40),1)=""s"",REGEXMATCH(LOWER(B$1),""(^| )""&amp;LEFT(LOWER($A40),LEN($A40)-1)&amp;""($| )""))),B$1,B$1&amp;"" ""&amp;$A40))"),"")</f>
        <v/>
      </c>
      <c r="C40" s="13" t="str">
        <f>IFERROR(__xludf.DUMMYFUNCTION("IF($A40="""","""",IF(OR(REGEXMATCH(LOWER(C$1),""(^| )""&amp;LOWER($A40)&amp;""($| )""),AND(RIGHT(LOWER($A40),1)=""s"",REGEXMATCH(LOWER(C$1),""(^| )""&amp;LEFT(LOWER($A40),LEN($A40)-1)&amp;""($| )""))),C$1,C$1&amp;"" ""&amp;$A40))"),"")</f>
        <v/>
      </c>
      <c r="D40" s="13" t="str">
        <f>IFERROR(__xludf.DUMMYFUNCTION("IF($A40="""","""",IF(OR(REGEXMATCH(LOWER(D$1),""(^| )""&amp;LOWER($A40)&amp;""($| )""),AND(RIGHT(LOWER($A40),1)=""s"",REGEXMATCH(LOWER(D$1),""(^| )""&amp;LEFT(LOWER($A40),LEN($A40)-1)&amp;""($| )""))),D$1,D$1&amp;"" ""&amp;$A40))"),"")</f>
        <v/>
      </c>
      <c r="E40" s="13" t="str">
        <f>IFERROR(__xludf.DUMMYFUNCTION("IF($A40="""","""",IF(OR(REGEXMATCH(LOWER(E$1),""(^| )""&amp;LOWER($A40)&amp;""($| )""),AND(RIGHT(LOWER($A40),1)=""s"",REGEXMATCH(LOWER(E$1),""(^| )""&amp;LEFT(LOWER($A40),LEN($A40)-1)&amp;""($| )""))),E$1,E$1&amp;"" ""&amp;$A40))"),"")</f>
        <v/>
      </c>
      <c r="F40" s="13" t="str">
        <f>IFERROR(__xludf.DUMMYFUNCTION("IF($A40="""","""",IF(OR(REGEXMATCH(LOWER(F$1),""(^| )""&amp;LOWER($A40)&amp;""($| )""),AND(RIGHT(LOWER($A40),1)=""s"",REGEXMATCH(LOWER(F$1),""(^| )""&amp;LEFT(LOWER($A40),LEN($A40)-1)&amp;""($| )""))),F$1,F$1&amp;"" ""&amp;$A40))"),"")</f>
        <v/>
      </c>
      <c r="G40" s="13" t="str">
        <f>IFERROR(__xludf.DUMMYFUNCTION("IF($A40="""","""",IF(OR(REGEXMATCH(LOWER(G$1),""(^| )""&amp;LOWER($A40)&amp;""($| )""),AND(RIGHT(LOWER($A40),1)=""s"",REGEXMATCH(LOWER(G$1),""(^| )""&amp;LEFT(LOWER($A40),LEN($A40)-1)&amp;""($| )""))),G$1,G$1&amp;"" ""&amp;$A40))"),"")</f>
        <v/>
      </c>
      <c r="H40" s="13" t="str">
        <f>IFERROR(__xludf.DUMMYFUNCTION("IF($A40="""","""",IF(OR(REGEXMATCH(LOWER(H$1),""(^| )""&amp;LOWER($A40)&amp;""($| )""),AND(RIGHT(LOWER($A40),1)=""s"",REGEXMATCH(LOWER(H$1),""(^| )""&amp;LEFT(LOWER($A40),LEN($A40)-1)&amp;""($| )""))),H$1,H$1&amp;"" ""&amp;$A40))"),"")</f>
        <v/>
      </c>
      <c r="I40" s="13" t="str">
        <f>IFERROR(__xludf.DUMMYFUNCTION("IF($A40="""","""",IF(OR(REGEXMATCH(LOWER(I$1),""(^| )""&amp;LOWER($A40)&amp;""($| )""),AND(RIGHT(LOWER($A40),1)=""s"",REGEXMATCH(LOWER(I$1),""(^| )""&amp;LEFT(LOWER($A40),LEN($A40)-1)&amp;""($| )""))),I$1,I$1&amp;"" ""&amp;$A40))"),"")</f>
        <v/>
      </c>
      <c r="J40" s="13" t="str">
        <f>IFERROR(__xludf.DUMMYFUNCTION("IF($A40="""","""",IF(OR(REGEXMATCH(LOWER(J$1),""(^| )""&amp;LOWER($A40)&amp;""($| )""),AND(RIGHT(LOWER($A40),1)=""s"",REGEXMATCH(LOWER(J$1),""(^| )""&amp;LEFT(LOWER($A40),LEN($A40)-1)&amp;""($| )""))),J$1,J$1&amp;"" ""&amp;$A40))"),"")</f>
        <v/>
      </c>
      <c r="K40" s="13" t="str">
        <f>IFERROR(__xludf.DUMMYFUNCTION("IF($A40="""","""",IF(OR(REGEXMATCH(LOWER(K$1),""(^| )""&amp;LOWER($A40)&amp;""($| )""),AND(RIGHT(LOWER($A40),1)=""s"",REGEXMATCH(LOWER(K$1),""(^| )""&amp;LEFT(LOWER($A40),LEN($A40)-1)&amp;""($| )""))),K$1,K$1&amp;"" ""&amp;$A40))"),"")</f>
        <v/>
      </c>
      <c r="L40" s="13"/>
      <c r="M40" s="13" t="str">
        <f>IFERROR(__xludf.DUMMYFUNCTION("""COMPUTED_VALUE"""),"transfer taxes for selling a home")</f>
        <v>transfer taxes for selling a home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>
      <c r="A41" s="16"/>
      <c r="B41" s="13" t="str">
        <f>IFERROR(__xludf.DUMMYFUNCTION("IF($A41="""","""",IF(OR(REGEXMATCH(LOWER(B$1),""(^| )""&amp;LOWER($A41)&amp;""($| )""),AND(RIGHT(LOWER($A41),1)=""s"",REGEXMATCH(LOWER(B$1),""(^| )""&amp;LEFT(LOWER($A41),LEN($A41)-1)&amp;""($| )""))),B$1,B$1&amp;"" ""&amp;$A41))"),"")</f>
        <v/>
      </c>
      <c r="C41" s="13" t="str">
        <f>IFERROR(__xludf.DUMMYFUNCTION("IF($A41="""","""",IF(OR(REGEXMATCH(LOWER(C$1),""(^| )""&amp;LOWER($A41)&amp;""($| )""),AND(RIGHT(LOWER($A41),1)=""s"",REGEXMATCH(LOWER(C$1),""(^| )""&amp;LEFT(LOWER($A41),LEN($A41)-1)&amp;""($| )""))),C$1,C$1&amp;"" ""&amp;$A41))"),"")</f>
        <v/>
      </c>
      <c r="D41" s="13" t="str">
        <f>IFERROR(__xludf.DUMMYFUNCTION("IF($A41="""","""",IF(OR(REGEXMATCH(LOWER(D$1),""(^| )""&amp;LOWER($A41)&amp;""($| )""),AND(RIGHT(LOWER($A41),1)=""s"",REGEXMATCH(LOWER(D$1),""(^| )""&amp;LEFT(LOWER($A41),LEN($A41)-1)&amp;""($| )""))),D$1,D$1&amp;"" ""&amp;$A41))"),"")</f>
        <v/>
      </c>
      <c r="E41" s="13" t="str">
        <f>IFERROR(__xludf.DUMMYFUNCTION("IF($A41="""","""",IF(OR(REGEXMATCH(LOWER(E$1),""(^| )""&amp;LOWER($A41)&amp;""($| )""),AND(RIGHT(LOWER($A41),1)=""s"",REGEXMATCH(LOWER(E$1),""(^| )""&amp;LEFT(LOWER($A41),LEN($A41)-1)&amp;""($| )""))),E$1,E$1&amp;"" ""&amp;$A41))"),"")</f>
        <v/>
      </c>
      <c r="F41" s="13" t="str">
        <f>IFERROR(__xludf.DUMMYFUNCTION("IF($A41="""","""",IF(OR(REGEXMATCH(LOWER(F$1),""(^| )""&amp;LOWER($A41)&amp;""($| )""),AND(RIGHT(LOWER($A41),1)=""s"",REGEXMATCH(LOWER(F$1),""(^| )""&amp;LEFT(LOWER($A41),LEN($A41)-1)&amp;""($| )""))),F$1,F$1&amp;"" ""&amp;$A41))"),"")</f>
        <v/>
      </c>
      <c r="G41" s="13" t="str">
        <f>IFERROR(__xludf.DUMMYFUNCTION("IF($A41="""","""",IF(OR(REGEXMATCH(LOWER(G$1),""(^| )""&amp;LOWER($A41)&amp;""($| )""),AND(RIGHT(LOWER($A41),1)=""s"",REGEXMATCH(LOWER(G$1),""(^| )""&amp;LEFT(LOWER($A41),LEN($A41)-1)&amp;""($| )""))),G$1,G$1&amp;"" ""&amp;$A41))"),"")</f>
        <v/>
      </c>
      <c r="H41" s="13" t="str">
        <f>IFERROR(__xludf.DUMMYFUNCTION("IF($A41="""","""",IF(OR(REGEXMATCH(LOWER(H$1),""(^| )""&amp;LOWER($A41)&amp;""($| )""),AND(RIGHT(LOWER($A41),1)=""s"",REGEXMATCH(LOWER(H$1),""(^| )""&amp;LEFT(LOWER($A41),LEN($A41)-1)&amp;""($| )""))),H$1,H$1&amp;"" ""&amp;$A41))"),"")</f>
        <v/>
      </c>
      <c r="I41" s="13" t="str">
        <f>IFERROR(__xludf.DUMMYFUNCTION("IF($A41="""","""",IF(OR(REGEXMATCH(LOWER(I$1),""(^| )""&amp;LOWER($A41)&amp;""($| )""),AND(RIGHT(LOWER($A41),1)=""s"",REGEXMATCH(LOWER(I$1),""(^| )""&amp;LEFT(LOWER($A41),LEN($A41)-1)&amp;""($| )""))),I$1,I$1&amp;"" ""&amp;$A41))"),"")</f>
        <v/>
      </c>
      <c r="J41" s="13" t="str">
        <f>IFERROR(__xludf.DUMMYFUNCTION("IF($A41="""","""",IF(OR(REGEXMATCH(LOWER(J$1),""(^| )""&amp;LOWER($A41)&amp;""($| )""),AND(RIGHT(LOWER($A41),1)=""s"",REGEXMATCH(LOWER(J$1),""(^| )""&amp;LEFT(LOWER($A41),LEN($A41)-1)&amp;""($| )""))),J$1,J$1&amp;"" ""&amp;$A41))"),"")</f>
        <v/>
      </c>
      <c r="K41" s="13" t="str">
        <f>IFERROR(__xludf.DUMMYFUNCTION("IF($A41="""","""",IF(OR(REGEXMATCH(LOWER(K$1),""(^| )""&amp;LOWER($A41)&amp;""($| )""),AND(RIGHT(LOWER($A41),1)=""s"",REGEXMATCH(LOWER(K$1),""(^| )""&amp;LEFT(LOWER($A41),LEN($A41)-1)&amp;""($| )""))),K$1,K$1&amp;"" ""&amp;$A41))"),"")</f>
        <v/>
      </c>
      <c r="L41" s="13"/>
      <c r="M41" s="13" t="str">
        <f>IFERROR(__xludf.DUMMYFUNCTION("""COMPUTED_VALUE"""),"title fees for selling a home")</f>
        <v>title fees for selling a home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>
      <c r="A42" s="16"/>
      <c r="B42" s="13" t="str">
        <f>IFERROR(__xludf.DUMMYFUNCTION("IF($A42="""","""",IF(OR(REGEXMATCH(LOWER(B$1),""(^| )""&amp;LOWER($A42)&amp;""($| )""),AND(RIGHT(LOWER($A42),1)=""s"",REGEXMATCH(LOWER(B$1),""(^| )""&amp;LEFT(LOWER($A42),LEN($A42)-1)&amp;""($| )""))),B$1,B$1&amp;"" ""&amp;$A42))"),"")</f>
        <v/>
      </c>
      <c r="C42" s="13" t="str">
        <f>IFERROR(__xludf.DUMMYFUNCTION("IF($A42="""","""",IF(OR(REGEXMATCH(LOWER(C$1),""(^| )""&amp;LOWER($A42)&amp;""($| )""),AND(RIGHT(LOWER($A42),1)=""s"",REGEXMATCH(LOWER(C$1),""(^| )""&amp;LEFT(LOWER($A42),LEN($A42)-1)&amp;""($| )""))),C$1,C$1&amp;"" ""&amp;$A42))"),"")</f>
        <v/>
      </c>
      <c r="D42" s="13" t="str">
        <f>IFERROR(__xludf.DUMMYFUNCTION("IF($A42="""","""",IF(OR(REGEXMATCH(LOWER(D$1),""(^| )""&amp;LOWER($A42)&amp;""($| )""),AND(RIGHT(LOWER($A42),1)=""s"",REGEXMATCH(LOWER(D$1),""(^| )""&amp;LEFT(LOWER($A42),LEN($A42)-1)&amp;""($| )""))),D$1,D$1&amp;"" ""&amp;$A42))"),"")</f>
        <v/>
      </c>
      <c r="E42" s="13" t="str">
        <f>IFERROR(__xludf.DUMMYFUNCTION("IF($A42="""","""",IF(OR(REGEXMATCH(LOWER(E$1),""(^| )""&amp;LOWER($A42)&amp;""($| )""),AND(RIGHT(LOWER($A42),1)=""s"",REGEXMATCH(LOWER(E$1),""(^| )""&amp;LEFT(LOWER($A42),LEN($A42)-1)&amp;""($| )""))),E$1,E$1&amp;"" ""&amp;$A42))"),"")</f>
        <v/>
      </c>
      <c r="F42" s="13" t="str">
        <f>IFERROR(__xludf.DUMMYFUNCTION("IF($A42="""","""",IF(OR(REGEXMATCH(LOWER(F$1),""(^| )""&amp;LOWER($A42)&amp;""($| )""),AND(RIGHT(LOWER($A42),1)=""s"",REGEXMATCH(LOWER(F$1),""(^| )""&amp;LEFT(LOWER($A42),LEN($A42)-1)&amp;""($| )""))),F$1,F$1&amp;"" ""&amp;$A42))"),"")</f>
        <v/>
      </c>
      <c r="G42" s="13" t="str">
        <f>IFERROR(__xludf.DUMMYFUNCTION("IF($A42="""","""",IF(OR(REGEXMATCH(LOWER(G$1),""(^| )""&amp;LOWER($A42)&amp;""($| )""),AND(RIGHT(LOWER($A42),1)=""s"",REGEXMATCH(LOWER(G$1),""(^| )""&amp;LEFT(LOWER($A42),LEN($A42)-1)&amp;""($| )""))),G$1,G$1&amp;"" ""&amp;$A42))"),"")</f>
        <v/>
      </c>
      <c r="H42" s="13" t="str">
        <f>IFERROR(__xludf.DUMMYFUNCTION("IF($A42="""","""",IF(OR(REGEXMATCH(LOWER(H$1),""(^| )""&amp;LOWER($A42)&amp;""($| )""),AND(RIGHT(LOWER($A42),1)=""s"",REGEXMATCH(LOWER(H$1),""(^| )""&amp;LEFT(LOWER($A42),LEN($A42)-1)&amp;""($| )""))),H$1,H$1&amp;"" ""&amp;$A42))"),"")</f>
        <v/>
      </c>
      <c r="I42" s="13" t="str">
        <f>IFERROR(__xludf.DUMMYFUNCTION("IF($A42="""","""",IF(OR(REGEXMATCH(LOWER(I$1),""(^| )""&amp;LOWER($A42)&amp;""($| )""),AND(RIGHT(LOWER($A42),1)=""s"",REGEXMATCH(LOWER(I$1),""(^| )""&amp;LEFT(LOWER($A42),LEN($A42)-1)&amp;""($| )""))),I$1,I$1&amp;"" ""&amp;$A42))"),"")</f>
        <v/>
      </c>
      <c r="J42" s="13" t="str">
        <f>IFERROR(__xludf.DUMMYFUNCTION("IF($A42="""","""",IF(OR(REGEXMATCH(LOWER(J$1),""(^| )""&amp;LOWER($A42)&amp;""($| )""),AND(RIGHT(LOWER($A42),1)=""s"",REGEXMATCH(LOWER(J$1),""(^| )""&amp;LEFT(LOWER($A42),LEN($A42)-1)&amp;""($| )""))),J$1,J$1&amp;"" ""&amp;$A42))"),"")</f>
        <v/>
      </c>
      <c r="K42" s="13" t="str">
        <f>IFERROR(__xludf.DUMMYFUNCTION("IF($A42="""","""",IF(OR(REGEXMATCH(LOWER(K$1),""(^| )""&amp;LOWER($A42)&amp;""($| )""),AND(RIGHT(LOWER($A42),1)=""s"",REGEXMATCH(LOWER(K$1),""(^| )""&amp;LEFT(LOWER($A42),LEN($A42)-1)&amp;""($| )""))),K$1,K$1&amp;"" ""&amp;$A42))"),"")</f>
        <v/>
      </c>
      <c r="L42" s="13"/>
      <c r="M42" s="13" t="str">
        <f>IFERROR(__xludf.DUMMYFUNCTION("""COMPUTED_VALUE"""),"escrow fees for selling a home")</f>
        <v>escrow fees for selling a home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 t="str">
        <f>IFERROR(__xludf.DUMMYFUNCTION("""COMPUTED_VALUE"""),"cost of selling property")</f>
        <v>cost of selling property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 t="str">
        <f>IFERROR(__xludf.DUMMYFUNCTION("""COMPUTED_VALUE"""),"fees for selling property")</f>
        <v>fees for selling property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</row>
    <row r="4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 t="str">
        <f>IFERROR(__xludf.DUMMYFUNCTION("""COMPUTED_VALUE"""),"closing costs for selling property")</f>
        <v>closing costs for selling property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 t="str">
        <f>IFERROR(__xludf.DUMMYFUNCTION("""COMPUTED_VALUE"""),"realtor fees for selling property")</f>
        <v>realtor fees for selling property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 t="str">
        <f>IFERROR(__xludf.DUMMYFUNCTION("""COMPUTED_VALUE"""),"agent commission for selling property")</f>
        <v>agent commission for selling property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 t="str">
        <f>IFERROR(__xludf.DUMMYFUNCTION("""COMPUTED_VALUE"""),"net proceeds from selling property")</f>
        <v>net proceeds from selling property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 t="str">
        <f>IFERROR(__xludf.DUMMYFUNCTION("""COMPUTED_VALUE"""),"seller costs for selling property")</f>
        <v>seller costs for selling property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 t="str">
        <f>IFERROR(__xludf.DUMMYFUNCTION("""COMPUTED_VALUE"""),"transfer taxes for selling property")</f>
        <v>transfer taxes for selling property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>
      <c r="A51" s="16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 t="str">
        <f>IFERROR(__xludf.DUMMYFUNCTION("""COMPUTED_VALUE"""),"title fees for selling property")</f>
        <v>title fees for selling property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 t="str">
        <f>IFERROR(__xludf.DUMMYFUNCTION("""COMPUTED_VALUE"""),"escrow fees for selling property")</f>
        <v>escrow fees for selling property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</row>
    <row r="53">
      <c r="A53" s="16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 t="str">
        <f>IFERROR(__xludf.DUMMYFUNCTION("""COMPUTED_VALUE"""),"cost of selling house for cash")</f>
        <v>cost of selling house for cash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</row>
    <row r="54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 t="str">
        <f>IFERROR(__xludf.DUMMYFUNCTION("""COMPUTED_VALUE"""),"fees for selling house for cash")</f>
        <v>fees for selling house for cash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</row>
    <row r="55">
      <c r="A55" s="16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 t="str">
        <f>IFERROR(__xludf.DUMMYFUNCTION("""COMPUTED_VALUE"""),"closing costs for selling house for cash")</f>
        <v>closing costs for selling house for cash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</row>
    <row r="56">
      <c r="A56" s="16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 t="str">
        <f>IFERROR(__xludf.DUMMYFUNCTION("""COMPUTED_VALUE"""),"realtor fees for selling house for cash")</f>
        <v>realtor fees for selling house for cash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>
      <c r="A57" s="16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 t="str">
        <f>IFERROR(__xludf.DUMMYFUNCTION("""COMPUTED_VALUE"""),"agent commission for selling house for cash")</f>
        <v>agent commission for selling house for cash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 t="str">
        <f>IFERROR(__xludf.DUMMYFUNCTION("""COMPUTED_VALUE"""),"net proceeds from selling house for cash")</f>
        <v>net proceeds from selling house for cash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 t="str">
        <f>IFERROR(__xludf.DUMMYFUNCTION("""COMPUTED_VALUE"""),"seller costs for selling house for cash")</f>
        <v>seller costs for selling house for cash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 t="str">
        <f>IFERROR(__xludf.DUMMYFUNCTION("""COMPUTED_VALUE"""),"transfer taxes for selling house for cash")</f>
        <v>transfer taxes for selling house for cash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 t="str">
        <f>IFERROR(__xludf.DUMMYFUNCTION("""COMPUTED_VALUE"""),"title fees for selling house for cash")</f>
        <v>title fees for selling house for cash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 t="str">
        <f>IFERROR(__xludf.DUMMYFUNCTION("""COMPUTED_VALUE"""),"escrow fees for selling house for cash")</f>
        <v>escrow fees for selling house for cash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 t="str">
        <f>IFERROR(__xludf.DUMMYFUNCTION("""COMPUTED_VALUE"""),"cost of selling home for cash")</f>
        <v>cost of selling home for cash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 t="str">
        <f>IFERROR(__xludf.DUMMYFUNCTION("""COMPUTED_VALUE"""),"fees for selling home for cash")</f>
        <v>fees for selling home for cash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 t="str">
        <f>IFERROR(__xludf.DUMMYFUNCTION("""COMPUTED_VALUE"""),"closing costs for selling home for cash")</f>
        <v>closing costs for selling home for cash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 t="str">
        <f>IFERROR(__xludf.DUMMYFUNCTION("""COMPUTED_VALUE"""),"realtor fees for selling home for cash")</f>
        <v>realtor fees for selling home for cash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 t="str">
        <f>IFERROR(__xludf.DUMMYFUNCTION("""COMPUTED_VALUE"""),"agent commission for selling home for cash")</f>
        <v>agent commission for selling home for cash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 t="str">
        <f>IFERROR(__xludf.DUMMYFUNCTION("""COMPUTED_VALUE"""),"net proceeds from selling home for cash")</f>
        <v>net proceeds from selling home for cash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 t="str">
        <f>IFERROR(__xludf.DUMMYFUNCTION("""COMPUTED_VALUE"""),"seller costs for selling home for cash")</f>
        <v>seller costs for selling home for cash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 t="str">
        <f>IFERROR(__xludf.DUMMYFUNCTION("""COMPUTED_VALUE"""),"transfer taxes for selling home for cash")</f>
        <v>transfer taxes for selling home for cash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 t="str">
        <f>IFERROR(__xludf.DUMMYFUNCTION("""COMPUTED_VALUE"""),"title fees for selling home for cash")</f>
        <v>title fees for selling home for cash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 t="str">
        <f>IFERROR(__xludf.DUMMYFUNCTION("""COMPUTED_VALUE"""),"escrow fees for selling home for cash")</f>
        <v>escrow fees for selling home for cash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 t="str">
        <f>IFERROR(__xludf.DUMMYFUNCTION("""COMPUTED_VALUE"""),"cost of selling house as is")</f>
        <v>cost of selling house as is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 t="str">
        <f>IFERROR(__xludf.DUMMYFUNCTION("""COMPUTED_VALUE"""),"fees for selling house as is")</f>
        <v>fees for selling house as is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 t="str">
        <f>IFERROR(__xludf.DUMMYFUNCTION("""COMPUTED_VALUE"""),"closing costs for selling house as is")</f>
        <v>closing costs for selling house as is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 t="str">
        <f>IFERROR(__xludf.DUMMYFUNCTION("""COMPUTED_VALUE"""),"realtor fees for selling house as is")</f>
        <v>realtor fees for selling house as is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 t="str">
        <f>IFERROR(__xludf.DUMMYFUNCTION("""COMPUTED_VALUE"""),"agent commission for selling house as is")</f>
        <v>agent commission for selling house as is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 t="str">
        <f>IFERROR(__xludf.DUMMYFUNCTION("""COMPUTED_VALUE"""),"net proceeds from selling house as is")</f>
        <v>net proceeds from selling house as is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 t="str">
        <f>IFERROR(__xludf.DUMMYFUNCTION("""COMPUTED_VALUE"""),"seller costs for selling house as is")</f>
        <v>seller costs for selling house as is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 t="str">
        <f>IFERROR(__xludf.DUMMYFUNCTION("""COMPUTED_VALUE"""),"transfer taxes for selling house as is")</f>
        <v>transfer taxes for selling house as is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 t="str">
        <f>IFERROR(__xludf.DUMMYFUNCTION("""COMPUTED_VALUE"""),"title fees for selling house as is")</f>
        <v>title fees for selling house as is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 t="str">
        <f>IFERROR(__xludf.DUMMYFUNCTION("""COMPUTED_VALUE"""),"escrow fees for selling house as is")</f>
        <v>escrow fees for selling house as is</v>
      </c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 t="str">
        <f>IFERROR(__xludf.DUMMYFUNCTION("""COMPUTED_VALUE"""),"cost of selling house without realtor")</f>
        <v>cost of selling house without realtor</v>
      </c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 t="str">
        <f>IFERROR(__xludf.DUMMYFUNCTION("""COMPUTED_VALUE"""),"fees for selling house without realtor")</f>
        <v>fees for selling house without realtor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 t="str">
        <f>IFERROR(__xludf.DUMMYFUNCTION("""COMPUTED_VALUE"""),"closing costs for selling house without realtor")</f>
        <v>closing costs for selling house without realtor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 t="str">
        <f>IFERROR(__xludf.DUMMYFUNCTION("""COMPUTED_VALUE"""),"realtor fees for selling house without realtor")</f>
        <v>realtor fees for selling house without realtor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 t="str">
        <f>IFERROR(__xludf.DUMMYFUNCTION("""COMPUTED_VALUE"""),"agent commission for selling house without realtor")</f>
        <v>agent commission for selling house without realtor</v>
      </c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 t="str">
        <f>IFERROR(__xludf.DUMMYFUNCTION("""COMPUTED_VALUE"""),"net proceeds from selling house without realtor")</f>
        <v>net proceeds from selling house without realtor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 t="str">
        <f>IFERROR(__xludf.DUMMYFUNCTION("""COMPUTED_VALUE"""),"seller costs for selling house without realtor")</f>
        <v>seller costs for selling house without realtor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 t="str">
        <f>IFERROR(__xludf.DUMMYFUNCTION("""COMPUTED_VALUE"""),"transfer taxes for selling house without realtor")</f>
        <v>transfer taxes for selling house without realtor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 t="str">
        <f>IFERROR(__xludf.DUMMYFUNCTION("""COMPUTED_VALUE"""),"title fees for selling house without realtor")</f>
        <v>title fees for selling house without realtor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 t="str">
        <f>IFERROR(__xludf.DUMMYFUNCTION("""COMPUTED_VALUE"""),"escrow fees for selling house without realtor")</f>
        <v>escrow fees for selling house without realtor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 t="str">
        <f>IFERROR(__xludf.DUMMYFUNCTION("""COMPUTED_VALUE"""),"cost of selling house by owner")</f>
        <v>cost of selling house by owner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 t="str">
        <f>IFERROR(__xludf.DUMMYFUNCTION("""COMPUTED_VALUE"""),"fees for selling house by owner")</f>
        <v>fees for selling house by owner</v>
      </c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 t="str">
        <f>IFERROR(__xludf.DUMMYFUNCTION("""COMPUTED_VALUE"""),"closing costs for selling house by owner")</f>
        <v>closing costs for selling house by owner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 t="str">
        <f>IFERROR(__xludf.DUMMYFUNCTION("""COMPUTED_VALUE"""),"realtor fees for selling house by owner")</f>
        <v>realtor fees for selling house by owner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 t="str">
        <f>IFERROR(__xludf.DUMMYFUNCTION("""COMPUTED_VALUE"""),"agent commission for selling house by owner")</f>
        <v>agent commission for selling house by owner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 t="str">
        <f>IFERROR(__xludf.DUMMYFUNCTION("""COMPUTED_VALUE"""),"net proceeds from selling house by owner")</f>
        <v>net proceeds from selling house by owner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 t="str">
        <f>IFERROR(__xludf.DUMMYFUNCTION("""COMPUTED_VALUE"""),"seller costs for selling house by owner")</f>
        <v>seller costs for selling house by owner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 t="str">
        <f>IFERROR(__xludf.DUMMYFUNCTION("""COMPUTED_VALUE"""),"transfer taxes for selling house by owner")</f>
        <v>transfer taxes for selling house by owner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 t="str">
        <f>IFERROR(__xludf.DUMMYFUNCTION("""COMPUTED_VALUE"""),"title fees for selling house by owner")</f>
        <v>title fees for selling house by owner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 t="str">
        <f>IFERROR(__xludf.DUMMYFUNCTION("""COMPUTED_VALUE"""),"escrow fees for selling house by owner")</f>
        <v>escrow fees for selling house by owner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 t="str">
        <f>IFERROR(__xludf.DUMMYFUNCTION("""COMPUTED_VALUE"""),"cost of selling house to cash buyer")</f>
        <v>cost of selling house to cash buyer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 t="str">
        <f>IFERROR(__xludf.DUMMYFUNCTION("""COMPUTED_VALUE"""),"fees for selling house to cash buyer")</f>
        <v>fees for selling house to cash buyer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 t="str">
        <f>IFERROR(__xludf.DUMMYFUNCTION("""COMPUTED_VALUE"""),"closing costs for selling house to cash buyer")</f>
        <v>closing costs for selling house to cash buyer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 t="str">
        <f>IFERROR(__xludf.DUMMYFUNCTION("""COMPUTED_VALUE"""),"realtor fees for selling house to cash buyer")</f>
        <v>realtor fees for selling house to cash buyer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 t="str">
        <f>IFERROR(__xludf.DUMMYFUNCTION("""COMPUTED_VALUE"""),"agent commission for selling house to cash buyer")</f>
        <v>agent commission for selling house to cash buyer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 t="str">
        <f>IFERROR(__xludf.DUMMYFUNCTION("""COMPUTED_VALUE"""),"net proceeds from selling house to cash buyer")</f>
        <v>net proceeds from selling house to cash buyer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 t="str">
        <f>IFERROR(__xludf.DUMMYFUNCTION("""COMPUTED_VALUE"""),"seller costs for selling house to cash buyer")</f>
        <v>seller costs for selling house to cash buyer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 t="str">
        <f>IFERROR(__xludf.DUMMYFUNCTION("""COMPUTED_VALUE"""),"transfer taxes for selling house to cash buyer")</f>
        <v>transfer taxes for selling house to cash buyer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 t="str">
        <f>IFERROR(__xludf.DUMMYFUNCTION("""COMPUTED_VALUE"""),"title fees for selling house to cash buyer")</f>
        <v>title fees for selling house to cash buyer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 t="str">
        <f>IFERROR(__xludf.DUMMYFUNCTION("""COMPUTED_VALUE"""),"escrow fees for selling house to cash buyer")</f>
        <v>escrow fees for selling house to cash buyer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 t="str">
        <f>IFERROR(__xludf.DUMMYFUNCTION("""COMPUTED_VALUE"""),"cost of selling house to investor")</f>
        <v>cost of selling house to investor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 t="str">
        <f>IFERROR(__xludf.DUMMYFUNCTION("""COMPUTED_VALUE"""),"fees for selling house to investor")</f>
        <v>fees for selling house to investor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 t="str">
        <f>IFERROR(__xludf.DUMMYFUNCTION("""COMPUTED_VALUE"""),"closing costs for selling house to investor")</f>
        <v>closing costs for selling house to investor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 t="str">
        <f>IFERROR(__xludf.DUMMYFUNCTION("""COMPUTED_VALUE"""),"realtor fees for selling house to investor")</f>
        <v>realtor fees for selling house to investor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 t="str">
        <f>IFERROR(__xludf.DUMMYFUNCTION("""COMPUTED_VALUE"""),"agent commission for selling house to investor")</f>
        <v>agent commission for selling house to investor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 t="str">
        <f>IFERROR(__xludf.DUMMYFUNCTION("""COMPUTED_VALUE"""),"net proceeds from selling house to investor")</f>
        <v>net proceeds from selling house to investor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 t="str">
        <f>IFERROR(__xludf.DUMMYFUNCTION("""COMPUTED_VALUE"""),"seller costs for selling house to investor")</f>
        <v>seller costs for selling house to investor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 t="str">
        <f>IFERROR(__xludf.DUMMYFUNCTION("""COMPUTED_VALUE"""),"transfer taxes for selling house to investor")</f>
        <v>transfer taxes for selling house to investor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 t="str">
        <f>IFERROR(__xludf.DUMMYFUNCTION("""COMPUTED_VALUE"""),"title fees for selling house to investor")</f>
        <v>title fees for selling house to investor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 t="str">
        <f>IFERROR(__xludf.DUMMYFUNCTION("""COMPUTED_VALUE"""),"escrow fees for selling house to investor")</f>
        <v>escrow fees for selling house to investor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 t="str">
        <f>IFERROR(__xludf.DUMMYFUNCTION("""COMPUTED_VALUE"""),"cost of selling inherited house")</f>
        <v>cost of selling inherited house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 t="str">
        <f>IFERROR(__xludf.DUMMYFUNCTION("""COMPUTED_VALUE"""),"fees for selling inherited house")</f>
        <v>fees for selling inherited house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 t="str">
        <f>IFERROR(__xludf.DUMMYFUNCTION("""COMPUTED_VALUE"""),"closing costs for selling inherited house")</f>
        <v>closing costs for selling inherited house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 t="str">
        <f>IFERROR(__xludf.DUMMYFUNCTION("""COMPUTED_VALUE"""),"realtor fees for selling inherited house")</f>
        <v>realtor fees for selling inherited house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 t="str">
        <f>IFERROR(__xludf.DUMMYFUNCTION("""COMPUTED_VALUE"""),"agent commission for selling inherited house")</f>
        <v>agent commission for selling inherited house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 t="str">
        <f>IFERROR(__xludf.DUMMYFUNCTION("""COMPUTED_VALUE"""),"net proceeds from selling inherited house")</f>
        <v>net proceeds from selling inherited house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 t="str">
        <f>IFERROR(__xludf.DUMMYFUNCTION("""COMPUTED_VALUE"""),"seller costs for selling inherited house")</f>
        <v>seller costs for selling inherited house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 t="str">
        <f>IFERROR(__xludf.DUMMYFUNCTION("""COMPUTED_VALUE"""),"transfer taxes for selling inherited house")</f>
        <v>transfer taxes for selling inherited house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 t="str">
        <f>IFERROR(__xludf.DUMMYFUNCTION("""COMPUTED_VALUE"""),"title fees for selling inherited house")</f>
        <v>title fees for selling inherited house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 t="str">
        <f>IFERROR(__xludf.DUMMYFUNCTION("""COMPUTED_VALUE"""),"escrow fees for selling inherited house")</f>
        <v>escrow fees for selling inherited house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 t="str">
        <f>IFERROR(__xludf.DUMMYFUNCTION("""COMPUTED_VALUE"""),"cost of selling probate house")</f>
        <v>cost of selling probate house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 t="str">
        <f>IFERROR(__xludf.DUMMYFUNCTION("""COMPUTED_VALUE"""),"fees for selling probate house")</f>
        <v>fees for selling probate house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 t="str">
        <f>IFERROR(__xludf.DUMMYFUNCTION("""COMPUTED_VALUE"""),"closing costs for selling probate house")</f>
        <v>closing costs for selling probate house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 t="str">
        <f>IFERROR(__xludf.DUMMYFUNCTION("""COMPUTED_VALUE"""),"realtor fees for selling probate house")</f>
        <v>realtor fees for selling probate house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 t="str">
        <f>IFERROR(__xludf.DUMMYFUNCTION("""COMPUTED_VALUE"""),"agent commission for selling probate house")</f>
        <v>agent commission for selling probate house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 t="str">
        <f>IFERROR(__xludf.DUMMYFUNCTION("""COMPUTED_VALUE"""),"net proceeds from selling probate house")</f>
        <v>net proceeds from selling probate house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 t="str">
        <f>IFERROR(__xludf.DUMMYFUNCTION("""COMPUTED_VALUE"""),"seller costs for selling probate house")</f>
        <v>seller costs for selling probate house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 t="str">
        <f>IFERROR(__xludf.DUMMYFUNCTION("""COMPUTED_VALUE"""),"transfer taxes for selling probate house")</f>
        <v>transfer taxes for selling probate house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 t="str">
        <f>IFERROR(__xludf.DUMMYFUNCTION("""COMPUTED_VALUE"""),"title fees for selling probate house")</f>
        <v>title fees for selling probate house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 t="str">
        <f>IFERROR(__xludf.DUMMYFUNCTION("""COMPUTED_VALUE"""),"escrow fees for selling probate house")</f>
        <v>escrow fees for selling probate house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 t="str">
        <f>IFERROR(__xludf.DUMMYFUNCTION("""COMPUTED_VALUE"""),"cost of selling rental property")</f>
        <v>cost of selling rental property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 t="str">
        <f>IFERROR(__xludf.DUMMYFUNCTION("""COMPUTED_VALUE"""),"fees for selling rental property")</f>
        <v>fees for selling rental property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 t="str">
        <f>IFERROR(__xludf.DUMMYFUNCTION("""COMPUTED_VALUE"""),"closing costs for selling rental property")</f>
        <v>closing costs for selling rental property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 t="str">
        <f>IFERROR(__xludf.DUMMYFUNCTION("""COMPUTED_VALUE"""),"realtor fees for selling rental property")</f>
        <v>realtor fees for selling rental property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 t="str">
        <f>IFERROR(__xludf.DUMMYFUNCTION("""COMPUTED_VALUE"""),"agent commission for selling rental property")</f>
        <v>agent commission for selling rental property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 t="str">
        <f>IFERROR(__xludf.DUMMYFUNCTION("""COMPUTED_VALUE"""),"net proceeds from selling rental property")</f>
        <v>net proceeds from selling rental property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 t="str">
        <f>IFERROR(__xludf.DUMMYFUNCTION("""COMPUTED_VALUE"""),"seller costs for selling rental property")</f>
        <v>seller costs for selling rental property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 t="str">
        <f>IFERROR(__xludf.DUMMYFUNCTION("""COMPUTED_VALUE"""),"transfer taxes for selling rental property")</f>
        <v>transfer taxes for selling rental property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 t="str">
        <f>IFERROR(__xludf.DUMMYFUNCTION("""COMPUTED_VALUE"""),"title fees for selling rental property")</f>
        <v>title fees for selling rental property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 t="str">
        <f>IFERROR(__xludf.DUMMYFUNCTION("""COMPUTED_VALUE"""),"escrow fees for selling rental property")</f>
        <v>escrow fees for selling rental property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 t="str">
        <f>IFERROR(__xludf.DUMMYFUNCTION("""COMPUTED_VALUE"""),"cost of selling vacant house")</f>
        <v>cost of selling vacant house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 t="str">
        <f>IFERROR(__xludf.DUMMYFUNCTION("""COMPUTED_VALUE"""),"fees for selling vacant house")</f>
        <v>fees for selling vacant house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 t="str">
        <f>IFERROR(__xludf.DUMMYFUNCTION("""COMPUTED_VALUE"""),"closing costs for selling vacant house")</f>
        <v>closing costs for selling vacant house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 t="str">
        <f>IFERROR(__xludf.DUMMYFUNCTION("""COMPUTED_VALUE"""),"realtor fees for selling vacant house")</f>
        <v>realtor fees for selling vacant house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 t="str">
        <f>IFERROR(__xludf.DUMMYFUNCTION("""COMPUTED_VALUE"""),"agent commission for selling vacant house")</f>
        <v>agent commission for selling vacant house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 t="str">
        <f>IFERROR(__xludf.DUMMYFUNCTION("""COMPUTED_VALUE"""),"net proceeds from selling vacant house")</f>
        <v>net proceeds from selling vacant house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 t="str">
        <f>IFERROR(__xludf.DUMMYFUNCTION("""COMPUTED_VALUE"""),"seller costs for selling vacant house")</f>
        <v>seller costs for selling vacant house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 t="str">
        <f>IFERROR(__xludf.DUMMYFUNCTION("""COMPUTED_VALUE"""),"transfer taxes for selling vacant house")</f>
        <v>transfer taxes for selling vacant house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 t="str">
        <f>IFERROR(__xludf.DUMMYFUNCTION("""COMPUTED_VALUE"""),"title fees for selling vacant house")</f>
        <v>title fees for selling vacant house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 t="str">
        <f>IFERROR(__xludf.DUMMYFUNCTION("""COMPUTED_VALUE"""),"escrow fees for selling vacant house")</f>
        <v>escrow fees for selling vacant house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 t="str">
        <f>IFERROR(__xludf.DUMMYFUNCTION("""COMPUTED_VALUE"""),"cost of selling damaged house")</f>
        <v>cost of selling damaged house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 t="str">
        <f>IFERROR(__xludf.DUMMYFUNCTION("""COMPUTED_VALUE"""),"fees for selling damaged house")</f>
        <v>fees for selling damaged house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 t="str">
        <f>IFERROR(__xludf.DUMMYFUNCTION("""COMPUTED_VALUE"""),"closing costs for selling damaged house")</f>
        <v>closing costs for selling damaged house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 t="str">
        <f>IFERROR(__xludf.DUMMYFUNCTION("""COMPUTED_VALUE"""),"realtor fees for selling damaged house")</f>
        <v>realtor fees for selling damaged house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 t="str">
        <f>IFERROR(__xludf.DUMMYFUNCTION("""COMPUTED_VALUE"""),"agent commission for selling damaged house")</f>
        <v>agent commission for selling damaged house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 t="str">
        <f>IFERROR(__xludf.DUMMYFUNCTION("""COMPUTED_VALUE"""),"net proceeds from selling damaged house")</f>
        <v>net proceeds from selling damaged house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 t="str">
        <f>IFERROR(__xludf.DUMMYFUNCTION("""COMPUTED_VALUE"""),"seller costs for selling damaged house")</f>
        <v>seller costs for selling damaged house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 t="str">
        <f>IFERROR(__xludf.DUMMYFUNCTION("""COMPUTED_VALUE"""),"transfer taxes for selling damaged house")</f>
        <v>transfer taxes for selling damaged house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 t="str">
        <f>IFERROR(__xludf.DUMMYFUNCTION("""COMPUTED_VALUE"""),"title fees for selling damaged house")</f>
        <v>title fees for selling damaged house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 t="str">
        <f>IFERROR(__xludf.DUMMYFUNCTION("""COMPUTED_VALUE"""),"escrow fees for selling damaged house")</f>
        <v>escrow fees for selling damaged house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 t="str">
        <f>IFERROR(__xludf.DUMMYFUNCTION("""COMPUTED_VALUE"""),"cost of selling fixer upper")</f>
        <v>cost of selling fixer upper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 t="str">
        <f>IFERROR(__xludf.DUMMYFUNCTION("""COMPUTED_VALUE"""),"fees for selling fixer upper")</f>
        <v>fees for selling fixer upper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 t="str">
        <f>IFERROR(__xludf.DUMMYFUNCTION("""COMPUTED_VALUE"""),"closing costs for selling fixer upper")</f>
        <v>closing costs for selling fixer upper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 t="str">
        <f>IFERROR(__xludf.DUMMYFUNCTION("""COMPUTED_VALUE"""),"realtor fees for selling fixer upper")</f>
        <v>realtor fees for selling fixer upper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 t="str">
        <f>IFERROR(__xludf.DUMMYFUNCTION("""COMPUTED_VALUE"""),"agent commission for selling fixer upper")</f>
        <v>agent commission for selling fixer upper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 t="str">
        <f>IFERROR(__xludf.DUMMYFUNCTION("""COMPUTED_VALUE"""),"net proceeds from selling fixer upper")</f>
        <v>net proceeds from selling fixer upper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 t="str">
        <f>IFERROR(__xludf.DUMMYFUNCTION("""COMPUTED_VALUE"""),"seller costs for selling fixer upper")</f>
        <v>seller costs for selling fixer upper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 t="str">
        <f>IFERROR(__xludf.DUMMYFUNCTION("""COMPUTED_VALUE"""),"transfer taxes for selling fixer upper")</f>
        <v>transfer taxes for selling fixer upper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 t="str">
        <f>IFERROR(__xludf.DUMMYFUNCTION("""COMPUTED_VALUE"""),"title fees for selling fixer upper")</f>
        <v>title fees for selling fixer upper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 t="str">
        <f>IFERROR(__xludf.DUMMYFUNCTION("""COMPUTED_VALUE"""),"escrow fees for selling fixer upper")</f>
        <v>escrow fees for selling fixer upper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 t="str">
        <f>IFERROR(__xludf.DUMMYFUNCTION("""COMPUTED_VALUE"""),"cost of selling house in foreclosure")</f>
        <v>cost of selling house in foreclosure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 t="str">
        <f>IFERROR(__xludf.DUMMYFUNCTION("""COMPUTED_VALUE"""),"fees for selling house in foreclosure")</f>
        <v>fees for selling house in foreclosure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 t="str">
        <f>IFERROR(__xludf.DUMMYFUNCTION("""COMPUTED_VALUE"""),"closing costs for selling house in foreclosure")</f>
        <v>closing costs for selling house in foreclosure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 t="str">
        <f>IFERROR(__xludf.DUMMYFUNCTION("""COMPUTED_VALUE"""),"realtor fees for selling house in foreclosure")</f>
        <v>realtor fees for selling house in foreclosure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 t="str">
        <f>IFERROR(__xludf.DUMMYFUNCTION("""COMPUTED_VALUE"""),"agent commission for selling house in foreclosure")</f>
        <v>agent commission for selling house in foreclosure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 t="str">
        <f>IFERROR(__xludf.DUMMYFUNCTION("""COMPUTED_VALUE"""),"net proceeds from selling house in foreclosure")</f>
        <v>net proceeds from selling house in foreclosure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 t="str">
        <f>IFERROR(__xludf.DUMMYFUNCTION("""COMPUTED_VALUE"""),"seller costs for selling house in foreclosure")</f>
        <v>seller costs for selling house in foreclosure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 t="str">
        <f>IFERROR(__xludf.DUMMYFUNCTION("""COMPUTED_VALUE"""),"transfer taxes for selling house in foreclosure")</f>
        <v>transfer taxes for selling house in foreclosure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 t="str">
        <f>IFERROR(__xludf.DUMMYFUNCTION("""COMPUTED_VALUE"""),"title fees for selling house in foreclosure")</f>
        <v>title fees for selling house in foreclosure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 t="str">
        <f>IFERROR(__xludf.DUMMYFUNCTION("""COMPUTED_VALUE"""),"escrow fees for selling house in foreclosure")</f>
        <v>escrow fees for selling house in foreclosure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 t="str">
        <f>IFERROR(__xludf.DUMMYFUNCTION("""COMPUTED_VALUE"""),"cost of selling house with liens")</f>
        <v>cost of selling house with liens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 t="str">
        <f>IFERROR(__xludf.DUMMYFUNCTION("""COMPUTED_VALUE"""),"fees for selling house with liens")</f>
        <v>fees for selling house with liens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 t="str">
        <f>IFERROR(__xludf.DUMMYFUNCTION("""COMPUTED_VALUE"""),"closing costs for selling house with liens")</f>
        <v>closing costs for selling house with liens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 t="str">
        <f>IFERROR(__xludf.DUMMYFUNCTION("""COMPUTED_VALUE"""),"realtor fees for selling house with liens")</f>
        <v>realtor fees for selling house with liens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 t="str">
        <f>IFERROR(__xludf.DUMMYFUNCTION("""COMPUTED_VALUE"""),"agent commission for selling house with liens")</f>
        <v>agent commission for selling house with liens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 t="str">
        <f>IFERROR(__xludf.DUMMYFUNCTION("""COMPUTED_VALUE"""),"net proceeds from selling house with liens")</f>
        <v>net proceeds from selling house with liens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 t="str">
        <f>IFERROR(__xludf.DUMMYFUNCTION("""COMPUTED_VALUE"""),"seller costs for selling house with liens")</f>
        <v>seller costs for selling house with liens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 t="str">
        <f>IFERROR(__xludf.DUMMYFUNCTION("""COMPUTED_VALUE"""),"transfer taxes for selling house with liens")</f>
        <v>transfer taxes for selling house with liens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 t="str">
        <f>IFERROR(__xludf.DUMMYFUNCTION("""COMPUTED_VALUE"""),"title fees for selling house with liens")</f>
        <v>title fees for selling house with liens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 t="str">
        <f>IFERROR(__xludf.DUMMYFUNCTION("""COMPUTED_VALUE"""),"escrow fees for selling house with liens")</f>
        <v>escrow fees for selling house with liens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 t="str">
        <f>IFERROR(__xludf.DUMMYFUNCTION("""COMPUTED_VALUE"""),"cost of selling house with tenants")</f>
        <v>cost of selling house with tenants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 t="str">
        <f>IFERROR(__xludf.DUMMYFUNCTION("""COMPUTED_VALUE"""),"fees for selling house with tenants")</f>
        <v>fees for selling house with tenants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 t="str">
        <f>IFERROR(__xludf.DUMMYFUNCTION("""COMPUTED_VALUE"""),"closing costs for selling house with tenants")</f>
        <v>closing costs for selling house with tenants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 t="str">
        <f>IFERROR(__xludf.DUMMYFUNCTION("""COMPUTED_VALUE"""),"realtor fees for selling house with tenants")</f>
        <v>realtor fees for selling house with tenants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 t="str">
        <f>IFERROR(__xludf.DUMMYFUNCTION("""COMPUTED_VALUE"""),"agent commission for selling house with tenants")</f>
        <v>agent commission for selling house with tenants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 t="str">
        <f>IFERROR(__xludf.DUMMYFUNCTION("""COMPUTED_VALUE"""),"net proceeds from selling house with tenants")</f>
        <v>net proceeds from selling house with tenants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 t="str">
        <f>IFERROR(__xludf.DUMMYFUNCTION("""COMPUTED_VALUE"""),"seller costs for selling house with tenants")</f>
        <v>seller costs for selling house with tenants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 t="str">
        <f>IFERROR(__xludf.DUMMYFUNCTION("""COMPUTED_VALUE"""),"transfer taxes for selling house with tenants")</f>
        <v>transfer taxes for selling house with tenants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 t="str">
        <f>IFERROR(__xludf.DUMMYFUNCTION("""COMPUTED_VALUE"""),"title fees for selling house with tenants")</f>
        <v>title fees for selling house with tenants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 t="str">
        <f>IFERROR(__xludf.DUMMYFUNCTION("""COMPUTED_VALUE"""),"escrow fees for selling house with tenants")</f>
        <v>escrow fees for selling house with tenants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 t="str">
        <f>IFERROR(__xludf.DUMMYFUNCTION("""COMPUTED_VALUE"""),"cost of selling unwanted house")</f>
        <v>cost of selling unwanted house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 t="str">
        <f>IFERROR(__xludf.DUMMYFUNCTION("""COMPUTED_VALUE"""),"fees for selling unwanted house")</f>
        <v>fees for selling unwanted house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 t="str">
        <f>IFERROR(__xludf.DUMMYFUNCTION("""COMPUTED_VALUE"""),"closing costs for selling unwanted house")</f>
        <v>closing costs for selling unwanted house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 t="str">
        <f>IFERROR(__xludf.DUMMYFUNCTION("""COMPUTED_VALUE"""),"realtor fees for selling unwanted house")</f>
        <v>realtor fees for selling unwanted house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 t="str">
        <f>IFERROR(__xludf.DUMMYFUNCTION("""COMPUTED_VALUE"""),"agent commission for selling unwanted house")</f>
        <v>agent commission for selling unwanted house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 t="str">
        <f>IFERROR(__xludf.DUMMYFUNCTION("""COMPUTED_VALUE"""),"net proceeds from selling unwanted house")</f>
        <v>net proceeds from selling unwanted house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 t="str">
        <f>IFERROR(__xludf.DUMMYFUNCTION("""COMPUTED_VALUE"""),"seller costs for selling unwanted house")</f>
        <v>seller costs for selling unwanted house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 t="str">
        <f>IFERROR(__xludf.DUMMYFUNCTION("""COMPUTED_VALUE"""),"transfer taxes for selling unwanted house")</f>
        <v>transfer taxes for selling unwanted house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 t="str">
        <f>IFERROR(__xludf.DUMMYFUNCTION("""COMPUTED_VALUE"""),"title fees for selling unwanted house")</f>
        <v>title fees for selling unwanted house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 t="str">
        <f>IFERROR(__xludf.DUMMYFUNCTION("""COMPUTED_VALUE"""),"escrow fees for selling unwanted house")</f>
        <v>escrow fees for selling unwanted house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 t="str">
        <f>IFERROR(__xludf.DUMMYFUNCTION("""COMPUTED_VALUE"""),"cost of selling house fast")</f>
        <v>cost of selling house fast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 t="str">
        <f>IFERROR(__xludf.DUMMYFUNCTION("""COMPUTED_VALUE"""),"fees for selling house fast")</f>
        <v>fees for selling house fast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 t="str">
        <f>IFERROR(__xludf.DUMMYFUNCTION("""COMPUTED_VALUE"""),"closing costs for selling house fast")</f>
        <v>closing costs for selling house fast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 t="str">
        <f>IFERROR(__xludf.DUMMYFUNCTION("""COMPUTED_VALUE"""),"realtor fees for selling house fast")</f>
        <v>realtor fees for selling house fast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 t="str">
        <f>IFERROR(__xludf.DUMMYFUNCTION("""COMPUTED_VALUE"""),"agent commission for selling house fast")</f>
        <v>agent commission for selling house fast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 t="str">
        <f>IFERROR(__xludf.DUMMYFUNCTION("""COMPUTED_VALUE"""),"net proceeds from selling house fast")</f>
        <v>net proceeds from selling house fast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 t="str">
        <f>IFERROR(__xludf.DUMMYFUNCTION("""COMPUTED_VALUE"""),"seller costs for selling house fast")</f>
        <v>seller costs for selling house fast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 t="str">
        <f>IFERROR(__xludf.DUMMYFUNCTION("""COMPUTED_VALUE"""),"transfer taxes for selling house fast")</f>
        <v>transfer taxes for selling house fast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 t="str">
        <f>IFERROR(__xludf.DUMMYFUNCTION("""COMPUTED_VALUE"""),"title fees for selling house fast")</f>
        <v>title fees for selling house fast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 t="str">
        <f>IFERROR(__xludf.DUMMYFUNCTION("""COMPUTED_VALUE"""),"escrow fees for selling house fast")</f>
        <v>escrow fees for selling house fast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 t="str">
        <f>IFERROR(__xludf.DUMMYFUNCTION("""COMPUTED_VALUE"""),"cost of selling house in Pennsylvania")</f>
        <v>cost of selling house in Pennsylvania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 t="str">
        <f>IFERROR(__xludf.DUMMYFUNCTION("""COMPUTED_VALUE"""),"fees for selling house in Pennsylvania")</f>
        <v>fees for selling house in Pennsylvania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 t="str">
        <f>IFERROR(__xludf.DUMMYFUNCTION("""COMPUTED_VALUE"""),"closing costs for selling house in Pennsylvania")</f>
        <v>closing costs for selling house in Pennsylvania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 t="str">
        <f>IFERROR(__xludf.DUMMYFUNCTION("""COMPUTED_VALUE"""),"realtor fees for selling house in Pennsylvania")</f>
        <v>realtor fees for selling house in Pennsylvania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 t="str">
        <f>IFERROR(__xludf.DUMMYFUNCTION("""COMPUTED_VALUE"""),"agent commission for selling house in Pennsylvania")</f>
        <v>agent commission for selling house in Pennsylvania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 t="str">
        <f>IFERROR(__xludf.DUMMYFUNCTION("""COMPUTED_VALUE"""),"net proceeds from selling house in Pennsylvania")</f>
        <v>net proceeds from selling house in Pennsylvania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 t="str">
        <f>IFERROR(__xludf.DUMMYFUNCTION("""COMPUTED_VALUE"""),"seller costs for selling house in Pennsylvania")</f>
        <v>seller costs for selling house in Pennsylvania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 t="str">
        <f>IFERROR(__xludf.DUMMYFUNCTION("""COMPUTED_VALUE"""),"transfer taxes for selling house in Pennsylvania")</f>
        <v>transfer taxes for selling house in Pennsylvania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 t="str">
        <f>IFERROR(__xludf.DUMMYFUNCTION("""COMPUTED_VALUE"""),"title fees for selling house in Pennsylvania")</f>
        <v>title fees for selling house in Pennsylvania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 t="str">
        <f>IFERROR(__xludf.DUMMYFUNCTION("""COMPUTED_VALUE"""),"escrow fees for selling house in Pennsylvania")</f>
        <v>escrow fees for selling house in Pennsylvania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 t="str">
        <f>IFERROR(__xludf.DUMMYFUNCTION("""COMPUTED_VALUE"""),"cost of selling house in Philadelphia")</f>
        <v>cost of selling house in Philadelphia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 t="str">
        <f>IFERROR(__xludf.DUMMYFUNCTION("""COMPUTED_VALUE"""),"fees for selling house in Philadelphia")</f>
        <v>fees for selling house in Philadelphia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 t="str">
        <f>IFERROR(__xludf.DUMMYFUNCTION("""COMPUTED_VALUE"""),"closing costs for selling house in Philadelphia")</f>
        <v>closing costs for selling house in Philadelphia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 t="str">
        <f>IFERROR(__xludf.DUMMYFUNCTION("""COMPUTED_VALUE"""),"realtor fees for selling house in Philadelphia")</f>
        <v>realtor fees for selling house in Philadelphia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 t="str">
        <f>IFERROR(__xludf.DUMMYFUNCTION("""COMPUTED_VALUE"""),"agent commission for selling house in Philadelphia")</f>
        <v>agent commission for selling house in Philadelphia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 t="str">
        <f>IFERROR(__xludf.DUMMYFUNCTION("""COMPUTED_VALUE"""),"net proceeds from selling house in Philadelphia")</f>
        <v>net proceeds from selling house in Philadelphia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 t="str">
        <f>IFERROR(__xludf.DUMMYFUNCTION("""COMPUTED_VALUE"""),"seller costs for selling house in Philadelphia")</f>
        <v>seller costs for selling house in Philadelphia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 t="str">
        <f>IFERROR(__xludf.DUMMYFUNCTION("""COMPUTED_VALUE"""),"transfer taxes for selling house in Philadelphia")</f>
        <v>transfer taxes for selling house in Philadelphia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 t="str">
        <f>IFERROR(__xludf.DUMMYFUNCTION("""COMPUTED_VALUE"""),"title fees for selling house in Philadelphia")</f>
        <v>title fees for selling house in Philadelphia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 t="str">
        <f>IFERROR(__xludf.DUMMYFUNCTION("""COMPUTED_VALUE"""),"escrow fees for selling house in Philadelphia")</f>
        <v>escrow fees for selling house in Philadelphia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 t="str">
        <f>IFERROR(__xludf.DUMMYFUNCTION("""COMPUTED_VALUE"""),"cost of selling house in Wilmington DE")</f>
        <v>cost of selling house in Wilmington DE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 t="str">
        <f>IFERROR(__xludf.DUMMYFUNCTION("""COMPUTED_VALUE"""),"fees for selling house in Wilmington DE")</f>
        <v>fees for selling house in Wilmington DE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 t="str">
        <f>IFERROR(__xludf.DUMMYFUNCTION("""COMPUTED_VALUE"""),"closing costs for selling house in Wilmington DE")</f>
        <v>closing costs for selling house in Wilmington DE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 t="str">
        <f>IFERROR(__xludf.DUMMYFUNCTION("""COMPUTED_VALUE"""),"realtor fees for selling house in Wilmington DE")</f>
        <v>realtor fees for selling house in Wilmington DE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 t="str">
        <f>IFERROR(__xludf.DUMMYFUNCTION("""COMPUTED_VALUE"""),"agent commission for selling house in Wilmington DE")</f>
        <v>agent commission for selling house in Wilmington DE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 t="str">
        <f>IFERROR(__xludf.DUMMYFUNCTION("""COMPUTED_VALUE"""),"net proceeds from selling house in Wilmington DE")</f>
        <v>net proceeds from selling house in Wilmington DE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 t="str">
        <f>IFERROR(__xludf.DUMMYFUNCTION("""COMPUTED_VALUE"""),"seller costs for selling house in Wilmington DE")</f>
        <v>seller costs for selling house in Wilmington DE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 t="str">
        <f>IFERROR(__xludf.DUMMYFUNCTION("""COMPUTED_VALUE"""),"transfer taxes for selling house in Wilmington DE")</f>
        <v>transfer taxes for selling house in Wilmington DE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 t="str">
        <f>IFERROR(__xludf.DUMMYFUNCTION("""COMPUTED_VALUE"""),"title fees for selling house in Wilmington DE")</f>
        <v>title fees for selling house in Wilmington DE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 t="str">
        <f>IFERROR(__xludf.DUMMYFUNCTION("""COMPUTED_VALUE"""),"escrow fees for selling house in Wilmington DE")</f>
        <v>escrow fees for selling house in Wilmington DE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 t="str">
        <f>IFERROR(__xludf.DUMMYFUNCTION("""COMPUTED_VALUE"""),"cost of selling house after repairs")</f>
        <v>cost of selling house after repairs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 t="str">
        <f>IFERROR(__xludf.DUMMYFUNCTION("""COMPUTED_VALUE"""),"fees for selling house after repairs")</f>
        <v>fees for selling house after repairs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 t="str">
        <f>IFERROR(__xludf.DUMMYFUNCTION("""COMPUTED_VALUE"""),"closing costs for selling house after repairs")</f>
        <v>closing costs for selling house after repairs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 t="str">
        <f>IFERROR(__xludf.DUMMYFUNCTION("""COMPUTED_VALUE"""),"realtor fees for selling house after repairs")</f>
        <v>realtor fees for selling house after repairs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 t="str">
        <f>IFERROR(__xludf.DUMMYFUNCTION("""COMPUTED_VALUE"""),"agent commission for selling house after repairs")</f>
        <v>agent commission for selling house after repairs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 t="str">
        <f>IFERROR(__xludf.DUMMYFUNCTION("""COMPUTED_VALUE"""),"net proceeds from selling house after repairs")</f>
        <v>net proceeds from selling house after repairs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 t="str">
        <f>IFERROR(__xludf.DUMMYFUNCTION("""COMPUTED_VALUE"""),"seller costs for selling house after repairs")</f>
        <v>seller costs for selling house after repairs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 t="str">
        <f>IFERROR(__xludf.DUMMYFUNCTION("""COMPUTED_VALUE"""),"transfer taxes for selling house after repairs")</f>
        <v>transfer taxes for selling house after repairs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 t="str">
        <f>IFERROR(__xludf.DUMMYFUNCTION("""COMPUTED_VALUE"""),"title fees for selling house after repairs")</f>
        <v>title fees for selling house after repairs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 t="str">
        <f>IFERROR(__xludf.DUMMYFUNCTION("""COMPUTED_VALUE"""),"escrow fees for selling house after repairs")</f>
        <v>escrow fees for selling house after repairs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 t="str">
        <f>IFERROR(__xludf.DUMMYFUNCTION("""COMPUTED_VALUE"""),"cost of selling house before repairs")</f>
        <v>cost of selling house before repairs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 t="str">
        <f>IFERROR(__xludf.DUMMYFUNCTION("""COMPUTED_VALUE"""),"fees for selling house before repairs")</f>
        <v>fees for selling house before repairs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 t="str">
        <f>IFERROR(__xludf.DUMMYFUNCTION("""COMPUTED_VALUE"""),"closing costs for selling house before repairs")</f>
        <v>closing costs for selling house before repairs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 t="str">
        <f>IFERROR(__xludf.DUMMYFUNCTION("""COMPUTED_VALUE"""),"realtor fees for selling house before repairs")</f>
        <v>realtor fees for selling house before repairs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 t="str">
        <f>IFERROR(__xludf.DUMMYFUNCTION("""COMPUTED_VALUE"""),"agent commission for selling house before repairs")</f>
        <v>agent commission for selling house before repairs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 t="str">
        <f>IFERROR(__xludf.DUMMYFUNCTION("""COMPUTED_VALUE"""),"net proceeds from selling house before repairs")</f>
        <v>net proceeds from selling house before repairs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 t="str">
        <f>IFERROR(__xludf.DUMMYFUNCTION("""COMPUTED_VALUE"""),"seller costs for selling house before repairs")</f>
        <v>seller costs for selling house before repairs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 t="str">
        <f>IFERROR(__xludf.DUMMYFUNCTION("""COMPUTED_VALUE"""),"transfer taxes for selling house before repairs")</f>
        <v>transfer taxes for selling house before repairs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 t="str">
        <f>IFERROR(__xludf.DUMMYFUNCTION("""COMPUTED_VALUE"""),"title fees for selling house before repairs")</f>
        <v>title fees for selling house before repairs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 t="str">
        <f>IFERROR(__xludf.DUMMYFUNCTION("""COMPUTED_VALUE"""),"escrow fees for selling house before repairs")</f>
        <v>escrow fees for selling house before repairs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 t="str">
        <f>IFERROR(__xludf.DUMMYFUNCTION("""COMPUTED_VALUE"""),"cost of selling house with mortgage")</f>
        <v>cost of selling house with mortgage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 t="str">
        <f>IFERROR(__xludf.DUMMYFUNCTION("""COMPUTED_VALUE"""),"fees for selling house with mortgage")</f>
        <v>fees for selling house with mortgage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 t="str">
        <f>IFERROR(__xludf.DUMMYFUNCTION("""COMPUTED_VALUE"""),"closing costs for selling house with mortgage")</f>
        <v>closing costs for selling house with mortgage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 t="str">
        <f>IFERROR(__xludf.DUMMYFUNCTION("""COMPUTED_VALUE"""),"realtor fees for selling house with mortgage")</f>
        <v>realtor fees for selling house with mortgage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 t="str">
        <f>IFERROR(__xludf.DUMMYFUNCTION("""COMPUTED_VALUE"""),"agent commission for selling house with mortgage")</f>
        <v>agent commission for selling house with mortgage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 t="str">
        <f>IFERROR(__xludf.DUMMYFUNCTION("""COMPUTED_VALUE"""),"net proceeds from selling house with mortgage")</f>
        <v>net proceeds from selling house with mortgage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 t="str">
        <f>IFERROR(__xludf.DUMMYFUNCTION("""COMPUTED_VALUE"""),"seller costs for selling house with mortgage")</f>
        <v>seller costs for selling house with mortgage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 t="str">
        <f>IFERROR(__xludf.DUMMYFUNCTION("""COMPUTED_VALUE"""),"transfer taxes for selling house with mortgage")</f>
        <v>transfer taxes for selling house with mortgage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 t="str">
        <f>IFERROR(__xludf.DUMMYFUNCTION("""COMPUTED_VALUE"""),"title fees for selling house with mortgage")</f>
        <v>title fees for selling house with mortgage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 t="str">
        <f>IFERROR(__xludf.DUMMYFUNCTION("""COMPUTED_VALUE"""),"escrow fees for selling house with mortgage")</f>
        <v>escrow fees for selling house with mortgage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 t="str">
        <f>IFERROR(__xludf.DUMMYFUNCTION("""COMPUTED_VALUE"""),"cost of selling house with title issues")</f>
        <v>cost of selling house with title issues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 t="str">
        <f>IFERROR(__xludf.DUMMYFUNCTION("""COMPUTED_VALUE"""),"fees for selling house with title issues")</f>
        <v>fees for selling house with title issues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 t="str">
        <f>IFERROR(__xludf.DUMMYFUNCTION("""COMPUTED_VALUE"""),"closing costs for selling house with title issues")</f>
        <v>closing costs for selling house with title issues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 t="str">
        <f>IFERROR(__xludf.DUMMYFUNCTION("""COMPUTED_VALUE"""),"realtor fees for selling house with title issues")</f>
        <v>realtor fees for selling house with title issues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 t="str">
        <f>IFERROR(__xludf.DUMMYFUNCTION("""COMPUTED_VALUE"""),"agent commission for selling house with title issues")</f>
        <v>agent commission for selling house with title issues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 t="str">
        <f>IFERROR(__xludf.DUMMYFUNCTION("""COMPUTED_VALUE"""),"net proceeds from selling house with title issues")</f>
        <v>net proceeds from selling house with title issues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 t="str">
        <f>IFERROR(__xludf.DUMMYFUNCTION("""COMPUTED_VALUE"""),"seller costs for selling house with title issues")</f>
        <v>seller costs for selling house with title issues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 t="str">
        <f>IFERROR(__xludf.DUMMYFUNCTION("""COMPUTED_VALUE"""),"transfer taxes for selling house with title issues")</f>
        <v>transfer taxes for selling house with title issues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 t="str">
        <f>IFERROR(__xludf.DUMMYFUNCTION("""COMPUTED_VALUE"""),"title fees for selling house with title issues")</f>
        <v>title fees for selling house with title issues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 t="str">
        <f>IFERROR(__xludf.DUMMYFUNCTION("""COMPUTED_VALUE"""),"escrow fees for selling house with title issues")</f>
        <v>escrow fees for selling house with title issues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 t="str">
        <f>IFERROR(__xludf.DUMMYFUNCTION("""COMPUTED_VALUE"""),"cost of selling house through realtor")</f>
        <v>cost of selling house through realtor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 t="str">
        <f>IFERROR(__xludf.DUMMYFUNCTION("""COMPUTED_VALUE"""),"fees for selling house through realtor")</f>
        <v>fees for selling house through realtor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 t="str">
        <f>IFERROR(__xludf.DUMMYFUNCTION("""COMPUTED_VALUE"""),"closing costs for selling house through realtor")</f>
        <v>closing costs for selling house through realtor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 t="str">
        <f>IFERROR(__xludf.DUMMYFUNCTION("""COMPUTED_VALUE"""),"realtor fees for selling house through realtor")</f>
        <v>realtor fees for selling house through realtor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 t="str">
        <f>IFERROR(__xludf.DUMMYFUNCTION("""COMPUTED_VALUE"""),"agent commission for selling house through realtor")</f>
        <v>agent commission for selling house through realtor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 t="str">
        <f>IFERROR(__xludf.DUMMYFUNCTION("""COMPUTED_VALUE"""),"net proceeds from selling house through realtor")</f>
        <v>net proceeds from selling house through realtor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 t="str">
        <f>IFERROR(__xludf.DUMMYFUNCTION("""COMPUTED_VALUE"""),"seller costs for selling house through realtor")</f>
        <v>seller costs for selling house through realtor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 t="str">
        <f>IFERROR(__xludf.DUMMYFUNCTION("""COMPUTED_VALUE"""),"transfer taxes for selling house through realtor")</f>
        <v>transfer taxes for selling house through realtor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 t="str">
        <f>IFERROR(__xludf.DUMMYFUNCTION("""COMPUTED_VALUE"""),"title fees for selling house through realtor")</f>
        <v>title fees for selling house through realtor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 t="str">
        <f>IFERROR(__xludf.DUMMYFUNCTION("""COMPUTED_VALUE"""),"escrow fees for selling house through realtor")</f>
        <v>escrow fees for selling house through realtor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 t="str">
        <f>IFERROR(__xludf.DUMMYFUNCTION("""COMPUTED_VALUE"""),"cost of selling house FSBO")</f>
        <v>cost of selling house FSBO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 t="str">
        <f>IFERROR(__xludf.DUMMYFUNCTION("""COMPUTED_VALUE"""),"fees for selling house FSBO")</f>
        <v>fees for selling house FSBO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 t="str">
        <f>IFERROR(__xludf.DUMMYFUNCTION("""COMPUTED_VALUE"""),"closing costs for selling house FSBO")</f>
        <v>closing costs for selling house FSBO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 t="str">
        <f>IFERROR(__xludf.DUMMYFUNCTION("""COMPUTED_VALUE"""),"realtor fees for selling house FSBO")</f>
        <v>realtor fees for selling house FSBO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 t="str">
        <f>IFERROR(__xludf.DUMMYFUNCTION("""COMPUTED_VALUE"""),"agent commission for selling house FSBO")</f>
        <v>agent commission for selling house FSBO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 t="str">
        <f>IFERROR(__xludf.DUMMYFUNCTION("""COMPUTED_VALUE"""),"net proceeds from selling house FSBO")</f>
        <v>net proceeds from selling house FSBO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 t="str">
        <f>IFERROR(__xludf.DUMMYFUNCTION("""COMPUTED_VALUE"""),"seller costs for selling house FSBO")</f>
        <v>seller costs for selling house FSBO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 t="str">
        <f>IFERROR(__xludf.DUMMYFUNCTION("""COMPUTED_VALUE"""),"transfer taxes for selling house FSBO")</f>
        <v>transfer taxes for selling house FSBO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 t="str">
        <f>IFERROR(__xludf.DUMMYFUNCTION("""COMPUTED_VALUE"""),"title fees for selling house FSBO")</f>
        <v>title fees for selling house FSBO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 t="str">
        <f>IFERROR(__xludf.DUMMYFUNCTION("""COMPUTED_VALUE"""),"escrow fees for selling house FSBO")</f>
        <v>escrow fees for selling house FSBO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 t="str">
        <f>IFERROR(__xludf.DUMMYFUNCTION("""COMPUTED_VALUE"""),"cost of")</f>
        <v>cost of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 t="str">
        <f>IFERROR(__xludf.DUMMYFUNCTION("""COMPUTED_VALUE"""),"fees for")</f>
        <v>fees for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 t="str">
        <f>IFERROR(__xludf.DUMMYFUNCTION("""COMPUTED_VALUE"""),"closing costs for")</f>
        <v>closing costs for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 t="str">
        <f>IFERROR(__xludf.DUMMYFUNCTION("""COMPUTED_VALUE"""),"realtor fees for")</f>
        <v>realtor fees for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 t="str">
        <f>IFERROR(__xludf.DUMMYFUNCTION("""COMPUTED_VALUE"""),"agent commission for")</f>
        <v>agent commission for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 t="str">
        <f>IFERROR(__xludf.DUMMYFUNCTION("""COMPUTED_VALUE"""),"net proceeds from")</f>
        <v>net proceeds from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 t="str">
        <f>IFERROR(__xludf.DUMMYFUNCTION("""COMPUTED_VALUE"""),"seller costs for")</f>
        <v>seller costs for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 t="str">
        <f>IFERROR(__xludf.DUMMYFUNCTION("""COMPUTED_VALUE"""),"transfer taxes for")</f>
        <v>transfer taxes for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 t="str">
        <f>IFERROR(__xludf.DUMMYFUNCTION("""COMPUTED_VALUE"""),"title fees for")</f>
        <v>title fees for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 t="str">
        <f>IFERROR(__xludf.DUMMYFUNCTION("""COMPUTED_VALUE"""),"escrow fees for")</f>
        <v>escrow fees for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</row>
    <row r="1014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</row>
    <row r="10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</row>
    <row r="1016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</row>
    <row r="1017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</row>
    <row r="1018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</row>
    <row r="1019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</row>
    <row r="1020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</row>
    <row r="102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</row>
    <row r="1022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</row>
    <row r="1023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</row>
    <row r="1024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</row>
    <row r="102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</row>
    <row r="1026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</row>
    <row r="1027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</row>
    <row r="1028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</row>
    <row r="1029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</row>
    <row r="1030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</row>
    <row r="103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</row>
    <row r="1032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</row>
    <row r="1033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</row>
    <row r="1034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</row>
    <row r="1036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</row>
    <row r="1037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</row>
    <row r="1038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</row>
    <row r="1039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</row>
    <row r="1040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</row>
    <row r="104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</row>
    <row r="1042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</row>
    <row r="1043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</row>
    <row r="1044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</row>
    <row r="104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</row>
    <row r="1046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</row>
    <row r="1047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</row>
    <row r="1048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</row>
    <row r="1049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</row>
    <row r="1050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</row>
    <row r="105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</row>
    <row r="1052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</row>
    <row r="1053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</row>
    <row r="1054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</row>
    <row r="105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</row>
    <row r="1056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</row>
    <row r="1057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</row>
    <row r="1058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</row>
    <row r="1059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</row>
    <row r="1060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</row>
    <row r="106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</row>
    <row r="1062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</row>
    <row r="1063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</row>
    <row r="1064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</row>
    <row r="106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</row>
    <row r="1066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</row>
    <row r="1067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</row>
    <row r="1068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</row>
    <row r="1069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</row>
    <row r="1070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</row>
    <row r="107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</row>
    <row r="1072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</row>
    <row r="1073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</row>
    <row r="1074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</row>
    <row r="1075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</row>
    <row r="1076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</row>
    <row r="1077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</row>
    <row r="1078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</row>
    <row r="1079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</row>
    <row r="1080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</row>
    <row r="108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</row>
    <row r="1082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</row>
    <row r="1083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</row>
    <row r="1084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</row>
    <row r="1085">
      <c r="A1085" s="13"/>
      <c r="B1085" s="13"/>
      <c r="C1085" s="13"/>
      <c r="D1085" s="13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</row>
    <row r="1086">
      <c r="A1086" s="13"/>
      <c r="B1086" s="13"/>
      <c r="C1086" s="13"/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</row>
    <row r="1087">
      <c r="A1087" s="13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</row>
    <row r="1088">
      <c r="A1088" s="13"/>
      <c r="B1088" s="13"/>
      <c r="C1088" s="13"/>
      <c r="D1088" s="13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</row>
    <row r="1089">
      <c r="A1089" s="13"/>
      <c r="B1089" s="13"/>
      <c r="C1089" s="13"/>
      <c r="D1089" s="13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</row>
    <row r="1090">
      <c r="A1090" s="13"/>
      <c r="B1090" s="13"/>
      <c r="C1090" s="13"/>
      <c r="D1090" s="13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</row>
    <row r="1091">
      <c r="A1091" s="13"/>
      <c r="B1091" s="13"/>
      <c r="C1091" s="13"/>
      <c r="D1091" s="13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</row>
    <row r="1092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</row>
    <row r="1093">
      <c r="A1093" s="13"/>
      <c r="B1093" s="13"/>
      <c r="C1093" s="13"/>
      <c r="D1093" s="13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</row>
    <row r="1094">
      <c r="A1094" s="13"/>
      <c r="B1094" s="13"/>
      <c r="C1094" s="13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</row>
    <row r="1095">
      <c r="A1095" s="13"/>
      <c r="B1095" s="13"/>
      <c r="C1095" s="13"/>
      <c r="D1095" s="13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</row>
    <row r="1096">
      <c r="A1096" s="13"/>
      <c r="B1096" s="13"/>
      <c r="C1096" s="13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</row>
    <row r="1097">
      <c r="A1097" s="13"/>
      <c r="B1097" s="13"/>
      <c r="C1097" s="13"/>
      <c r="D1097" s="13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</row>
    <row r="1098">
      <c r="A1098" s="13"/>
      <c r="B1098" s="13"/>
      <c r="C1098" s="13"/>
      <c r="D1098" s="13"/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</row>
    <row r="1099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</row>
    <row r="1100">
      <c r="A1100" s="13"/>
      <c r="B1100" s="13"/>
      <c r="C1100" s="13"/>
      <c r="D1100" s="13"/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</row>
    <row r="1101">
      <c r="A1101" s="13"/>
      <c r="B1101" s="13"/>
      <c r="C1101" s="13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</row>
    <row r="1102">
      <c r="A1102" s="13"/>
      <c r="B1102" s="13"/>
      <c r="C1102" s="13"/>
      <c r="D1102" s="13"/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</row>
    <row r="1103">
      <c r="A1103" s="13"/>
      <c r="B1103" s="13"/>
      <c r="C1103" s="13"/>
      <c r="D1103" s="13"/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</row>
    <row r="1104">
      <c r="A1104" s="13"/>
      <c r="B1104" s="13"/>
      <c r="C1104" s="13"/>
      <c r="D1104" s="13"/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</row>
    <row r="1105">
      <c r="A1105" s="13"/>
      <c r="B1105" s="13"/>
      <c r="C1105" s="13"/>
      <c r="D1105" s="13"/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</row>
    <row r="1106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</row>
    <row r="1107">
      <c r="A1107" s="13"/>
      <c r="B1107" s="13"/>
      <c r="C1107" s="13"/>
      <c r="D1107" s="13"/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</row>
    <row r="1108">
      <c r="A1108" s="13"/>
      <c r="B1108" s="13"/>
      <c r="C1108" s="13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</row>
    <row r="1109">
      <c r="A1109" s="13"/>
      <c r="B1109" s="13"/>
      <c r="C1109" s="13"/>
      <c r="D1109" s="13"/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</row>
    <row r="1110">
      <c r="A1110" s="13"/>
      <c r="B1110" s="13"/>
      <c r="C1110" s="13"/>
      <c r="D1110" s="13"/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</row>
    <row r="1111">
      <c r="A1111" s="13"/>
      <c r="B1111" s="13"/>
      <c r="C1111" s="13"/>
      <c r="D1111" s="13"/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</row>
    <row r="1112">
      <c r="A1112" s="13"/>
      <c r="B1112" s="13"/>
      <c r="C1112" s="13"/>
      <c r="D1112" s="13"/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</row>
    <row r="1113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</row>
    <row r="1114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</row>
    <row r="1115">
      <c r="A1115" s="13"/>
      <c r="B1115" s="13"/>
      <c r="C1115" s="13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</row>
    <row r="1116">
      <c r="A1116" s="13"/>
      <c r="B1116" s="13"/>
      <c r="C1116" s="13"/>
      <c r="D1116" s="13"/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</row>
    <row r="1117">
      <c r="A1117" s="13"/>
      <c r="B1117" s="13"/>
      <c r="C1117" s="13"/>
      <c r="D1117" s="13"/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</row>
    <row r="1118">
      <c r="A1118" s="13"/>
      <c r="B1118" s="13"/>
      <c r="C1118" s="13"/>
      <c r="D1118" s="13"/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</row>
    <row r="1119">
      <c r="A1119" s="13"/>
      <c r="B1119" s="13"/>
      <c r="C1119" s="13"/>
      <c r="D1119" s="13"/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</row>
    <row r="1120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</row>
    <row r="1121">
      <c r="A1121" s="13"/>
      <c r="B1121" s="13"/>
      <c r="C1121" s="13"/>
      <c r="D1121" s="13"/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</row>
    <row r="1122">
      <c r="A1122" s="13"/>
      <c r="B1122" s="13"/>
      <c r="C1122" s="13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</row>
    <row r="1123">
      <c r="A1123" s="13"/>
      <c r="B1123" s="13"/>
      <c r="C1123" s="13"/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</row>
    <row r="1124">
      <c r="A1124" s="13"/>
      <c r="B1124" s="13"/>
      <c r="C1124" s="13"/>
      <c r="D1124" s="13"/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</row>
    <row r="1125">
      <c r="A1125" s="13"/>
      <c r="B1125" s="13"/>
      <c r="C1125" s="13"/>
      <c r="D1125" s="13"/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</row>
    <row r="1126">
      <c r="A1126" s="13"/>
      <c r="B1126" s="13"/>
      <c r="C1126" s="13"/>
      <c r="D1126" s="13"/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</row>
    <row r="1127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</row>
    <row r="1128">
      <c r="A1128" s="13"/>
      <c r="B1128" s="13"/>
      <c r="C1128" s="13"/>
      <c r="D1128" s="13"/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</row>
    <row r="1129">
      <c r="A1129" s="13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</row>
    <row r="1130">
      <c r="A1130" s="13"/>
      <c r="B1130" s="13"/>
      <c r="C1130" s="13"/>
      <c r="D1130" s="13"/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</row>
    <row r="1131">
      <c r="A1131" s="13"/>
      <c r="B1131" s="13"/>
      <c r="C1131" s="13"/>
      <c r="D1131" s="13"/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</row>
    <row r="1132">
      <c r="A1132" s="13"/>
      <c r="B1132" s="13"/>
      <c r="C1132" s="13"/>
      <c r="D1132" s="13"/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</row>
    <row r="1133">
      <c r="A1133" s="13"/>
      <c r="B1133" s="13"/>
      <c r="C1133" s="13"/>
      <c r="D1133" s="13"/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</row>
    <row r="1134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</row>
    <row r="1135">
      <c r="A1135" s="13"/>
      <c r="B1135" s="13"/>
      <c r="C1135" s="13"/>
      <c r="D1135" s="13"/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</row>
    <row r="1136">
      <c r="A1136" s="13"/>
      <c r="B1136" s="13"/>
      <c r="C1136" s="13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</row>
    <row r="1137">
      <c r="A1137" s="13"/>
      <c r="B1137" s="13"/>
      <c r="C1137" s="13"/>
      <c r="D1137" s="13"/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</row>
    <row r="1138">
      <c r="A1138" s="13"/>
      <c r="B1138" s="13"/>
      <c r="C1138" s="13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</row>
    <row r="1139">
      <c r="A1139" s="13"/>
      <c r="B1139" s="13"/>
      <c r="C1139" s="13"/>
      <c r="D1139" s="13"/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</row>
    <row r="1140">
      <c r="A1140" s="13"/>
      <c r="B1140" s="13"/>
      <c r="C1140" s="13"/>
      <c r="D1140" s="13"/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</row>
    <row r="114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</row>
    <row r="1142">
      <c r="A1142" s="13"/>
      <c r="B1142" s="13"/>
      <c r="C1142" s="13"/>
      <c r="D1142" s="13"/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</row>
    <row r="1143">
      <c r="A1143" s="13"/>
      <c r="B1143" s="13"/>
      <c r="C1143" s="13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</row>
    <row r="1144">
      <c r="A1144" s="13"/>
      <c r="B1144" s="13"/>
      <c r="C1144" s="13"/>
      <c r="D1144" s="13"/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</row>
    <row r="1145">
      <c r="A1145" s="13"/>
      <c r="B1145" s="13"/>
      <c r="C1145" s="13"/>
      <c r="D1145" s="13"/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</row>
    <row r="1146">
      <c r="A1146" s="13"/>
      <c r="B1146" s="13"/>
      <c r="C1146" s="13"/>
      <c r="D1146" s="13"/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</row>
    <row r="1147">
      <c r="A1147" s="13"/>
      <c r="B1147" s="13"/>
      <c r="C1147" s="13"/>
      <c r="D1147" s="13"/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</row>
    <row r="1148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</row>
    <row r="1149">
      <c r="A1149" s="13"/>
      <c r="B1149" s="13"/>
      <c r="C1149" s="13"/>
      <c r="D1149" s="13"/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</row>
    <row r="1150">
      <c r="A1150" s="13"/>
      <c r="B1150" s="13"/>
      <c r="C1150" s="13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</row>
    <row r="1151">
      <c r="A1151" s="13"/>
      <c r="B1151" s="13"/>
      <c r="C1151" s="13"/>
      <c r="D1151" s="13"/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</row>
    <row r="1152">
      <c r="A1152" s="13"/>
      <c r="B1152" s="13"/>
      <c r="C1152" s="13"/>
      <c r="D1152" s="13"/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</row>
    <row r="1153">
      <c r="A1153" s="13"/>
      <c r="B1153" s="13"/>
      <c r="C1153" s="13"/>
      <c r="D1153" s="13"/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</row>
    <row r="1154">
      <c r="A1154" s="13"/>
      <c r="B1154" s="13"/>
      <c r="C1154" s="13"/>
      <c r="D1154" s="13"/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</row>
    <row r="1155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</row>
    <row r="1156">
      <c r="A1156" s="13"/>
      <c r="B1156" s="13"/>
      <c r="C1156" s="13"/>
      <c r="D1156" s="13"/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</row>
    <row r="1157">
      <c r="A1157" s="13"/>
      <c r="B1157" s="13"/>
      <c r="C1157" s="13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</row>
    <row r="1158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</row>
    <row r="1159">
      <c r="A1159" s="13"/>
      <c r="B1159" s="13"/>
      <c r="C1159" s="13"/>
      <c r="D1159" s="13"/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</row>
    <row r="1160">
      <c r="A1160" s="13"/>
      <c r="B1160" s="13"/>
      <c r="C1160" s="13"/>
      <c r="D1160" s="13"/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</row>
    <row r="1161">
      <c r="A1161" s="13"/>
      <c r="B1161" s="13"/>
      <c r="C1161" s="13"/>
      <c r="D1161" s="13"/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</row>
    <row r="1162">
      <c r="A1162" s="13"/>
      <c r="B1162" s="13"/>
      <c r="C1162" s="13"/>
      <c r="D1162" s="13"/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</row>
    <row r="1163">
      <c r="A1163" s="13"/>
      <c r="B1163" s="13"/>
      <c r="C1163" s="13"/>
      <c r="D1163" s="13"/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</row>
    <row r="1164">
      <c r="A1164" s="13"/>
      <c r="B1164" s="13"/>
      <c r="C1164" s="13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</row>
    <row r="1165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</row>
    <row r="1166">
      <c r="A1166" s="13"/>
      <c r="B1166" s="13"/>
      <c r="C1166" s="13"/>
      <c r="D1166" s="13"/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</row>
    <row r="1167">
      <c r="A1167" s="13"/>
      <c r="B1167" s="13"/>
      <c r="C1167" s="13"/>
      <c r="D1167" s="13"/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</row>
    <row r="1168">
      <c r="A1168" s="13"/>
      <c r="B1168" s="13"/>
      <c r="C1168" s="13"/>
      <c r="D1168" s="13"/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</row>
    <row r="1169">
      <c r="A1169" s="13"/>
      <c r="B1169" s="13"/>
      <c r="C1169" s="13"/>
      <c r="D1169" s="13"/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</row>
    <row r="1170">
      <c r="A1170" s="13"/>
      <c r="B1170" s="13"/>
      <c r="C1170" s="13"/>
      <c r="D1170" s="13"/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</row>
    <row r="1171">
      <c r="A1171" s="13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</row>
    <row r="1172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</row>
    <row r="1173">
      <c r="A1173" s="13"/>
      <c r="B1173" s="13"/>
      <c r="C1173" s="13"/>
      <c r="D1173" s="13"/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</row>
    <row r="1174">
      <c r="A1174" s="13"/>
      <c r="B1174" s="13"/>
      <c r="C1174" s="13"/>
      <c r="D1174" s="13"/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</row>
    <row r="1175">
      <c r="A1175" s="13"/>
      <c r="B1175" s="13"/>
      <c r="C1175" s="13"/>
      <c r="D1175" s="13"/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</row>
    <row r="1176">
      <c r="A1176" s="13"/>
      <c r="B1176" s="13"/>
      <c r="C1176" s="13"/>
      <c r="D1176" s="13"/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</row>
    <row r="1177">
      <c r="A1177" s="13"/>
      <c r="B1177" s="13"/>
      <c r="C1177" s="13"/>
      <c r="D1177" s="13"/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</row>
    <row r="1178">
      <c r="A1178" s="13"/>
      <c r="B1178" s="13"/>
      <c r="C1178" s="13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</row>
    <row r="1179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</row>
    <row r="1180">
      <c r="A1180" s="13"/>
      <c r="B1180" s="13"/>
      <c r="C1180" s="13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</row>
    <row r="1181">
      <c r="A1181" s="13"/>
      <c r="B1181" s="13"/>
      <c r="C1181" s="13"/>
      <c r="D1181" s="13"/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</row>
    <row r="1182">
      <c r="A1182" s="13"/>
      <c r="B1182" s="13"/>
      <c r="C1182" s="13"/>
      <c r="D1182" s="13"/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</row>
    <row r="1183">
      <c r="A1183" s="13"/>
      <c r="B1183" s="13"/>
      <c r="C1183" s="13"/>
      <c r="D1183" s="13"/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</row>
    <row r="1184">
      <c r="A1184" s="13"/>
      <c r="B1184" s="13"/>
      <c r="C1184" s="13"/>
      <c r="D1184" s="13"/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</row>
    <row r="1185">
      <c r="A1185" s="13"/>
      <c r="B1185" s="13"/>
      <c r="C1185" s="13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</row>
    <row r="1186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</row>
    <row r="1187">
      <c r="A1187" s="13"/>
      <c r="B1187" s="13"/>
      <c r="C1187" s="13"/>
      <c r="D1187" s="13"/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</row>
    <row r="1188">
      <c r="A1188" s="13"/>
      <c r="B1188" s="13"/>
      <c r="C1188" s="13"/>
      <c r="D1188" s="13"/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</row>
    <row r="1189">
      <c r="A1189" s="13"/>
      <c r="B1189" s="13"/>
      <c r="C1189" s="13"/>
      <c r="D1189" s="13"/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</row>
    <row r="1190">
      <c r="A1190" s="13"/>
      <c r="B1190" s="13"/>
      <c r="C1190" s="13"/>
      <c r="D1190" s="13"/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</row>
    <row r="1191">
      <c r="A1191" s="13"/>
      <c r="B1191" s="13"/>
      <c r="C1191" s="13"/>
      <c r="D1191" s="13"/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</row>
    <row r="1192">
      <c r="A1192" s="13"/>
      <c r="B1192" s="13"/>
      <c r="C1192" s="13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</row>
    <row r="1193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</row>
    <row r="1194">
      <c r="A1194" s="13"/>
      <c r="B1194" s="13"/>
      <c r="C1194" s="13"/>
      <c r="D1194" s="13"/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</row>
    <row r="1195">
      <c r="A1195" s="13"/>
      <c r="B1195" s="13"/>
      <c r="C1195" s="13"/>
      <c r="D1195" s="13"/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</row>
    <row r="1196">
      <c r="A1196" s="13"/>
      <c r="B1196" s="13"/>
      <c r="C1196" s="13"/>
      <c r="D1196" s="13"/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</row>
    <row r="1197">
      <c r="A1197" s="13"/>
      <c r="B1197" s="13"/>
      <c r="C1197" s="13"/>
      <c r="D1197" s="13"/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</row>
    <row r="1198">
      <c r="A1198" s="13"/>
      <c r="B1198" s="13"/>
      <c r="C1198" s="13"/>
      <c r="D1198" s="13"/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</row>
    <row r="1199">
      <c r="A1199" s="13"/>
      <c r="B1199" s="13"/>
      <c r="C1199" s="13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</row>
    <row r="1200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</row>
    <row r="1201">
      <c r="A1201" s="13"/>
      <c r="B1201" s="13"/>
      <c r="C1201" s="13"/>
      <c r="D1201" s="13"/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</row>
    <row r="1202">
      <c r="A1202" s="13"/>
      <c r="B1202" s="13"/>
      <c r="C1202" s="13"/>
      <c r="D1202" s="13"/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</row>
    <row r="1203">
      <c r="A1203" s="13"/>
      <c r="B1203" s="13"/>
      <c r="C1203" s="13"/>
      <c r="D1203" s="13"/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</row>
    <row r="1204">
      <c r="A1204" s="13"/>
      <c r="B1204" s="13"/>
      <c r="C1204" s="13"/>
      <c r="D1204" s="13"/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</row>
    <row r="1205">
      <c r="A1205" s="13"/>
      <c r="B1205" s="13"/>
      <c r="C1205" s="13"/>
      <c r="D1205" s="13"/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</row>
    <row r="1206">
      <c r="A1206" s="13"/>
      <c r="B1206" s="13"/>
      <c r="C1206" s="13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</row>
    <row r="1207">
      <c r="A1207" s="13"/>
      <c r="B1207" s="13"/>
      <c r="C1207" s="13"/>
      <c r="D1207" s="13"/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</row>
    <row r="1208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</row>
    <row r="1209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</row>
    <row r="1210">
      <c r="A1210" s="13"/>
      <c r="B1210" s="13"/>
      <c r="C1210" s="13"/>
      <c r="D1210" s="13"/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</row>
    <row r="1211">
      <c r="A1211" s="13"/>
      <c r="B1211" s="13"/>
      <c r="C1211" s="13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</row>
    <row r="1212">
      <c r="A1212" s="13"/>
      <c r="B1212" s="13"/>
      <c r="C1212" s="13"/>
      <c r="D1212" s="13"/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</row>
    <row r="1213">
      <c r="A1213" s="13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</row>
    <row r="1214">
      <c r="A1214" s="13"/>
      <c r="B1214" s="13"/>
      <c r="C1214" s="13"/>
      <c r="D1214" s="13"/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</row>
    <row r="1215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</row>
    <row r="1216">
      <c r="A1216" s="13"/>
      <c r="B1216" s="13"/>
      <c r="C1216" s="13"/>
      <c r="D1216" s="13"/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</row>
    <row r="1217">
      <c r="A1217" s="13"/>
      <c r="B1217" s="13"/>
      <c r="C1217" s="13"/>
      <c r="D1217" s="13"/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</row>
    <row r="1218">
      <c r="A1218" s="13"/>
      <c r="B1218" s="13"/>
      <c r="C1218" s="13"/>
      <c r="D1218" s="13"/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</row>
    <row r="1219">
      <c r="A1219" s="13"/>
      <c r="B1219" s="13"/>
      <c r="C1219" s="13"/>
      <c r="D1219" s="13"/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</row>
    <row r="1220">
      <c r="A1220" s="13"/>
      <c r="B1220" s="13"/>
      <c r="C1220" s="13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</row>
    <row r="1221">
      <c r="A1221" s="13"/>
      <c r="B1221" s="13"/>
      <c r="C1221" s="13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</row>
    <row r="1222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</row>
    <row r="1223">
      <c r="A1223" s="13"/>
      <c r="B1223" s="13"/>
      <c r="C1223" s="13"/>
      <c r="D1223" s="13"/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</row>
    <row r="1224">
      <c r="A1224" s="13"/>
      <c r="B1224" s="13"/>
      <c r="C1224" s="13"/>
      <c r="D1224" s="13"/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</row>
    <row r="1225">
      <c r="A1225" s="13"/>
      <c r="B1225" s="13"/>
      <c r="C1225" s="13"/>
      <c r="D1225" s="13"/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</row>
    <row r="1226">
      <c r="A1226" s="13"/>
      <c r="B1226" s="13"/>
      <c r="C1226" s="13"/>
      <c r="D1226" s="13"/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</row>
    <row r="1227">
      <c r="A1227" s="13"/>
      <c r="B1227" s="13"/>
      <c r="C1227" s="13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</row>
    <row r="1228">
      <c r="A1228" s="13"/>
      <c r="B1228" s="13"/>
      <c r="C1228" s="13"/>
      <c r="D1228" s="13"/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</row>
    <row r="1229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</row>
    <row r="1230">
      <c r="A1230" s="13"/>
      <c r="B1230" s="13"/>
      <c r="C1230" s="13"/>
      <c r="D1230" s="13"/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</row>
    <row r="1231">
      <c r="A1231" s="13"/>
      <c r="B1231" s="13"/>
      <c r="C1231" s="13"/>
      <c r="D1231" s="13"/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</row>
    <row r="1232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</row>
    <row r="1233">
      <c r="A1233" s="13"/>
      <c r="B1233" s="13"/>
      <c r="C1233" s="13"/>
      <c r="D1233" s="13"/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</row>
    <row r="1234">
      <c r="A1234" s="13"/>
      <c r="B1234" s="13"/>
      <c r="C1234" s="13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</row>
    <row r="1235">
      <c r="A1235" s="13"/>
      <c r="B1235" s="13"/>
      <c r="C1235" s="13"/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</row>
    <row r="1236">
      <c r="A1236" s="13"/>
      <c r="B1236" s="13"/>
      <c r="C1236" s="13"/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</row>
    <row r="1237">
      <c r="A1237" s="13"/>
      <c r="B1237" s="13"/>
      <c r="C1237" s="13"/>
      <c r="D1237" s="13"/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</row>
    <row r="1238">
      <c r="A1238" s="13"/>
      <c r="B1238" s="13"/>
      <c r="C1238" s="13"/>
      <c r="D1238" s="13"/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</row>
    <row r="1239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</row>
    <row r="1240">
      <c r="A1240" s="13"/>
      <c r="B1240" s="13"/>
      <c r="C1240" s="13"/>
      <c r="D1240" s="13"/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</row>
    <row r="1241">
      <c r="A1241" s="13"/>
      <c r="B1241" s="13"/>
      <c r="C1241" s="13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</row>
    <row r="1242">
      <c r="A1242" s="13"/>
      <c r="B1242" s="13"/>
      <c r="C1242" s="13"/>
      <c r="D1242" s="13"/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</row>
    <row r="1243">
      <c r="A1243" s="13"/>
      <c r="B1243" s="13"/>
      <c r="C1243" s="13"/>
      <c r="D1243" s="13"/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</row>
    <row r="1244">
      <c r="A1244" s="13"/>
      <c r="B1244" s="13"/>
      <c r="C1244" s="13"/>
      <c r="D1244" s="13"/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</row>
    <row r="1245">
      <c r="A1245" s="13"/>
      <c r="B1245" s="13"/>
      <c r="C1245" s="13"/>
      <c r="D1245" s="13"/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</row>
    <row r="1246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</row>
    <row r="1247">
      <c r="A1247" s="13"/>
      <c r="B1247" s="13"/>
      <c r="C1247" s="13"/>
      <c r="D1247" s="13"/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</row>
    <row r="1248">
      <c r="A1248" s="13"/>
      <c r="B1248" s="13"/>
      <c r="C1248" s="13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</row>
    <row r="1249">
      <c r="A1249" s="13"/>
      <c r="B1249" s="13"/>
      <c r="C1249" s="13"/>
      <c r="D1249" s="13"/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</row>
    <row r="1250">
      <c r="A1250" s="13"/>
      <c r="B1250" s="13"/>
      <c r="C1250" s="13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</row>
    <row r="1251">
      <c r="A1251" s="13"/>
      <c r="B1251" s="13"/>
      <c r="C1251" s="13"/>
      <c r="D1251" s="13"/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</row>
    <row r="1252">
      <c r="A1252" s="13"/>
      <c r="B1252" s="13"/>
      <c r="C1252" s="13"/>
      <c r="D1252" s="13"/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</row>
    <row r="1253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</row>
    <row r="1254">
      <c r="A1254" s="13"/>
      <c r="B1254" s="13"/>
      <c r="C1254" s="13"/>
      <c r="D1254" s="13"/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</row>
    <row r="1255">
      <c r="A1255" s="13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</row>
    <row r="1256">
      <c r="A1256" s="13"/>
      <c r="B1256" s="13"/>
      <c r="C1256" s="13"/>
      <c r="D1256" s="13"/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</row>
    <row r="1257">
      <c r="A1257" s="13"/>
      <c r="B1257" s="13"/>
      <c r="C1257" s="13"/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</row>
    <row r="1258">
      <c r="A1258" s="13"/>
      <c r="B1258" s="13"/>
      <c r="C1258" s="13"/>
      <c r="D1258" s="13"/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</row>
    <row r="1259">
      <c r="A1259" s="13"/>
      <c r="B1259" s="13"/>
      <c r="C1259" s="13"/>
      <c r="D1259" s="13"/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</row>
    <row r="1260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</row>
    <row r="1261">
      <c r="A1261" s="13"/>
      <c r="B1261" s="13"/>
      <c r="C1261" s="13"/>
      <c r="D1261" s="13"/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</row>
    <row r="1262">
      <c r="A1262" s="13"/>
      <c r="B1262" s="13"/>
      <c r="C1262" s="13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</row>
    <row r="1263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</row>
    <row r="1264">
      <c r="A1264" s="13"/>
      <c r="B1264" s="13"/>
      <c r="C1264" s="13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</row>
    <row r="1265">
      <c r="A1265" s="13"/>
      <c r="B1265" s="13"/>
      <c r="C1265" s="13"/>
      <c r="D1265" s="13"/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</row>
    <row r="1266">
      <c r="A1266" s="13"/>
      <c r="B1266" s="13"/>
      <c r="C1266" s="13"/>
      <c r="D1266" s="13"/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</row>
    <row r="1267">
      <c r="A1267" s="13"/>
      <c r="B1267" s="13"/>
      <c r="C1267" s="13"/>
      <c r="D1267" s="13"/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</row>
    <row r="1268">
      <c r="A1268" s="13"/>
      <c r="B1268" s="13"/>
      <c r="C1268" s="13"/>
      <c r="D1268" s="13"/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</row>
    <row r="1269">
      <c r="A1269" s="13"/>
      <c r="B1269" s="13"/>
      <c r="C1269" s="13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</row>
    <row r="1270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</row>
    <row r="1271">
      <c r="A1271" s="13"/>
      <c r="B1271" s="13"/>
      <c r="C1271" s="13"/>
      <c r="D1271" s="13"/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</row>
    <row r="1272">
      <c r="A1272" s="13"/>
      <c r="B1272" s="13"/>
      <c r="C1272" s="13"/>
      <c r="D1272" s="13"/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</row>
    <row r="1273">
      <c r="A1273" s="13"/>
      <c r="B1273" s="13"/>
      <c r="C1273" s="13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</row>
    <row r="1274">
      <c r="A1274" s="13"/>
      <c r="B1274" s="13"/>
      <c r="C1274" s="13"/>
      <c r="D1274" s="13"/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</row>
    <row r="1275">
      <c r="A1275" s="13"/>
      <c r="B1275" s="13"/>
      <c r="C1275" s="13"/>
      <c r="D1275" s="13"/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</row>
    <row r="1276">
      <c r="A1276" s="13"/>
      <c r="B1276" s="13"/>
      <c r="C1276" s="13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</row>
    <row r="1277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</row>
    <row r="1278">
      <c r="A1278" s="13"/>
      <c r="B1278" s="13"/>
      <c r="C1278" s="13"/>
      <c r="D1278" s="13"/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</row>
    <row r="1279">
      <c r="A1279" s="13"/>
      <c r="B1279" s="13"/>
      <c r="C1279" s="13"/>
      <c r="D1279" s="13"/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</row>
    <row r="1280">
      <c r="A1280" s="13"/>
      <c r="B1280" s="13"/>
      <c r="C1280" s="13"/>
      <c r="D1280" s="13"/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</row>
    <row r="1281">
      <c r="A1281" s="13"/>
      <c r="B1281" s="13"/>
      <c r="C1281" s="13"/>
      <c r="D1281" s="13"/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</row>
    <row r="1282">
      <c r="A1282" s="13"/>
      <c r="B1282" s="13"/>
      <c r="C1282" s="13"/>
      <c r="D1282" s="13"/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</row>
    <row r="1283">
      <c r="A1283" s="13"/>
      <c r="B1283" s="13"/>
      <c r="C1283" s="13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</row>
    <row r="1284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</row>
    <row r="1285">
      <c r="A1285" s="13"/>
      <c r="B1285" s="13"/>
      <c r="C1285" s="13"/>
      <c r="D1285" s="13"/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</row>
    <row r="1286">
      <c r="A1286" s="13"/>
      <c r="B1286" s="13"/>
      <c r="C1286" s="13"/>
      <c r="D1286" s="13"/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</row>
    <row r="1287">
      <c r="A1287" s="13"/>
      <c r="B1287" s="13"/>
      <c r="C1287" s="13"/>
      <c r="D1287" s="13"/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</row>
    <row r="1288">
      <c r="A1288" s="13"/>
      <c r="B1288" s="13"/>
      <c r="C1288" s="13"/>
      <c r="D1288" s="13"/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</row>
    <row r="1289">
      <c r="A1289" s="13"/>
      <c r="B1289" s="13"/>
      <c r="C1289" s="13"/>
      <c r="D1289" s="13"/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</row>
    <row r="1290">
      <c r="A1290" s="13"/>
      <c r="B1290" s="13"/>
      <c r="C1290" s="13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</row>
    <row r="1291">
      <c r="A1291" s="13"/>
      <c r="B1291" s="13"/>
      <c r="C1291" s="13"/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</row>
    <row r="1292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</row>
    <row r="1293">
      <c r="A1293" s="13"/>
      <c r="B1293" s="13"/>
      <c r="C1293" s="13"/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</row>
    <row r="1294">
      <c r="A1294" s="13"/>
      <c r="B1294" s="13"/>
      <c r="C1294" s="13"/>
      <c r="D1294" s="13"/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</row>
    <row r="1295">
      <c r="A1295" s="13"/>
      <c r="B1295" s="13"/>
      <c r="C1295" s="13"/>
      <c r="D1295" s="13"/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</row>
    <row r="1296">
      <c r="A1296" s="13"/>
      <c r="B1296" s="13"/>
      <c r="C1296" s="13"/>
      <c r="D1296" s="13"/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</row>
    <row r="1297">
      <c r="A1297" s="13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</row>
    <row r="1298">
      <c r="A1298" s="13"/>
      <c r="B1298" s="13"/>
      <c r="C1298" s="13"/>
      <c r="D1298" s="13"/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</row>
    <row r="1299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</row>
    <row r="1300">
      <c r="A1300" s="13"/>
      <c r="B1300" s="13"/>
      <c r="C1300" s="13"/>
      <c r="D1300" s="13"/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</row>
    <row r="1301">
      <c r="A1301" s="13"/>
      <c r="B1301" s="13"/>
      <c r="C1301" s="13"/>
      <c r="D1301" s="13"/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</row>
    <row r="1302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</row>
    <row r="1303">
      <c r="A1303" s="13"/>
      <c r="B1303" s="13"/>
      <c r="C1303" s="13"/>
      <c r="D1303" s="13"/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</row>
    <row r="1304">
      <c r="A1304" s="13"/>
      <c r="B1304" s="13"/>
      <c r="C1304" s="13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</row>
    <row r="1305">
      <c r="A1305" s="13"/>
      <c r="B1305" s="13"/>
      <c r="C1305" s="13"/>
      <c r="D1305" s="13"/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</row>
    <row r="1306">
      <c r="A1306" s="13"/>
      <c r="B1306" s="13"/>
      <c r="C1306" s="13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</row>
    <row r="1307">
      <c r="A1307" s="13"/>
      <c r="B1307" s="13"/>
      <c r="C1307" s="13"/>
      <c r="D1307" s="13"/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</row>
    <row r="1308">
      <c r="A1308" s="13"/>
      <c r="B1308" s="13"/>
      <c r="C1308" s="13"/>
      <c r="D1308" s="13"/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</row>
    <row r="1309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</row>
    <row r="1310">
      <c r="A1310" s="13"/>
      <c r="B1310" s="13"/>
      <c r="C1310" s="13"/>
      <c r="D1310" s="13"/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</row>
    <row r="1311">
      <c r="A1311" s="13"/>
      <c r="B1311" s="13"/>
      <c r="C1311" s="13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</row>
    <row r="1312">
      <c r="A1312" s="13"/>
      <c r="B1312" s="13"/>
      <c r="C1312" s="13"/>
      <c r="D1312" s="13"/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</row>
    <row r="1313">
      <c r="A1313" s="13"/>
      <c r="B1313" s="13"/>
      <c r="C1313" s="13"/>
      <c r="D1313" s="13"/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</row>
    <row r="1314">
      <c r="A1314" s="13"/>
      <c r="B1314" s="13"/>
      <c r="C1314" s="13"/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</row>
    <row r="1315">
      <c r="A1315" s="13"/>
      <c r="B1315" s="13"/>
      <c r="C1315" s="13"/>
      <c r="D1315" s="13"/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</row>
    <row r="1316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</row>
    <row r="1317">
      <c r="A1317" s="13"/>
      <c r="B1317" s="13"/>
      <c r="C1317" s="13"/>
      <c r="D1317" s="13"/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</row>
    <row r="1318">
      <c r="A1318" s="13"/>
      <c r="B1318" s="13"/>
      <c r="C1318" s="13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</row>
    <row r="1319">
      <c r="A1319" s="13"/>
      <c r="B1319" s="13"/>
      <c r="C1319" s="13"/>
      <c r="D1319" s="13"/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</row>
    <row r="1320">
      <c r="A1320" s="13"/>
      <c r="B1320" s="13"/>
      <c r="C1320" s="13"/>
      <c r="D1320" s="13"/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</row>
    <row r="1321">
      <c r="A1321" s="13"/>
      <c r="B1321" s="13"/>
      <c r="C1321" s="13"/>
      <c r="D1321" s="13"/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</row>
    <row r="1322">
      <c r="A1322" s="13"/>
      <c r="B1322" s="13"/>
      <c r="C1322" s="13"/>
      <c r="D1322" s="13"/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</row>
    <row r="1323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</row>
    <row r="1324">
      <c r="A1324" s="13"/>
      <c r="B1324" s="13"/>
      <c r="C1324" s="13"/>
      <c r="D1324" s="13"/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</row>
    <row r="1325">
      <c r="A1325" s="13"/>
      <c r="B1325" s="13"/>
      <c r="C1325" s="13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</row>
    <row r="1326">
      <c r="A1326" s="13"/>
      <c r="B1326" s="13"/>
      <c r="C1326" s="13"/>
      <c r="D1326" s="13"/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</row>
    <row r="1327">
      <c r="A1327" s="13"/>
      <c r="B1327" s="13"/>
      <c r="C1327" s="13"/>
      <c r="D1327" s="13"/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</row>
    <row r="1328">
      <c r="A1328" s="13"/>
      <c r="B1328" s="13"/>
      <c r="C1328" s="13"/>
      <c r="D1328" s="13"/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</row>
    <row r="1329">
      <c r="A1329" s="13"/>
      <c r="B1329" s="13"/>
      <c r="C1329" s="13"/>
      <c r="D1329" s="13"/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</row>
    <row r="1330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</row>
    <row r="1331">
      <c r="A1331" s="13"/>
      <c r="B1331" s="13"/>
      <c r="C1331" s="13"/>
      <c r="D1331" s="13"/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</row>
    <row r="1332">
      <c r="A1332" s="13"/>
      <c r="B1332" s="13"/>
      <c r="C1332" s="13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</row>
    <row r="1333">
      <c r="A1333" s="13"/>
      <c r="B1333" s="13"/>
      <c r="C1333" s="13"/>
      <c r="D1333" s="13"/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</row>
    <row r="1334">
      <c r="A1334" s="13"/>
      <c r="B1334" s="13"/>
      <c r="C1334" s="13"/>
      <c r="D1334" s="13"/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</row>
    <row r="1335">
      <c r="A1335" s="13"/>
      <c r="B1335" s="13"/>
      <c r="C1335" s="13"/>
      <c r="D1335" s="13"/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</row>
    <row r="1336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</row>
    <row r="1337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</row>
    <row r="1338">
      <c r="A1338" s="13"/>
      <c r="B1338" s="13"/>
      <c r="C1338" s="13"/>
      <c r="D1338" s="13"/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</row>
    <row r="1339">
      <c r="A1339" s="13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</row>
    <row r="1340">
      <c r="A1340" s="13"/>
      <c r="B1340" s="13"/>
      <c r="C1340" s="13"/>
      <c r="D1340" s="13"/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</row>
    <row r="1341">
      <c r="A1341" s="13"/>
      <c r="B1341" s="13"/>
      <c r="C1341" s="13"/>
      <c r="D1341" s="13"/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</row>
    <row r="1342">
      <c r="A1342" s="13"/>
      <c r="B1342" s="13"/>
      <c r="C1342" s="13"/>
      <c r="D1342" s="13"/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</row>
    <row r="1343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</row>
    <row r="1344">
      <c r="A1344" s="13"/>
      <c r="B1344" s="13"/>
      <c r="C1344" s="13"/>
      <c r="D1344" s="13"/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</row>
    <row r="1345">
      <c r="A1345" s="13"/>
      <c r="B1345" s="13"/>
      <c r="C1345" s="13"/>
      <c r="D1345" s="13"/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</row>
    <row r="1346">
      <c r="A1346" s="13"/>
      <c r="B1346" s="13"/>
      <c r="C1346" s="13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</row>
    <row r="1347">
      <c r="A1347" s="13"/>
      <c r="B1347" s="13"/>
      <c r="C1347" s="13"/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</row>
    <row r="1348">
      <c r="A1348" s="13"/>
      <c r="B1348" s="13"/>
      <c r="C1348" s="13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</row>
    <row r="1349">
      <c r="A1349" s="13"/>
      <c r="B1349" s="13"/>
      <c r="C1349" s="13"/>
      <c r="D1349" s="13"/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</row>
    <row r="1350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</row>
    <row r="1351">
      <c r="A1351" s="13"/>
      <c r="B1351" s="13"/>
      <c r="C1351" s="13"/>
      <c r="D1351" s="13"/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</row>
    <row r="1352">
      <c r="A1352" s="13"/>
      <c r="B1352" s="13"/>
      <c r="C1352" s="13"/>
      <c r="D1352" s="13"/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</row>
    <row r="1353">
      <c r="A1353" s="13"/>
      <c r="B1353" s="13"/>
      <c r="C1353" s="13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</row>
    <row r="1354">
      <c r="A1354" s="13"/>
      <c r="B1354" s="13"/>
      <c r="C1354" s="13"/>
      <c r="D1354" s="13"/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</row>
    <row r="1355">
      <c r="A1355" s="13"/>
      <c r="B1355" s="13"/>
      <c r="C1355" s="13"/>
      <c r="D1355" s="13"/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</row>
    <row r="1356">
      <c r="A1356" s="13"/>
      <c r="B1356" s="13"/>
      <c r="C1356" s="13"/>
      <c r="D1356" s="13"/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</row>
    <row r="1357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</row>
    <row r="1358">
      <c r="A1358" s="13"/>
      <c r="B1358" s="13"/>
      <c r="C1358" s="13"/>
      <c r="D1358" s="13"/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</row>
    <row r="1359">
      <c r="A1359" s="13"/>
      <c r="B1359" s="13"/>
      <c r="C1359" s="13"/>
      <c r="D1359" s="13"/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</row>
    <row r="1360">
      <c r="A1360" s="13"/>
      <c r="B1360" s="13"/>
      <c r="C1360" s="13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</row>
    <row r="1361">
      <c r="A1361" s="13"/>
      <c r="B1361" s="13"/>
      <c r="C1361" s="13"/>
      <c r="D1361" s="13"/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</row>
    <row r="1362">
      <c r="A1362" s="13"/>
      <c r="B1362" s="13"/>
      <c r="C1362" s="13"/>
      <c r="D1362" s="13"/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</row>
    <row r="1363">
      <c r="A1363" s="13"/>
      <c r="B1363" s="13"/>
      <c r="C1363" s="13"/>
      <c r="D1363" s="13"/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</row>
    <row r="1364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</row>
    <row r="1365">
      <c r="A1365" s="13"/>
      <c r="B1365" s="13"/>
      <c r="C1365" s="13"/>
      <c r="D1365" s="13"/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</row>
    <row r="1366">
      <c r="A1366" s="13"/>
      <c r="B1366" s="13"/>
      <c r="C1366" s="13"/>
      <c r="D1366" s="13"/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</row>
    <row r="1367">
      <c r="A1367" s="13"/>
      <c r="B1367" s="13"/>
      <c r="C1367" s="13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</row>
    <row r="1368">
      <c r="A1368" s="13"/>
      <c r="B1368" s="13"/>
      <c r="C1368" s="13"/>
      <c r="D1368" s="13"/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</row>
    <row r="1369">
      <c r="A1369" s="13"/>
      <c r="B1369" s="13"/>
      <c r="C1369" s="13"/>
      <c r="D1369" s="13"/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</row>
    <row r="1370">
      <c r="A1370" s="13"/>
      <c r="B1370" s="13"/>
      <c r="C1370" s="13"/>
      <c r="D1370" s="13"/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</row>
    <row r="137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</row>
    <row r="1372">
      <c r="A1372" s="13"/>
      <c r="B1372" s="13"/>
      <c r="C1372" s="13"/>
      <c r="D1372" s="13"/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</row>
    <row r="1373">
      <c r="A1373" s="13"/>
      <c r="B1373" s="13"/>
      <c r="C1373" s="13"/>
      <c r="D1373" s="13"/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</row>
    <row r="1374">
      <c r="A1374" s="13"/>
      <c r="B1374" s="13"/>
      <c r="C1374" s="13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</row>
    <row r="1375">
      <c r="A1375" s="13"/>
      <c r="B1375" s="13"/>
      <c r="C1375" s="13"/>
      <c r="D1375" s="13"/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</row>
    <row r="1376">
      <c r="A1376" s="13"/>
      <c r="B1376" s="13"/>
      <c r="C1376" s="13"/>
      <c r="D1376" s="13"/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</row>
    <row r="1377">
      <c r="A1377" s="13"/>
      <c r="B1377" s="13"/>
      <c r="C1377" s="13"/>
      <c r="D1377" s="13"/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</row>
    <row r="1378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</row>
    <row r="1379">
      <c r="A1379" s="13"/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</row>
    <row r="1380">
      <c r="A1380" s="13"/>
      <c r="B1380" s="13"/>
      <c r="C1380" s="13"/>
      <c r="D1380" s="13"/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</row>
    <row r="1381">
      <c r="A1381" s="13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</row>
    <row r="1382">
      <c r="A1382" s="13"/>
      <c r="B1382" s="13"/>
      <c r="C1382" s="13"/>
      <c r="D1382" s="13"/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</row>
    <row r="1383">
      <c r="A1383" s="13"/>
      <c r="B1383" s="13"/>
      <c r="C1383" s="13"/>
      <c r="D1383" s="13"/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</row>
    <row r="1384">
      <c r="A1384" s="13"/>
      <c r="B1384" s="13"/>
      <c r="C1384" s="13"/>
      <c r="D1384" s="13"/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</row>
    <row r="1385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</row>
    <row r="1386">
      <c r="A1386" s="13"/>
      <c r="B1386" s="13"/>
      <c r="C1386" s="13"/>
      <c r="D1386" s="13"/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</row>
    <row r="1387">
      <c r="A1387" s="13"/>
      <c r="B1387" s="13"/>
      <c r="C1387" s="13"/>
      <c r="D1387" s="13"/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</row>
    <row r="1388">
      <c r="A1388" s="13"/>
      <c r="B1388" s="13"/>
      <c r="C1388" s="13"/>
      <c r="D1388" s="13"/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</row>
    <row r="1389">
      <c r="A1389" s="13"/>
      <c r="B1389" s="13"/>
      <c r="C1389" s="13"/>
      <c r="D1389" s="13"/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</row>
    <row r="1390">
      <c r="A1390" s="13"/>
      <c r="B1390" s="13"/>
      <c r="C1390" s="13"/>
      <c r="D1390" s="13"/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</row>
    <row r="1391">
      <c r="A1391" s="13"/>
      <c r="B1391" s="13"/>
      <c r="C1391" s="13"/>
      <c r="D1391" s="13"/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</row>
    <row r="1392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</row>
    <row r="1393">
      <c r="A1393" s="13"/>
      <c r="B1393" s="13"/>
      <c r="C1393" s="13"/>
      <c r="D1393" s="13"/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</row>
    <row r="1394">
      <c r="A1394" s="13"/>
      <c r="B1394" s="13"/>
      <c r="C1394" s="13"/>
      <c r="D1394" s="13"/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</row>
    <row r="1395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</row>
    <row r="1396">
      <c r="A1396" s="13"/>
      <c r="B1396" s="13"/>
      <c r="C1396" s="13"/>
      <c r="D1396" s="13"/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</row>
    <row r="1397">
      <c r="A1397" s="13"/>
      <c r="B1397" s="13"/>
      <c r="C1397" s="13"/>
      <c r="D1397" s="13"/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</row>
    <row r="1398">
      <c r="A1398" s="13"/>
      <c r="B1398" s="13"/>
      <c r="C1398" s="13"/>
      <c r="D1398" s="13"/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</row>
    <row r="1399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</row>
    <row r="1400">
      <c r="A1400" s="13"/>
      <c r="B1400" s="13"/>
      <c r="C1400" s="13"/>
      <c r="D1400" s="13"/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</row>
    <row r="1401">
      <c r="A1401" s="13"/>
      <c r="B1401" s="13"/>
      <c r="C1401" s="13"/>
      <c r="D1401" s="13"/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</row>
    <row r="1402">
      <c r="A1402" s="13"/>
      <c r="B1402" s="13"/>
      <c r="C1402" s="13"/>
      <c r="D1402" s="13"/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</row>
    <row r="1403">
      <c r="A1403" s="13"/>
      <c r="B1403" s="13"/>
      <c r="C1403" s="13"/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</row>
    <row r="1404">
      <c r="A1404" s="13"/>
      <c r="B1404" s="13"/>
      <c r="C1404" s="13"/>
      <c r="D1404" s="13"/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</row>
    <row r="1405">
      <c r="A1405" s="13"/>
      <c r="B1405" s="13"/>
      <c r="C1405" s="13"/>
      <c r="D1405" s="13"/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</row>
    <row r="1406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</row>
    <row r="1407">
      <c r="A1407" s="13"/>
      <c r="B1407" s="13"/>
      <c r="C1407" s="13"/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</row>
    <row r="1408">
      <c r="A1408" s="13"/>
      <c r="B1408" s="13"/>
      <c r="C1408" s="13"/>
      <c r="D1408" s="13"/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</row>
    <row r="1409">
      <c r="A1409" s="13"/>
      <c r="B1409" s="13"/>
      <c r="C1409" s="13"/>
      <c r="D1409" s="13"/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</row>
    <row r="1410">
      <c r="A1410" s="13"/>
      <c r="B1410" s="13"/>
      <c r="C1410" s="13"/>
      <c r="D1410" s="13"/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</row>
    <row r="1411">
      <c r="A1411" s="13"/>
      <c r="B1411" s="13"/>
      <c r="C1411" s="13"/>
      <c r="D1411" s="13"/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</row>
    <row r="1412">
      <c r="A1412" s="13"/>
      <c r="B1412" s="13"/>
      <c r="C1412" s="13"/>
      <c r="D1412" s="13"/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</row>
    <row r="1413">
      <c r="A1413" s="13"/>
      <c r="B1413" s="13"/>
      <c r="C1413" s="13"/>
      <c r="D1413" s="13"/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</row>
    <row r="1414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</row>
    <row r="1415">
      <c r="A1415" s="13"/>
      <c r="B1415" s="13"/>
      <c r="C1415" s="13"/>
      <c r="D1415" s="13"/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</row>
    <row r="1416">
      <c r="A1416" s="13"/>
      <c r="B1416" s="13"/>
      <c r="C1416" s="13"/>
      <c r="D1416" s="13"/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</row>
    <row r="1417">
      <c r="A1417" s="13"/>
      <c r="B1417" s="13"/>
      <c r="C1417" s="13"/>
      <c r="D1417" s="13"/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</row>
    <row r="1418">
      <c r="A1418" s="13"/>
      <c r="B1418" s="13"/>
      <c r="C1418" s="13"/>
      <c r="D1418" s="13"/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</row>
    <row r="1419">
      <c r="A1419" s="13"/>
      <c r="B1419" s="13"/>
      <c r="C1419" s="13"/>
      <c r="D1419" s="13"/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</row>
    <row r="1420">
      <c r="A1420" s="13"/>
      <c r="B1420" s="13"/>
      <c r="C1420" s="13"/>
      <c r="D1420" s="13"/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</row>
    <row r="142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</row>
    <row r="1422">
      <c r="A1422" s="13"/>
      <c r="B1422" s="13"/>
      <c r="C1422" s="13"/>
      <c r="D1422" s="13"/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</row>
    <row r="1423">
      <c r="A1423" s="13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</row>
    <row r="1424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</row>
    <row r="1425">
      <c r="A1425" s="13"/>
      <c r="B1425" s="13"/>
      <c r="C1425" s="13"/>
      <c r="D1425" s="13"/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</row>
    <row r="1426">
      <c r="A1426" s="13"/>
      <c r="B1426" s="13"/>
      <c r="C1426" s="13"/>
      <c r="D1426" s="13"/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</row>
    <row r="1427">
      <c r="A1427" s="13"/>
      <c r="B1427" s="13"/>
      <c r="C1427" s="13"/>
      <c r="D1427" s="13"/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</row>
    <row r="1428">
      <c r="A1428" s="13"/>
      <c r="B1428" s="13"/>
      <c r="C1428" s="13"/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</row>
    <row r="1429">
      <c r="A1429" s="13"/>
      <c r="B1429" s="13"/>
      <c r="C1429" s="13"/>
      <c r="D1429" s="13"/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</row>
    <row r="1430">
      <c r="A1430" s="13"/>
      <c r="B1430" s="13"/>
      <c r="C1430" s="13"/>
      <c r="D1430" s="13"/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</row>
    <row r="143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</row>
    <row r="1432">
      <c r="A1432" s="13"/>
      <c r="B1432" s="13"/>
      <c r="C1432" s="13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</row>
    <row r="1433">
      <c r="A1433" s="13"/>
      <c r="B1433" s="13"/>
      <c r="C1433" s="13"/>
      <c r="D1433" s="13"/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</row>
    <row r="1434">
      <c r="A1434" s="13"/>
      <c r="B1434" s="13"/>
      <c r="C1434" s="13"/>
      <c r="D1434" s="13"/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</row>
    <row r="1435">
      <c r="A1435" s="13"/>
      <c r="B1435" s="13"/>
      <c r="C1435" s="13"/>
      <c r="D1435" s="13"/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</row>
    <row r="1436">
      <c r="A1436" s="13"/>
      <c r="B1436" s="13"/>
      <c r="C1436" s="13"/>
      <c r="D1436" s="13"/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</row>
    <row r="1437">
      <c r="A1437" s="13"/>
      <c r="B1437" s="13"/>
      <c r="C1437" s="13"/>
      <c r="D1437" s="13"/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</row>
    <row r="1438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</row>
    <row r="1439">
      <c r="A1439" s="13"/>
      <c r="B1439" s="13"/>
      <c r="C1439" s="13"/>
      <c r="D1439" s="13"/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</row>
    <row r="1440">
      <c r="A1440" s="13"/>
      <c r="B1440" s="13"/>
      <c r="C1440" s="13"/>
      <c r="D1440" s="13"/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</row>
    <row r="1441">
      <c r="A1441" s="13"/>
      <c r="B1441" s="13"/>
      <c r="C1441" s="13"/>
      <c r="D1441" s="13"/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</row>
    <row r="1442">
      <c r="A1442" s="13"/>
      <c r="B1442" s="13"/>
      <c r="C1442" s="13"/>
      <c r="D1442" s="13"/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</row>
    <row r="1443">
      <c r="A1443" s="13"/>
      <c r="B1443" s="13"/>
      <c r="C1443" s="13"/>
      <c r="D1443" s="13"/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</row>
    <row r="1444">
      <c r="A1444" s="13"/>
      <c r="B1444" s="13"/>
      <c r="C1444" s="13"/>
      <c r="D1444" s="13"/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</row>
    <row r="1445">
      <c r="A1445" s="13"/>
      <c r="B1445" s="13"/>
      <c r="C1445" s="13"/>
      <c r="D1445" s="13"/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</row>
    <row r="1446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</row>
    <row r="1447">
      <c r="A1447" s="13"/>
      <c r="B1447" s="13"/>
      <c r="C1447" s="13"/>
      <c r="D1447" s="13"/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</row>
    <row r="1448">
      <c r="A1448" s="13"/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</row>
    <row r="1449">
      <c r="A1449" s="13"/>
      <c r="B1449" s="13"/>
      <c r="C1449" s="13"/>
      <c r="D1449" s="13"/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</row>
    <row r="1450">
      <c r="A1450" s="13"/>
      <c r="B1450" s="13"/>
      <c r="C1450" s="13"/>
      <c r="D1450" s="13"/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</row>
    <row r="1451">
      <c r="A1451" s="13"/>
      <c r="B1451" s="13"/>
      <c r="C1451" s="13"/>
      <c r="D1451" s="13"/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</row>
    <row r="1452">
      <c r="A1452" s="13"/>
      <c r="B1452" s="13"/>
      <c r="C1452" s="13"/>
      <c r="D1452" s="13"/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</row>
    <row r="1453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</row>
    <row r="1454">
      <c r="A1454" s="13"/>
      <c r="B1454" s="13"/>
      <c r="C1454" s="13"/>
      <c r="D1454" s="13"/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</row>
    <row r="1455">
      <c r="A1455" s="13"/>
      <c r="B1455" s="13"/>
      <c r="C1455" s="13"/>
      <c r="D1455" s="13"/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</row>
    <row r="1456">
      <c r="A1456" s="13"/>
      <c r="B1456" s="13"/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</row>
    <row r="1457">
      <c r="A1457" s="13"/>
      <c r="B1457" s="13"/>
      <c r="C1457" s="13"/>
      <c r="D1457" s="13"/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</row>
    <row r="1458">
      <c r="A1458" s="13"/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</row>
    <row r="1459">
      <c r="A1459" s="13"/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</row>
    <row r="1460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</row>
    <row r="1461">
      <c r="A1461" s="13"/>
      <c r="B1461" s="13"/>
      <c r="C1461" s="13"/>
      <c r="D1461" s="13"/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</row>
    <row r="1462">
      <c r="A1462" s="13"/>
      <c r="B1462" s="13"/>
      <c r="C1462" s="13"/>
      <c r="D1462" s="13"/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</row>
    <row r="1463">
      <c r="A1463" s="13"/>
      <c r="B1463" s="13"/>
      <c r="C1463" s="13"/>
      <c r="D1463" s="13"/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</row>
    <row r="1464">
      <c r="A1464" s="13"/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</row>
    <row r="1465">
      <c r="A1465" s="13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</row>
    <row r="1466">
      <c r="A1466" s="13"/>
      <c r="B1466" s="13"/>
      <c r="C1466" s="13"/>
      <c r="D1466" s="13"/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</row>
    <row r="1467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</row>
    <row r="1468">
      <c r="A1468" s="13"/>
      <c r="B1468" s="13"/>
      <c r="C1468" s="13"/>
      <c r="D1468" s="13"/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</row>
    <row r="1469">
      <c r="A1469" s="13"/>
      <c r="B1469" s="13"/>
      <c r="C1469" s="13"/>
      <c r="D1469" s="13"/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</row>
    <row r="1470">
      <c r="A1470" s="13"/>
      <c r="B1470" s="13"/>
      <c r="C1470" s="13"/>
      <c r="D1470" s="13"/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</row>
    <row r="1471">
      <c r="A1471" s="13"/>
      <c r="B1471" s="13"/>
      <c r="C1471" s="13"/>
      <c r="D1471" s="13"/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</row>
    <row r="1472">
      <c r="A1472" s="13"/>
      <c r="B1472" s="13"/>
      <c r="C1472" s="13"/>
      <c r="D1472" s="13"/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</row>
    <row r="1473">
      <c r="A1473" s="13"/>
      <c r="B1473" s="13"/>
      <c r="C1473" s="13"/>
      <c r="D1473" s="13"/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</row>
    <row r="1474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</row>
    <row r="1475">
      <c r="A1475" s="13"/>
      <c r="B1475" s="13"/>
      <c r="C1475" s="13"/>
      <c r="D1475" s="13"/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</row>
    <row r="1476">
      <c r="A1476" s="13"/>
      <c r="B1476" s="13"/>
      <c r="C1476" s="13"/>
      <c r="D1476" s="13"/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</row>
    <row r="1477">
      <c r="A1477" s="13"/>
      <c r="B1477" s="13"/>
      <c r="C1477" s="13"/>
      <c r="D1477" s="13"/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</row>
    <row r="1478">
      <c r="A1478" s="13"/>
      <c r="B1478" s="13"/>
      <c r="C1478" s="13"/>
      <c r="D1478" s="13"/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</row>
    <row r="1479">
      <c r="A1479" s="13"/>
      <c r="B1479" s="13"/>
      <c r="C1479" s="13"/>
      <c r="D1479" s="13"/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</row>
    <row r="1480">
      <c r="A1480" s="13"/>
      <c r="B1480" s="13"/>
      <c r="C1480" s="13"/>
      <c r="D1480" s="13"/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</row>
    <row r="148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</row>
    <row r="1482">
      <c r="A1482" s="13"/>
      <c r="B1482" s="13"/>
      <c r="C1482" s="13"/>
      <c r="D1482" s="13"/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</row>
    <row r="1483">
      <c r="A1483" s="13"/>
      <c r="B1483" s="13"/>
      <c r="C1483" s="13"/>
      <c r="D1483" s="13"/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</row>
    <row r="1484">
      <c r="A1484" s="13"/>
      <c r="B1484" s="13"/>
      <c r="C1484" s="13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</row>
    <row r="1485">
      <c r="A1485" s="13"/>
      <c r="B1485" s="13"/>
      <c r="C1485" s="13"/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</row>
    <row r="1486">
      <c r="A1486" s="13"/>
      <c r="B1486" s="13"/>
      <c r="C1486" s="13"/>
      <c r="D1486" s="13"/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</row>
    <row r="1487">
      <c r="A1487" s="13"/>
      <c r="B1487" s="13"/>
      <c r="C1487" s="13"/>
      <c r="D1487" s="13"/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</row>
    <row r="1488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</row>
    <row r="1489">
      <c r="A1489" s="13"/>
      <c r="B1489" s="13"/>
      <c r="C1489" s="13"/>
      <c r="D1489" s="13"/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</row>
    <row r="1490">
      <c r="A1490" s="13"/>
      <c r="B1490" s="13"/>
      <c r="C1490" s="13"/>
      <c r="D1490" s="13"/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</row>
    <row r="1491">
      <c r="A1491" s="13"/>
      <c r="B1491" s="13"/>
      <c r="C1491" s="13"/>
      <c r="D1491" s="13"/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</row>
    <row r="1492">
      <c r="A1492" s="13"/>
      <c r="B1492" s="13"/>
      <c r="C1492" s="13"/>
      <c r="D1492" s="13"/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</row>
    <row r="1493">
      <c r="A1493" s="13"/>
      <c r="B1493" s="13"/>
      <c r="C1493" s="13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</row>
    <row r="1494">
      <c r="A1494" s="13"/>
      <c r="B1494" s="13"/>
      <c r="C1494" s="13"/>
      <c r="D1494" s="13"/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</row>
    <row r="1495">
      <c r="A1495" s="13"/>
      <c r="B1495" s="13"/>
      <c r="C1495" s="13"/>
      <c r="D1495" s="13"/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</row>
    <row r="1496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</row>
    <row r="1497">
      <c r="A1497" s="13"/>
      <c r="B1497" s="13"/>
      <c r="C1497" s="13"/>
      <c r="D1497" s="13"/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</row>
    <row r="1498">
      <c r="A1498" s="13"/>
      <c r="B1498" s="13"/>
      <c r="C1498" s="13"/>
      <c r="D1498" s="13"/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</row>
    <row r="1499">
      <c r="A1499" s="13"/>
      <c r="B1499" s="13"/>
      <c r="C1499" s="13"/>
      <c r="D1499" s="13"/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</row>
    <row r="1500">
      <c r="A1500" s="13"/>
      <c r="B1500" s="13"/>
      <c r="C1500" s="13"/>
      <c r="D1500" s="13"/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</row>
    <row r="1501">
      <c r="A1501" s="13"/>
      <c r="B1501" s="13"/>
      <c r="C1501" s="13"/>
      <c r="D1501" s="13"/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</row>
    <row r="1502">
      <c r="A1502" s="13"/>
      <c r="B1502" s="13"/>
      <c r="C1502" s="13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</row>
    <row r="1503">
      <c r="A1503" s="13"/>
      <c r="B1503" s="13"/>
      <c r="C1503" s="13"/>
      <c r="D1503" s="13"/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</row>
    <row r="1504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</row>
    <row r="1505">
      <c r="A1505" s="13"/>
      <c r="B1505" s="13"/>
      <c r="C1505" s="13"/>
      <c r="D1505" s="13"/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</row>
    <row r="1506">
      <c r="A1506" s="13"/>
      <c r="B1506" s="13"/>
      <c r="C1506" s="13"/>
      <c r="D1506" s="13"/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</row>
    <row r="1507">
      <c r="A1507" s="13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</row>
    <row r="1508">
      <c r="A1508" s="13"/>
      <c r="B1508" s="13"/>
      <c r="C1508" s="13"/>
      <c r="D1508" s="13"/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</row>
    <row r="1509">
      <c r="A1509" s="13"/>
      <c r="B1509" s="13"/>
      <c r="C1509" s="13"/>
      <c r="D1509" s="13"/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</row>
    <row r="1510">
      <c r="A1510" s="13"/>
      <c r="B1510" s="13"/>
      <c r="C1510" s="13"/>
      <c r="D1510" s="13"/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</row>
    <row r="151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</row>
    <row r="1512">
      <c r="A1512" s="13"/>
      <c r="B1512" s="13"/>
      <c r="C1512" s="13"/>
      <c r="D1512" s="13"/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</row>
    <row r="1513">
      <c r="A1513" s="13"/>
      <c r="B1513" s="13"/>
      <c r="C1513" s="13"/>
      <c r="D1513" s="13"/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</row>
    <row r="1514">
      <c r="A1514" s="13"/>
      <c r="B1514" s="13"/>
      <c r="C1514" s="13"/>
      <c r="D1514" s="13"/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</row>
    <row r="1515">
      <c r="A1515" s="13"/>
      <c r="B1515" s="13"/>
      <c r="C1515" s="13"/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</row>
    <row r="1516">
      <c r="A1516" s="13"/>
      <c r="B1516" s="13"/>
      <c r="C1516" s="13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</row>
    <row r="1517">
      <c r="A1517" s="13"/>
      <c r="B1517" s="13"/>
      <c r="C1517" s="13"/>
      <c r="D1517" s="13"/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</row>
    <row r="1518">
      <c r="A1518" s="13"/>
      <c r="B1518" s="13"/>
      <c r="C1518" s="13"/>
      <c r="D1518" s="13"/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</row>
    <row r="1519">
      <c r="A1519" s="13"/>
      <c r="B1519" s="13"/>
      <c r="C1519" s="13"/>
      <c r="D1519" s="13"/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</row>
    <row r="1520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</row>
    <row r="1521">
      <c r="A1521" s="13"/>
      <c r="B1521" s="13"/>
      <c r="C1521" s="13"/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</row>
    <row r="1522">
      <c r="A1522" s="13"/>
      <c r="B1522" s="13"/>
      <c r="C1522" s="13"/>
      <c r="D1522" s="13"/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</row>
    <row r="1523">
      <c r="A1523" s="13"/>
      <c r="B1523" s="13"/>
      <c r="C1523" s="13"/>
      <c r="D1523" s="13"/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</row>
    <row r="1524">
      <c r="A1524" s="13"/>
      <c r="B1524" s="13"/>
      <c r="C1524" s="13"/>
      <c r="D1524" s="13"/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</row>
    <row r="1525">
      <c r="A1525" s="13"/>
      <c r="B1525" s="13"/>
      <c r="C1525" s="13"/>
      <c r="D1525" s="13"/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</row>
    <row r="1526">
      <c r="A1526" s="13"/>
      <c r="B1526" s="13"/>
      <c r="C1526" s="13"/>
      <c r="D1526" s="13"/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</row>
    <row r="1527">
      <c r="A1527" s="13"/>
      <c r="B1527" s="13"/>
      <c r="C1527" s="13"/>
      <c r="D1527" s="13"/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</row>
    <row r="1528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</row>
    <row r="1529">
      <c r="A1529" s="13"/>
      <c r="B1529" s="13"/>
      <c r="C1529" s="13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</row>
    <row r="1530">
      <c r="A1530" s="13"/>
      <c r="B1530" s="13"/>
      <c r="C1530" s="13"/>
      <c r="D1530" s="13"/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</row>
    <row r="1531">
      <c r="A1531" s="13"/>
      <c r="B1531" s="13"/>
      <c r="C1531" s="13"/>
      <c r="D1531" s="13"/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</row>
    <row r="1532">
      <c r="A1532" s="13"/>
      <c r="B1532" s="13"/>
      <c r="C1532" s="13"/>
      <c r="D1532" s="13"/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</row>
    <row r="1533">
      <c r="A1533" s="13"/>
      <c r="B1533" s="13"/>
      <c r="C1533" s="13"/>
      <c r="D1533" s="13"/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</row>
    <row r="1534">
      <c r="A1534" s="13"/>
      <c r="B1534" s="13"/>
      <c r="C1534" s="13"/>
      <c r="D1534" s="13"/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</row>
    <row r="1535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</row>
    <row r="1536">
      <c r="A1536" s="13"/>
      <c r="B1536" s="13"/>
      <c r="C1536" s="13"/>
      <c r="D1536" s="13"/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</row>
    <row r="1537">
      <c r="A1537" s="13"/>
      <c r="B1537" s="13"/>
      <c r="C1537" s="13"/>
      <c r="D1537" s="13"/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</row>
    <row r="1538">
      <c r="A1538" s="13"/>
      <c r="B1538" s="13"/>
      <c r="C1538" s="13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</row>
    <row r="1539">
      <c r="A1539" s="13"/>
      <c r="B1539" s="13"/>
      <c r="C1539" s="13"/>
      <c r="D1539" s="13"/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</row>
    <row r="1540">
      <c r="A1540" s="13"/>
      <c r="B1540" s="13"/>
      <c r="C1540" s="13"/>
      <c r="D1540" s="13"/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</row>
    <row r="1541">
      <c r="A1541" s="13"/>
      <c r="B1541" s="13"/>
      <c r="C1541" s="13"/>
      <c r="D1541" s="13"/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</row>
    <row r="1542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</row>
    <row r="1543">
      <c r="A1543" s="13"/>
      <c r="B1543" s="13"/>
      <c r="C1543" s="13"/>
      <c r="D1543" s="13"/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</row>
    <row r="1544">
      <c r="A1544" s="13"/>
      <c r="B1544" s="13"/>
      <c r="C1544" s="13"/>
      <c r="D1544" s="13"/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</row>
    <row r="1545">
      <c r="A1545" s="13"/>
      <c r="B1545" s="13"/>
      <c r="C1545" s="13"/>
      <c r="D1545" s="13"/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</row>
    <row r="1546">
      <c r="A1546" s="13"/>
      <c r="B1546" s="13"/>
      <c r="C1546" s="13"/>
      <c r="D1546" s="13"/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</row>
    <row r="1547">
      <c r="A1547" s="13"/>
      <c r="B1547" s="13"/>
      <c r="C1547" s="13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</row>
    <row r="1548">
      <c r="A1548" s="13"/>
      <c r="B1548" s="13"/>
      <c r="C1548" s="13"/>
      <c r="D1548" s="13"/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</row>
    <row r="1549">
      <c r="A1549" s="13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</row>
    <row r="1550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</row>
    <row r="1551">
      <c r="A1551" s="13"/>
      <c r="B1551" s="13"/>
      <c r="C1551" s="13"/>
      <c r="D1551" s="13"/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</row>
    <row r="1552">
      <c r="A1552" s="13"/>
      <c r="B1552" s="13"/>
      <c r="C1552" s="13"/>
      <c r="D1552" s="13"/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</row>
    <row r="1553">
      <c r="A1553" s="13"/>
      <c r="B1553" s="13"/>
      <c r="C1553" s="13"/>
      <c r="D1553" s="13"/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</row>
    <row r="1554">
      <c r="A1554" s="13"/>
      <c r="B1554" s="13"/>
      <c r="C1554" s="13"/>
      <c r="D1554" s="13"/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</row>
    <row r="1555">
      <c r="A1555" s="13"/>
      <c r="B1555" s="13"/>
      <c r="C1555" s="13"/>
      <c r="D1555" s="13"/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</row>
    <row r="1556">
      <c r="A1556" s="13"/>
      <c r="B1556" s="13"/>
      <c r="C1556" s="13"/>
      <c r="D1556" s="13"/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</row>
    <row r="1557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</row>
    <row r="1558">
      <c r="A1558" s="13"/>
      <c r="B1558" s="13"/>
      <c r="C1558" s="13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</row>
    <row r="1559">
      <c r="A1559" s="13"/>
      <c r="B1559" s="13"/>
      <c r="C1559" s="13"/>
      <c r="D1559" s="13"/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</row>
    <row r="1560">
      <c r="A1560" s="13"/>
      <c r="B1560" s="13"/>
      <c r="C1560" s="13"/>
      <c r="D1560" s="13"/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</row>
    <row r="1561">
      <c r="A1561" s="13"/>
      <c r="B1561" s="13"/>
      <c r="C1561" s="13"/>
      <c r="D1561" s="13"/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</row>
    <row r="1562">
      <c r="A1562" s="13"/>
      <c r="B1562" s="13"/>
      <c r="C1562" s="13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</row>
    <row r="1563">
      <c r="A1563" s="13"/>
      <c r="B1563" s="13"/>
      <c r="C1563" s="13"/>
      <c r="D1563" s="13"/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</row>
    <row r="1564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</row>
    <row r="1565">
      <c r="A1565" s="13"/>
      <c r="B1565" s="13"/>
      <c r="C1565" s="13"/>
      <c r="D1565" s="13"/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</row>
    <row r="1566">
      <c r="A1566" s="13"/>
      <c r="B1566" s="13"/>
      <c r="C1566" s="13"/>
      <c r="D1566" s="13"/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</row>
    <row r="1567">
      <c r="A1567" s="13"/>
      <c r="B1567" s="13"/>
      <c r="C1567" s="13"/>
      <c r="D1567" s="13"/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</row>
    <row r="1568">
      <c r="A1568" s="13"/>
      <c r="B1568" s="13"/>
      <c r="C1568" s="13"/>
      <c r="D1568" s="13"/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</row>
    <row r="1569">
      <c r="A1569" s="13"/>
      <c r="B1569" s="13"/>
      <c r="C1569" s="13"/>
      <c r="D1569" s="13"/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</row>
    <row r="1570">
      <c r="A1570" s="13"/>
      <c r="B1570" s="13"/>
      <c r="C1570" s="13"/>
      <c r="D1570" s="13"/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</row>
    <row r="157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</row>
    <row r="1572">
      <c r="A1572" s="13"/>
      <c r="B1572" s="13"/>
      <c r="C1572" s="13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</row>
    <row r="1573">
      <c r="A1573" s="13"/>
      <c r="B1573" s="13"/>
      <c r="C1573" s="13"/>
      <c r="D1573" s="13"/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</row>
    <row r="1574">
      <c r="A1574" s="13"/>
      <c r="B1574" s="13"/>
      <c r="C1574" s="13"/>
      <c r="D1574" s="13"/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</row>
    <row r="1575">
      <c r="A1575" s="13"/>
      <c r="B1575" s="13"/>
      <c r="C1575" s="13"/>
      <c r="D1575" s="13"/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</row>
    <row r="1576">
      <c r="A1576" s="13"/>
      <c r="B1576" s="13"/>
      <c r="C1576" s="13"/>
      <c r="D1576" s="13"/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</row>
    <row r="1577">
      <c r="A1577" s="13"/>
      <c r="B1577" s="13"/>
      <c r="C1577" s="13"/>
      <c r="D1577" s="13"/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</row>
    <row r="1578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</row>
    <row r="1579">
      <c r="A1579" s="13"/>
      <c r="B1579" s="13"/>
      <c r="C1579" s="13"/>
      <c r="D1579" s="13"/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</row>
    <row r="1580">
      <c r="A1580" s="13"/>
      <c r="B1580" s="13"/>
      <c r="C1580" s="13"/>
      <c r="D1580" s="13"/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</row>
    <row r="1581">
      <c r="A1581" s="13"/>
      <c r="B1581" s="13"/>
      <c r="C1581" s="13"/>
      <c r="D1581" s="13"/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</row>
    <row r="1582">
      <c r="A1582" s="13"/>
      <c r="B1582" s="13"/>
      <c r="C1582" s="13"/>
      <c r="D1582" s="13"/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</row>
    <row r="1583">
      <c r="A1583" s="13"/>
      <c r="B1583" s="13"/>
      <c r="C1583" s="13"/>
      <c r="D1583" s="13"/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</row>
    <row r="1584">
      <c r="A1584" s="13"/>
      <c r="B1584" s="13"/>
      <c r="C1584" s="13"/>
      <c r="D1584" s="13"/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</row>
    <row r="1585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</row>
    <row r="1586">
      <c r="A1586" s="13"/>
      <c r="B1586" s="13"/>
      <c r="C1586" s="13"/>
      <c r="D1586" s="13"/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</row>
    <row r="1587">
      <c r="A1587" s="13"/>
      <c r="B1587" s="13"/>
      <c r="C1587" s="13"/>
      <c r="D1587" s="13"/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</row>
    <row r="1588">
      <c r="A1588" s="13"/>
      <c r="B1588" s="13"/>
      <c r="C1588" s="13"/>
      <c r="D1588" s="13"/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</row>
    <row r="1589">
      <c r="A1589" s="13"/>
      <c r="B1589" s="13"/>
      <c r="C1589" s="13"/>
      <c r="D1589" s="13"/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</row>
    <row r="1590">
      <c r="A1590" s="13"/>
      <c r="B1590" s="13"/>
      <c r="C1590" s="13"/>
      <c r="D1590" s="13"/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</row>
    <row r="1591">
      <c r="A1591" s="13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</row>
    <row r="1592">
      <c r="A1592" s="13"/>
      <c r="B1592" s="13"/>
      <c r="C1592" s="13"/>
      <c r="D1592" s="13"/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</row>
    <row r="1593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</row>
    <row r="1594">
      <c r="A1594" s="13"/>
      <c r="B1594" s="13"/>
      <c r="C1594" s="13"/>
      <c r="D1594" s="13"/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</row>
    <row r="1595">
      <c r="A1595" s="13"/>
      <c r="B1595" s="13"/>
      <c r="C1595" s="13"/>
      <c r="D1595" s="13"/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</row>
    <row r="1596">
      <c r="A1596" s="13"/>
      <c r="B1596" s="13"/>
      <c r="C1596" s="13"/>
      <c r="D1596" s="13"/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</row>
    <row r="1597">
      <c r="A1597" s="13"/>
      <c r="B1597" s="13"/>
      <c r="C1597" s="13"/>
      <c r="D1597" s="13"/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</row>
    <row r="1598">
      <c r="A1598" s="13"/>
      <c r="B1598" s="13"/>
      <c r="C1598" s="13"/>
      <c r="D1598" s="13"/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</row>
    <row r="1599">
      <c r="A1599" s="13"/>
      <c r="B1599" s="13"/>
      <c r="C1599" s="13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</row>
    <row r="1600">
      <c r="A1600" s="13"/>
      <c r="B1600" s="13"/>
      <c r="C1600" s="13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</row>
    <row r="160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</row>
    <row r="1602">
      <c r="A1602" s="13"/>
      <c r="B1602" s="13"/>
      <c r="C1602" s="13"/>
      <c r="D1602" s="13"/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</row>
    <row r="1603">
      <c r="A1603" s="13"/>
      <c r="B1603" s="13"/>
      <c r="C1603" s="13"/>
      <c r="D1603" s="13"/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</row>
    <row r="1604">
      <c r="A1604" s="13"/>
      <c r="B1604" s="13"/>
      <c r="C1604" s="13"/>
      <c r="D1604" s="13"/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</row>
    <row r="1605">
      <c r="A1605" s="13"/>
      <c r="B1605" s="13"/>
      <c r="C1605" s="13"/>
      <c r="D1605" s="13"/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</row>
    <row r="1606">
      <c r="A1606" s="13"/>
      <c r="B1606" s="13"/>
      <c r="C1606" s="13"/>
      <c r="D1606" s="13"/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</row>
    <row r="1607">
      <c r="A1607" s="13"/>
      <c r="B1607" s="13"/>
      <c r="C1607" s="13"/>
      <c r="D1607" s="13"/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</row>
    <row r="1608">
      <c r="A1608" s="13"/>
      <c r="B1608" s="13"/>
      <c r="C1608" s="13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</row>
    <row r="1609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</row>
    <row r="1610">
      <c r="A1610" s="13"/>
      <c r="B1610" s="13"/>
      <c r="C1610" s="13"/>
      <c r="D1610" s="13"/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</row>
    <row r="1611">
      <c r="A1611" s="13"/>
      <c r="B1611" s="13"/>
      <c r="C1611" s="13"/>
      <c r="D1611" s="13"/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</row>
    <row r="1612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</row>
    <row r="1613">
      <c r="A1613" s="13"/>
      <c r="B1613" s="13"/>
      <c r="C1613" s="13"/>
      <c r="D1613" s="13"/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</row>
    <row r="1614">
      <c r="A1614" s="13"/>
      <c r="B1614" s="13"/>
      <c r="C1614" s="13"/>
      <c r="D1614" s="13"/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</row>
    <row r="1615">
      <c r="A1615" s="13"/>
      <c r="B1615" s="13"/>
      <c r="C1615" s="13"/>
      <c r="D1615" s="13"/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</row>
    <row r="1616">
      <c r="A1616" s="13"/>
      <c r="B1616" s="13"/>
      <c r="C1616" s="13"/>
      <c r="D1616" s="13"/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</row>
    <row r="1617">
      <c r="A1617" s="13"/>
      <c r="B1617" s="13"/>
      <c r="C1617" s="13"/>
      <c r="D1617" s="13"/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</row>
    <row r="1618">
      <c r="A1618" s="13"/>
      <c r="B1618" s="13"/>
      <c r="C1618" s="13"/>
      <c r="D1618" s="13"/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</row>
    <row r="1619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</row>
    <row r="1620">
      <c r="A1620" s="13"/>
      <c r="B1620" s="13"/>
      <c r="C1620" s="13"/>
      <c r="D1620" s="13"/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</row>
    <row r="1621">
      <c r="A1621" s="13"/>
      <c r="B1621" s="13"/>
      <c r="C1621" s="13"/>
      <c r="D1621" s="13"/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</row>
    <row r="1622">
      <c r="A1622" s="13"/>
      <c r="B1622" s="13"/>
      <c r="C1622" s="13"/>
      <c r="D1622" s="13"/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</row>
    <row r="1623">
      <c r="A1623" s="13"/>
      <c r="B1623" s="13"/>
      <c r="C1623" s="13"/>
      <c r="D1623" s="13"/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</row>
    <row r="1624">
      <c r="A1624" s="13"/>
      <c r="B1624" s="13"/>
      <c r="C1624" s="13"/>
      <c r="D1624" s="13"/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</row>
    <row r="1625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</row>
    <row r="1626">
      <c r="A1626" s="13"/>
      <c r="B1626" s="13"/>
      <c r="C1626" s="13"/>
      <c r="D1626" s="13"/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</row>
    <row r="1627">
      <c r="A1627" s="13"/>
      <c r="B1627" s="13"/>
      <c r="C1627" s="13"/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</row>
    <row r="1628">
      <c r="A1628" s="13"/>
      <c r="B1628" s="13"/>
      <c r="C1628" s="13"/>
      <c r="D1628" s="13"/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</row>
    <row r="1629">
      <c r="A1629" s="13"/>
      <c r="B1629" s="13"/>
      <c r="C1629" s="13"/>
      <c r="D1629" s="13"/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</row>
    <row r="1630">
      <c r="A1630" s="13"/>
      <c r="B1630" s="13"/>
      <c r="C1630" s="13"/>
      <c r="D1630" s="13"/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</row>
    <row r="1631">
      <c r="A1631" s="13"/>
      <c r="B1631" s="13"/>
      <c r="C1631" s="13"/>
      <c r="D1631" s="13"/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</row>
    <row r="1632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</row>
    <row r="1633">
      <c r="A1633" s="13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</row>
    <row r="1634">
      <c r="A1634" s="13"/>
      <c r="B1634" s="13"/>
      <c r="C1634" s="13"/>
      <c r="D1634" s="13"/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</row>
    <row r="1635">
      <c r="A1635" s="13"/>
      <c r="B1635" s="13"/>
      <c r="C1635" s="13"/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</row>
    <row r="1636">
      <c r="A1636" s="13"/>
      <c r="B1636" s="13"/>
      <c r="C1636" s="13"/>
      <c r="D1636" s="13"/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</row>
    <row r="1637">
      <c r="A1637" s="13"/>
      <c r="B1637" s="13"/>
      <c r="C1637" s="13"/>
      <c r="D1637" s="13"/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</row>
    <row r="1638">
      <c r="A1638" s="13"/>
      <c r="B1638" s="13"/>
      <c r="C1638" s="13"/>
      <c r="D1638" s="13"/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</row>
    <row r="1639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</row>
    <row r="1640">
      <c r="A1640" s="13"/>
      <c r="B1640" s="13"/>
      <c r="C1640" s="13"/>
      <c r="D1640" s="13"/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</row>
    <row r="1641">
      <c r="A1641" s="13"/>
      <c r="B1641" s="13"/>
      <c r="C1641" s="13"/>
      <c r="D1641" s="13"/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</row>
    <row r="1642">
      <c r="A1642" s="13"/>
      <c r="B1642" s="13"/>
      <c r="C1642" s="13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</row>
    <row r="1643">
      <c r="A1643" s="13"/>
      <c r="B1643" s="13"/>
      <c r="C1643" s="13"/>
      <c r="D1643" s="13"/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</row>
    <row r="1644">
      <c r="A1644" s="13"/>
      <c r="B1644" s="13"/>
      <c r="C1644" s="13"/>
      <c r="D1644" s="13"/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</row>
    <row r="1645">
      <c r="A1645" s="13"/>
      <c r="B1645" s="13"/>
      <c r="C1645" s="13"/>
      <c r="D1645" s="13"/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</row>
    <row r="1646">
      <c r="A1646" s="13"/>
      <c r="B1646" s="13"/>
      <c r="C1646" s="13"/>
      <c r="D1646" s="13"/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</row>
    <row r="1647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</row>
    <row r="1648">
      <c r="A1648" s="13"/>
      <c r="B1648" s="13"/>
      <c r="C1648" s="13"/>
      <c r="D1648" s="13"/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</row>
    <row r="1649">
      <c r="A1649" s="13"/>
      <c r="B1649" s="13"/>
      <c r="C1649" s="13"/>
      <c r="D1649" s="13"/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</row>
    <row r="1650">
      <c r="A1650" s="13"/>
      <c r="B1650" s="13"/>
      <c r="C1650" s="13"/>
      <c r="D1650" s="13"/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</row>
    <row r="1651">
      <c r="A1651" s="13"/>
      <c r="B1651" s="13"/>
      <c r="C1651" s="13"/>
      <c r="D1651" s="13"/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</row>
    <row r="1652">
      <c r="A1652" s="13"/>
      <c r="B1652" s="13"/>
      <c r="C1652" s="13"/>
      <c r="D1652" s="13"/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</row>
    <row r="1653">
      <c r="A1653" s="13"/>
      <c r="B1653" s="13"/>
      <c r="C1653" s="13"/>
      <c r="D1653" s="13"/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</row>
    <row r="1654">
      <c r="A1654" s="13"/>
      <c r="B1654" s="13"/>
      <c r="C1654" s="13"/>
      <c r="D1654" s="13"/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</row>
    <row r="1655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</row>
    <row r="1656">
      <c r="A1656" s="13"/>
      <c r="B1656" s="13"/>
      <c r="C1656" s="13"/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</row>
    <row r="1657">
      <c r="A1657" s="13"/>
      <c r="B1657" s="13"/>
      <c r="C1657" s="13"/>
      <c r="D1657" s="13"/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</row>
    <row r="1658">
      <c r="A1658" s="13"/>
      <c r="B1658" s="13"/>
      <c r="C1658" s="13"/>
      <c r="D1658" s="13"/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</row>
    <row r="1659">
      <c r="A1659" s="13"/>
      <c r="B1659" s="13"/>
      <c r="C1659" s="13"/>
      <c r="D1659" s="13"/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</row>
    <row r="1660">
      <c r="A1660" s="13"/>
      <c r="B1660" s="13"/>
      <c r="C1660" s="13"/>
      <c r="D1660" s="13"/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</row>
    <row r="1661">
      <c r="A1661" s="13"/>
      <c r="B1661" s="13"/>
      <c r="C1661" s="13"/>
      <c r="D1661" s="13"/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</row>
    <row r="1662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</row>
    <row r="1663">
      <c r="A1663" s="13"/>
      <c r="B1663" s="13"/>
      <c r="C1663" s="13"/>
      <c r="D1663" s="13"/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</row>
    <row r="1664">
      <c r="A1664" s="13"/>
      <c r="B1664" s="13"/>
      <c r="C1664" s="13"/>
      <c r="D1664" s="13"/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</row>
    <row r="1665">
      <c r="A1665" s="13"/>
      <c r="B1665" s="13"/>
      <c r="C1665" s="13"/>
      <c r="D1665" s="13"/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</row>
    <row r="1666">
      <c r="A1666" s="13"/>
      <c r="B1666" s="13"/>
      <c r="C1666" s="13"/>
      <c r="D1666" s="13"/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</row>
    <row r="1667">
      <c r="A1667" s="13"/>
      <c r="B1667" s="13"/>
      <c r="C1667" s="13"/>
      <c r="D1667" s="13"/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</row>
    <row r="1668">
      <c r="A1668" s="13"/>
      <c r="B1668" s="13"/>
      <c r="C1668" s="13"/>
      <c r="D1668" s="13"/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</row>
    <row r="1669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</row>
    <row r="1670">
      <c r="A1670" s="13"/>
      <c r="B1670" s="13"/>
      <c r="C1670" s="13"/>
      <c r="D1670" s="13"/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</row>
    <row r="1671">
      <c r="A1671" s="13"/>
      <c r="B1671" s="13"/>
      <c r="C1671" s="13"/>
      <c r="D1671" s="13"/>
      <c r="E1671" s="13"/>
      <c r="F1671" s="13"/>
      <c r="G1671" s="13"/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</row>
    <row r="1672">
      <c r="A1672" s="13"/>
      <c r="B1672" s="13"/>
      <c r="C1672" s="13"/>
      <c r="D1672" s="13"/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</row>
    <row r="1673">
      <c r="A1673" s="13"/>
      <c r="B1673" s="13"/>
      <c r="C1673" s="13"/>
      <c r="D1673" s="13"/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</row>
    <row r="1674">
      <c r="A1674" s="13"/>
      <c r="B1674" s="13"/>
      <c r="C1674" s="13"/>
      <c r="D1674" s="13"/>
      <c r="E1674" s="13"/>
      <c r="F1674" s="13"/>
      <c r="G1674" s="13"/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</row>
    <row r="1675">
      <c r="A1675" s="13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</row>
    <row r="1676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</row>
    <row r="1677">
      <c r="A1677" s="13"/>
      <c r="B1677" s="13"/>
      <c r="C1677" s="13"/>
      <c r="D1677" s="13"/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</row>
    <row r="1678">
      <c r="A1678" s="13"/>
      <c r="B1678" s="13"/>
      <c r="C1678" s="13"/>
      <c r="D1678" s="13"/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</row>
    <row r="1679">
      <c r="A1679" s="13"/>
      <c r="B1679" s="13"/>
      <c r="C1679" s="13"/>
      <c r="D1679" s="13"/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</row>
    <row r="1680">
      <c r="A1680" s="13"/>
      <c r="B1680" s="13"/>
      <c r="C1680" s="13"/>
      <c r="D1680" s="13"/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</row>
    <row r="1681">
      <c r="A1681" s="13"/>
      <c r="B1681" s="13"/>
      <c r="C1681" s="13"/>
      <c r="D1681" s="13"/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</row>
    <row r="1682">
      <c r="A1682" s="13"/>
      <c r="B1682" s="13"/>
      <c r="C1682" s="13"/>
      <c r="D1682" s="13"/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</row>
    <row r="1683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</row>
    <row r="1684">
      <c r="A1684" s="13"/>
      <c r="B1684" s="13"/>
      <c r="C1684" s="13"/>
      <c r="D1684" s="13"/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</row>
    <row r="1685">
      <c r="A1685" s="13"/>
      <c r="B1685" s="13"/>
      <c r="C1685" s="13"/>
      <c r="D1685" s="13"/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</row>
    <row r="1686">
      <c r="A1686" s="13"/>
      <c r="B1686" s="13"/>
      <c r="C1686" s="13"/>
      <c r="D1686" s="13"/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</row>
    <row r="1687">
      <c r="A1687" s="13"/>
      <c r="B1687" s="13"/>
      <c r="C1687" s="13"/>
      <c r="D1687" s="13"/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</row>
    <row r="1688">
      <c r="A1688" s="13"/>
      <c r="B1688" s="13"/>
      <c r="C1688" s="13"/>
      <c r="D1688" s="13"/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</row>
    <row r="1689">
      <c r="A1689" s="13"/>
      <c r="B1689" s="13"/>
      <c r="C1689" s="13"/>
      <c r="D1689" s="13"/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</row>
    <row r="1690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</row>
    <row r="1691">
      <c r="A1691" s="13"/>
      <c r="B1691" s="13"/>
      <c r="C1691" s="13"/>
      <c r="D1691" s="13"/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</row>
    <row r="1692">
      <c r="A1692" s="13"/>
      <c r="B1692" s="13"/>
      <c r="C1692" s="13"/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</row>
    <row r="1693">
      <c r="A1693" s="13"/>
      <c r="B1693" s="13"/>
      <c r="C1693" s="13"/>
      <c r="D1693" s="13"/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</row>
    <row r="1694">
      <c r="A1694" s="13"/>
      <c r="B1694" s="13"/>
      <c r="C1694" s="13"/>
      <c r="D1694" s="13"/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</row>
    <row r="1695">
      <c r="A1695" s="13"/>
      <c r="B1695" s="13"/>
      <c r="C1695" s="13"/>
      <c r="D1695" s="13"/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</row>
    <row r="1696">
      <c r="A1696" s="13"/>
      <c r="B1696" s="13"/>
      <c r="C1696" s="13"/>
      <c r="D1696" s="13"/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</row>
    <row r="1697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</row>
    <row r="1698">
      <c r="A1698" s="13"/>
      <c r="B1698" s="13"/>
      <c r="C1698" s="13"/>
      <c r="D1698" s="13"/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</row>
    <row r="1699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</row>
    <row r="1700">
      <c r="A1700" s="13"/>
      <c r="B1700" s="13"/>
      <c r="C1700" s="13"/>
      <c r="D1700" s="13"/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</row>
    <row r="1701">
      <c r="A1701" s="13"/>
      <c r="B1701" s="13"/>
      <c r="C1701" s="13"/>
      <c r="D1701" s="13"/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</row>
    <row r="1702">
      <c r="A1702" s="13"/>
      <c r="B1702" s="13"/>
      <c r="C1702" s="13"/>
      <c r="D1702" s="13"/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</row>
    <row r="1703">
      <c r="A1703" s="13"/>
      <c r="B1703" s="13"/>
      <c r="C1703" s="13"/>
      <c r="D1703" s="13"/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</row>
    <row r="1704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</row>
    <row r="1705">
      <c r="A1705" s="13"/>
      <c r="B1705" s="13"/>
      <c r="C1705" s="13"/>
      <c r="D1705" s="13"/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</row>
    <row r="1706">
      <c r="A1706" s="13"/>
      <c r="B1706" s="13"/>
      <c r="C1706" s="13"/>
      <c r="D1706" s="13"/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</row>
    <row r="1707">
      <c r="A1707" s="13"/>
      <c r="B1707" s="13"/>
      <c r="C1707" s="13"/>
      <c r="D1707" s="13"/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</row>
    <row r="1708">
      <c r="A1708" s="13"/>
      <c r="B1708" s="13"/>
      <c r="C1708" s="13"/>
      <c r="D1708" s="13"/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</row>
    <row r="1709">
      <c r="A1709" s="13"/>
      <c r="B1709" s="13"/>
      <c r="C1709" s="13"/>
      <c r="D1709" s="13"/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</row>
    <row r="1710">
      <c r="A1710" s="13"/>
      <c r="B1710" s="13"/>
      <c r="C1710" s="13"/>
      <c r="D1710" s="13"/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</row>
    <row r="1711">
      <c r="A1711" s="13"/>
      <c r="B1711" s="13"/>
      <c r="C1711" s="13"/>
      <c r="D1711" s="13"/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</row>
    <row r="1712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</row>
    <row r="1713">
      <c r="A1713" s="13"/>
      <c r="B1713" s="13"/>
      <c r="C1713" s="13"/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</row>
    <row r="1714">
      <c r="A1714" s="13"/>
      <c r="B1714" s="13"/>
      <c r="C1714" s="13"/>
      <c r="D1714" s="13"/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</row>
    <row r="1715">
      <c r="A1715" s="13"/>
      <c r="B1715" s="13"/>
      <c r="C1715" s="13"/>
      <c r="D1715" s="13"/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</row>
    <row r="1716">
      <c r="A1716" s="13"/>
      <c r="B1716" s="13"/>
      <c r="C1716" s="13"/>
      <c r="D1716" s="13"/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</row>
    <row r="1717">
      <c r="A1717" s="13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</row>
    <row r="1718">
      <c r="A1718" s="13"/>
      <c r="B1718" s="13"/>
      <c r="C1718" s="13"/>
      <c r="D1718" s="13"/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</row>
    <row r="1719">
      <c r="A1719" s="13"/>
      <c r="B1719" s="13"/>
      <c r="C1719" s="13"/>
      <c r="D1719" s="13"/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</row>
    <row r="1720">
      <c r="A1720" s="13"/>
      <c r="B1720" s="13"/>
      <c r="C1720" s="13"/>
      <c r="D1720" s="13"/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</row>
    <row r="172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</row>
    <row r="1722">
      <c r="A1722" s="13"/>
      <c r="B1722" s="13"/>
      <c r="C1722" s="13"/>
      <c r="D1722" s="13"/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</row>
    <row r="1723">
      <c r="A1723" s="13"/>
      <c r="B1723" s="13"/>
      <c r="C1723" s="13"/>
      <c r="D1723" s="13"/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</row>
    <row r="1724">
      <c r="A1724" s="13"/>
      <c r="B1724" s="13"/>
      <c r="C1724" s="13"/>
      <c r="D1724" s="13"/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</row>
    <row r="1725">
      <c r="A1725" s="13"/>
      <c r="B1725" s="13"/>
      <c r="C1725" s="13"/>
      <c r="D1725" s="13"/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</row>
    <row r="1726">
      <c r="A1726" s="13"/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</row>
    <row r="1727">
      <c r="A1727" s="13"/>
      <c r="B1727" s="13"/>
      <c r="C1727" s="13"/>
      <c r="D1727" s="13"/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</row>
    <row r="1728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</row>
    <row r="1729">
      <c r="A1729" s="13"/>
      <c r="B1729" s="13"/>
      <c r="C1729" s="13"/>
      <c r="D1729" s="13"/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</row>
    <row r="1730">
      <c r="A1730" s="13"/>
      <c r="B1730" s="13"/>
      <c r="C1730" s="13"/>
      <c r="D1730" s="13"/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</row>
    <row r="1731">
      <c r="A1731" s="13"/>
      <c r="B1731" s="13"/>
      <c r="C1731" s="13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</row>
    <row r="1732">
      <c r="A1732" s="13"/>
      <c r="B1732" s="13"/>
      <c r="C1732" s="13"/>
      <c r="D1732" s="13"/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</row>
    <row r="1733">
      <c r="A1733" s="13"/>
      <c r="B1733" s="13"/>
      <c r="C1733" s="13"/>
      <c r="D1733" s="13"/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</row>
    <row r="1734">
      <c r="A1734" s="13"/>
      <c r="B1734" s="13"/>
      <c r="C1734" s="13"/>
      <c r="D1734" s="13"/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</row>
    <row r="1735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</row>
    <row r="1736">
      <c r="A1736" s="13"/>
      <c r="B1736" s="13"/>
      <c r="C1736" s="13"/>
      <c r="D1736" s="13"/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</row>
    <row r="1737">
      <c r="A1737" s="13"/>
      <c r="B1737" s="13"/>
      <c r="C1737" s="13"/>
      <c r="D1737" s="13"/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</row>
    <row r="1738">
      <c r="A1738" s="13"/>
      <c r="B1738" s="13"/>
      <c r="C1738" s="13"/>
      <c r="D1738" s="13"/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</row>
    <row r="1739">
      <c r="A1739" s="13"/>
      <c r="B1739" s="13"/>
      <c r="C1739" s="13"/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</row>
    <row r="1740">
      <c r="A1740" s="13"/>
      <c r="B1740" s="13"/>
      <c r="C1740" s="13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</row>
    <row r="1741">
      <c r="A1741" s="13"/>
      <c r="B1741" s="13"/>
      <c r="C1741" s="13"/>
      <c r="D1741" s="13"/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</row>
    <row r="1742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</row>
    <row r="1743">
      <c r="A1743" s="13"/>
      <c r="B1743" s="13"/>
      <c r="C1743" s="13"/>
      <c r="D1743" s="13"/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</row>
    <row r="1744">
      <c r="A1744" s="13"/>
      <c r="B1744" s="13"/>
      <c r="C1744" s="13"/>
      <c r="D1744" s="13"/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</row>
    <row r="1745">
      <c r="A1745" s="13"/>
      <c r="B1745" s="13"/>
      <c r="C1745" s="13"/>
      <c r="D1745" s="13"/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</row>
    <row r="1746">
      <c r="A1746" s="13"/>
      <c r="B1746" s="13"/>
      <c r="C1746" s="13"/>
      <c r="D1746" s="13"/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</row>
    <row r="1747">
      <c r="A1747" s="13"/>
      <c r="B1747" s="13"/>
      <c r="C1747" s="13"/>
      <c r="D1747" s="13"/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</row>
    <row r="1748">
      <c r="A1748" s="13"/>
      <c r="B1748" s="13"/>
      <c r="C1748" s="13"/>
      <c r="D1748" s="13"/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</row>
    <row r="1749">
      <c r="A1749" s="13"/>
      <c r="B1749" s="13"/>
      <c r="C1749" s="13"/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</row>
    <row r="1750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</row>
    <row r="1751">
      <c r="A1751" s="13"/>
      <c r="B1751" s="13"/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</row>
    <row r="1752">
      <c r="A1752" s="13"/>
      <c r="B1752" s="13"/>
      <c r="C1752" s="13"/>
      <c r="D1752" s="13"/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</row>
    <row r="1753">
      <c r="A1753" s="13"/>
      <c r="B1753" s="13"/>
      <c r="C1753" s="13"/>
      <c r="D1753" s="13"/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</row>
    <row r="1754">
      <c r="A1754" s="13"/>
      <c r="B1754" s="13"/>
      <c r="C1754" s="13"/>
      <c r="D1754" s="13"/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</row>
    <row r="1755">
      <c r="A1755" s="13"/>
      <c r="B1755" s="13"/>
      <c r="C1755" s="13"/>
      <c r="D1755" s="13"/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</row>
    <row r="1756">
      <c r="A1756" s="13"/>
      <c r="B1756" s="13"/>
      <c r="C1756" s="13"/>
      <c r="D1756" s="13"/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</row>
    <row r="1757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</row>
    <row r="1758">
      <c r="A1758" s="13"/>
      <c r="B1758" s="13"/>
      <c r="C1758" s="13"/>
      <c r="D1758" s="13"/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</row>
    <row r="1759">
      <c r="A1759" s="13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</row>
    <row r="1760">
      <c r="A1760" s="13"/>
      <c r="B1760" s="13"/>
      <c r="C1760" s="13"/>
      <c r="D1760" s="13"/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</row>
    <row r="1761">
      <c r="A1761" s="13"/>
      <c r="B1761" s="13"/>
      <c r="C1761" s="13"/>
      <c r="D1761" s="13"/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</row>
    <row r="1762">
      <c r="A1762" s="13"/>
      <c r="B1762" s="13"/>
      <c r="C1762" s="13"/>
      <c r="D1762" s="13"/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</row>
    <row r="1763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</row>
    <row r="1764">
      <c r="A1764" s="13"/>
      <c r="B1764" s="13"/>
      <c r="C1764" s="13"/>
      <c r="D1764" s="13"/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</row>
    <row r="1765">
      <c r="A1765" s="13"/>
      <c r="B1765" s="13"/>
      <c r="C1765" s="13"/>
      <c r="D1765" s="13"/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</row>
    <row r="1766">
      <c r="A1766" s="13"/>
      <c r="B1766" s="13"/>
      <c r="C1766" s="13"/>
      <c r="D1766" s="13"/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</row>
    <row r="1767">
      <c r="A1767" s="13"/>
      <c r="B1767" s="13"/>
      <c r="C1767" s="13"/>
      <c r="D1767" s="13"/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</row>
    <row r="1768">
      <c r="A1768" s="13"/>
      <c r="B1768" s="13"/>
      <c r="C1768" s="13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</row>
    <row r="1769">
      <c r="A1769" s="13"/>
      <c r="B1769" s="13"/>
      <c r="C1769" s="13"/>
      <c r="D1769" s="13"/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</row>
    <row r="1770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</row>
    <row r="1771">
      <c r="A1771" s="13"/>
      <c r="B1771" s="13"/>
      <c r="C1771" s="13"/>
      <c r="D1771" s="13"/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</row>
    <row r="1772">
      <c r="A1772" s="13"/>
      <c r="B1772" s="13"/>
      <c r="C1772" s="13"/>
      <c r="D1772" s="13"/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</row>
    <row r="1773">
      <c r="A1773" s="13"/>
      <c r="B1773" s="13"/>
      <c r="C1773" s="13"/>
      <c r="D1773" s="13"/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</row>
    <row r="1774">
      <c r="A1774" s="13"/>
      <c r="B1774" s="13"/>
      <c r="C1774" s="13"/>
      <c r="D1774" s="13"/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</row>
    <row r="1775">
      <c r="A1775" s="13"/>
      <c r="B1775" s="13"/>
      <c r="C1775" s="13"/>
      <c r="D1775" s="13"/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</row>
    <row r="1776">
      <c r="A1776" s="13"/>
      <c r="B1776" s="13"/>
      <c r="C1776" s="13"/>
      <c r="D1776" s="13"/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</row>
    <row r="1777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</row>
    <row r="1778">
      <c r="A1778" s="13"/>
      <c r="B1778" s="13"/>
      <c r="C1778" s="13"/>
      <c r="D1778" s="13"/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</row>
    <row r="1779">
      <c r="A1779" s="13"/>
      <c r="B1779" s="13"/>
      <c r="C1779" s="13"/>
      <c r="D1779" s="13"/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</row>
    <row r="1780">
      <c r="A1780" s="13"/>
      <c r="B1780" s="13"/>
      <c r="C1780" s="13"/>
      <c r="D1780" s="13"/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</row>
    <row r="1781">
      <c r="A1781" s="13"/>
      <c r="B1781" s="13"/>
      <c r="C1781" s="13"/>
      <c r="D1781" s="13"/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</row>
    <row r="1782">
      <c r="A1782" s="13"/>
      <c r="B1782" s="13"/>
      <c r="C1782" s="13"/>
      <c r="D1782" s="13"/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</row>
    <row r="1783">
      <c r="A1783" s="13"/>
      <c r="B1783" s="13"/>
      <c r="C1783" s="13"/>
      <c r="D1783" s="13"/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</row>
    <row r="1784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</row>
    <row r="1785">
      <c r="A1785" s="13"/>
      <c r="B1785" s="13"/>
      <c r="C1785" s="13"/>
      <c r="D1785" s="13"/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</row>
    <row r="1786">
      <c r="A1786" s="13"/>
      <c r="B1786" s="13"/>
      <c r="C1786" s="13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</row>
    <row r="1787">
      <c r="A1787" s="13"/>
      <c r="B1787" s="13"/>
      <c r="C1787" s="13"/>
      <c r="D1787" s="13"/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</row>
    <row r="1788">
      <c r="A1788" s="13"/>
      <c r="B1788" s="13"/>
      <c r="C1788" s="13"/>
      <c r="D1788" s="13"/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</row>
    <row r="1789">
      <c r="A1789" s="13"/>
      <c r="B1789" s="13"/>
      <c r="C1789" s="13"/>
      <c r="D1789" s="13"/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</row>
    <row r="1790">
      <c r="A1790" s="13"/>
      <c r="B1790" s="13"/>
      <c r="C1790" s="13"/>
      <c r="D1790" s="13"/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</row>
    <row r="179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</row>
    <row r="1792">
      <c r="A1792" s="13"/>
      <c r="B1792" s="13"/>
      <c r="C1792" s="13"/>
      <c r="D1792" s="13"/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</row>
    <row r="1793">
      <c r="A1793" s="13"/>
      <c r="B1793" s="13"/>
      <c r="C1793" s="13"/>
      <c r="D1793" s="13"/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</row>
    <row r="1794">
      <c r="A1794" s="13"/>
      <c r="B1794" s="13"/>
      <c r="C1794" s="13"/>
      <c r="D1794" s="13"/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</row>
    <row r="1795">
      <c r="A1795" s="13"/>
      <c r="B1795" s="13"/>
      <c r="C1795" s="13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</row>
    <row r="1796">
      <c r="A1796" s="13"/>
      <c r="B1796" s="13"/>
      <c r="C1796" s="13"/>
      <c r="D1796" s="13"/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</row>
    <row r="1797">
      <c r="A1797" s="13"/>
      <c r="B1797" s="13"/>
      <c r="C1797" s="13"/>
      <c r="D1797" s="13"/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</row>
    <row r="1798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</row>
    <row r="1799">
      <c r="A1799" s="13"/>
      <c r="B1799" s="13"/>
      <c r="C1799" s="13"/>
      <c r="D1799" s="13"/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</row>
    <row r="1800">
      <c r="A1800" s="13"/>
      <c r="B1800" s="13"/>
      <c r="C1800" s="13"/>
      <c r="D1800" s="13"/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</row>
    <row r="1801">
      <c r="A1801" s="13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</row>
    <row r="1802">
      <c r="A1802" s="13"/>
      <c r="B1802" s="13"/>
      <c r="C1802" s="13"/>
      <c r="D1802" s="13"/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</row>
    <row r="1803">
      <c r="A1803" s="13"/>
      <c r="B1803" s="13"/>
      <c r="C1803" s="13"/>
      <c r="D1803" s="13"/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</row>
    <row r="1804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</row>
    <row r="1805">
      <c r="A1805" s="13"/>
      <c r="B1805" s="13"/>
      <c r="C1805" s="13"/>
      <c r="D1805" s="13"/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</row>
    <row r="1806">
      <c r="A1806" s="13"/>
      <c r="B1806" s="13"/>
      <c r="C1806" s="13"/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</row>
    <row r="1807">
      <c r="A1807" s="13"/>
      <c r="B1807" s="13"/>
      <c r="C1807" s="13"/>
      <c r="D1807" s="13"/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</row>
    <row r="1808">
      <c r="A1808" s="13"/>
      <c r="B1808" s="13"/>
      <c r="C1808" s="13"/>
      <c r="D1808" s="13"/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</row>
    <row r="1809">
      <c r="A1809" s="13"/>
      <c r="B1809" s="13"/>
      <c r="C1809" s="13"/>
      <c r="D1809" s="13"/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</row>
    <row r="1810">
      <c r="A1810" s="13"/>
      <c r="B1810" s="13"/>
      <c r="C1810" s="13"/>
      <c r="D1810" s="13"/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</row>
    <row r="1811">
      <c r="A1811" s="13"/>
      <c r="B1811" s="13"/>
      <c r="C1811" s="13"/>
      <c r="D1811" s="13"/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</row>
    <row r="1812">
      <c r="A1812" s="13"/>
      <c r="B1812" s="13"/>
      <c r="C1812" s="13"/>
      <c r="D1812" s="13"/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</row>
    <row r="1813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</row>
    <row r="1814">
      <c r="A1814" s="13"/>
      <c r="B1814" s="13"/>
      <c r="C1814" s="13"/>
      <c r="D1814" s="13"/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</row>
    <row r="1815">
      <c r="A1815" s="13"/>
      <c r="B1815" s="13"/>
      <c r="C1815" s="13"/>
      <c r="D1815" s="13"/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</row>
    <row r="1816">
      <c r="A1816" s="13"/>
      <c r="B1816" s="13"/>
      <c r="C1816" s="13"/>
      <c r="D1816" s="13"/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</row>
    <row r="1817">
      <c r="A1817" s="13"/>
      <c r="B1817" s="13"/>
      <c r="C1817" s="13"/>
      <c r="D1817" s="13"/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</row>
    <row r="1818">
      <c r="A1818" s="13"/>
      <c r="B1818" s="13"/>
      <c r="C1818" s="13"/>
      <c r="D1818" s="13"/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</row>
    <row r="1819">
      <c r="A1819" s="13"/>
      <c r="B1819" s="13"/>
      <c r="C1819" s="13"/>
      <c r="D1819" s="13"/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</row>
    <row r="1820">
      <c r="A1820" s="13"/>
      <c r="B1820" s="13"/>
      <c r="C1820" s="13"/>
      <c r="D1820" s="13"/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</row>
    <row r="1821">
      <c r="A1821" s="13"/>
      <c r="B1821" s="13"/>
      <c r="C1821" s="13"/>
      <c r="D1821" s="13"/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</row>
    <row r="1822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</row>
    <row r="1823">
      <c r="A1823" s="13"/>
      <c r="B1823" s="13"/>
      <c r="C1823" s="13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</row>
    <row r="1824">
      <c r="A1824" s="13"/>
      <c r="B1824" s="13"/>
      <c r="C1824" s="13"/>
      <c r="D1824" s="13"/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</row>
    <row r="1825">
      <c r="A1825" s="13"/>
      <c r="B1825" s="13"/>
      <c r="C1825" s="13"/>
      <c r="D1825" s="13"/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</row>
    <row r="1826">
      <c r="A1826" s="13"/>
      <c r="B1826" s="13"/>
      <c r="C1826" s="13"/>
      <c r="D1826" s="13"/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</row>
    <row r="1827">
      <c r="A1827" s="13"/>
      <c r="B1827" s="13"/>
      <c r="C1827" s="13"/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</row>
    <row r="1828">
      <c r="A1828" s="13"/>
      <c r="B1828" s="13"/>
      <c r="C1828" s="13"/>
      <c r="D1828" s="13"/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</row>
    <row r="1829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</row>
    <row r="1830">
      <c r="A1830" s="13"/>
      <c r="B1830" s="13"/>
      <c r="C1830" s="13"/>
      <c r="D1830" s="13"/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</row>
    <row r="1831">
      <c r="A1831" s="13"/>
      <c r="B1831" s="13"/>
      <c r="C1831" s="13"/>
      <c r="D1831" s="13"/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</row>
    <row r="1832">
      <c r="A1832" s="13"/>
      <c r="B1832" s="13"/>
      <c r="C1832" s="13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</row>
    <row r="1833">
      <c r="A1833" s="13"/>
      <c r="B1833" s="13"/>
      <c r="C1833" s="13"/>
      <c r="D1833" s="13"/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</row>
    <row r="1834">
      <c r="A1834" s="13"/>
      <c r="B1834" s="13"/>
      <c r="C1834" s="13"/>
      <c r="D1834" s="13"/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</row>
    <row r="1835">
      <c r="A1835" s="13"/>
      <c r="B1835" s="13"/>
      <c r="C1835" s="13"/>
      <c r="D1835" s="13"/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</row>
    <row r="1836">
      <c r="A1836" s="13"/>
      <c r="B1836" s="13"/>
      <c r="C1836" s="13"/>
      <c r="D1836" s="13"/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</row>
    <row r="1837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</row>
    <row r="1838">
      <c r="A1838" s="13"/>
      <c r="B1838" s="13"/>
      <c r="C1838" s="13"/>
      <c r="D1838" s="13"/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</row>
    <row r="1839">
      <c r="A1839" s="13"/>
      <c r="B1839" s="13"/>
      <c r="C1839" s="13"/>
      <c r="D1839" s="13"/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</row>
    <row r="1840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</row>
    <row r="1841">
      <c r="A1841" s="13"/>
      <c r="B1841" s="13"/>
      <c r="C1841" s="13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</row>
    <row r="1842">
      <c r="A1842" s="13"/>
      <c r="B1842" s="13"/>
      <c r="C1842" s="13"/>
      <c r="D1842" s="13"/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</row>
    <row r="1843">
      <c r="A1843" s="13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</row>
    <row r="1844">
      <c r="A1844" s="13"/>
      <c r="B1844" s="13"/>
      <c r="C1844" s="13"/>
      <c r="D1844" s="13"/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</row>
    <row r="1845">
      <c r="A1845" s="13"/>
      <c r="B1845" s="13"/>
      <c r="C1845" s="13"/>
      <c r="D1845" s="13"/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</row>
    <row r="1846">
      <c r="A1846" s="13"/>
      <c r="B1846" s="13"/>
      <c r="C1846" s="13"/>
      <c r="D1846" s="13"/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</row>
    <row r="1847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</row>
    <row r="1848">
      <c r="A1848" s="13"/>
      <c r="B1848" s="13"/>
      <c r="C1848" s="13"/>
      <c r="D1848" s="13"/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</row>
    <row r="1849">
      <c r="A1849" s="13"/>
      <c r="B1849" s="13"/>
      <c r="C1849" s="13"/>
      <c r="D1849" s="13"/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</row>
    <row r="1850">
      <c r="A1850" s="13"/>
      <c r="B1850" s="13"/>
      <c r="C1850" s="13"/>
      <c r="D1850" s="13"/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</row>
    <row r="1851">
      <c r="A1851" s="13"/>
      <c r="B1851" s="13"/>
      <c r="C1851" s="13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</row>
    <row r="1852">
      <c r="A1852" s="13"/>
      <c r="B1852" s="13"/>
      <c r="C1852" s="13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</row>
    <row r="1853">
      <c r="A1853" s="13"/>
      <c r="B1853" s="13"/>
      <c r="C1853" s="13"/>
      <c r="D1853" s="13"/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</row>
    <row r="1854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</row>
    <row r="1855">
      <c r="A1855" s="13"/>
      <c r="B1855" s="13"/>
      <c r="C1855" s="13"/>
      <c r="D1855" s="13"/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</row>
    <row r="1856">
      <c r="A1856" s="13"/>
      <c r="B1856" s="13"/>
      <c r="C1856" s="13"/>
      <c r="D1856" s="13"/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</row>
    <row r="1857">
      <c r="A1857" s="13"/>
      <c r="B1857" s="13"/>
      <c r="C1857" s="13"/>
      <c r="D1857" s="13"/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</row>
    <row r="1858">
      <c r="A1858" s="13"/>
      <c r="B1858" s="13"/>
      <c r="C1858" s="13"/>
      <c r="D1858" s="13"/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</row>
    <row r="1859">
      <c r="A1859" s="13"/>
      <c r="B1859" s="13"/>
      <c r="C1859" s="13"/>
      <c r="D1859" s="13"/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</row>
    <row r="1860">
      <c r="A1860" s="13"/>
      <c r="B1860" s="13"/>
      <c r="C1860" s="13"/>
      <c r="D1860" s="13"/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</row>
    <row r="186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</row>
    <row r="1862">
      <c r="A1862" s="13"/>
      <c r="B1862" s="13"/>
      <c r="C1862" s="13"/>
      <c r="D1862" s="13"/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</row>
    <row r="1863">
      <c r="A1863" s="13"/>
      <c r="B1863" s="13"/>
      <c r="C1863" s="13"/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</row>
    <row r="1864">
      <c r="A1864" s="13"/>
      <c r="B1864" s="13"/>
      <c r="C1864" s="13"/>
      <c r="D1864" s="13"/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</row>
    <row r="1865">
      <c r="A1865" s="13"/>
      <c r="B1865" s="13"/>
      <c r="C1865" s="13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</row>
    <row r="1866">
      <c r="A1866" s="13"/>
      <c r="B1866" s="13"/>
      <c r="C1866" s="13"/>
      <c r="D1866" s="13"/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</row>
    <row r="1867">
      <c r="A1867" s="13"/>
      <c r="B1867" s="13"/>
      <c r="C1867" s="13"/>
      <c r="D1867" s="13"/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</row>
    <row r="1868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</row>
    <row r="1869">
      <c r="A1869" s="13"/>
      <c r="B1869" s="13"/>
      <c r="C1869" s="13"/>
      <c r="D1869" s="13"/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</row>
    <row r="1870">
      <c r="A1870" s="13"/>
      <c r="B1870" s="13"/>
      <c r="C1870" s="13"/>
      <c r="D1870" s="13"/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</row>
    <row r="1871">
      <c r="A1871" s="13"/>
      <c r="B1871" s="13"/>
      <c r="C1871" s="13"/>
      <c r="D1871" s="13"/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</row>
    <row r="1872">
      <c r="A1872" s="13"/>
      <c r="B1872" s="13"/>
      <c r="C1872" s="13"/>
      <c r="D1872" s="13"/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</row>
    <row r="1873">
      <c r="A1873" s="13"/>
      <c r="B1873" s="13"/>
      <c r="C1873" s="13"/>
      <c r="D1873" s="13"/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</row>
    <row r="1874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</row>
    <row r="1875">
      <c r="A1875" s="13"/>
      <c r="B1875" s="13"/>
      <c r="C1875" s="13"/>
      <c r="D1875" s="13"/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</row>
    <row r="1876">
      <c r="A1876" s="13"/>
      <c r="B1876" s="13"/>
      <c r="C1876" s="13"/>
      <c r="D1876" s="13"/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</row>
    <row r="1877">
      <c r="A1877" s="13"/>
      <c r="B1877" s="13"/>
      <c r="C1877" s="13"/>
      <c r="D1877" s="13"/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</row>
    <row r="1878">
      <c r="A1878" s="13"/>
      <c r="B1878" s="13"/>
      <c r="C1878" s="13"/>
      <c r="D1878" s="13"/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</row>
    <row r="1879">
      <c r="A1879" s="13"/>
      <c r="B1879" s="13"/>
      <c r="C1879" s="13"/>
      <c r="D1879" s="13"/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</row>
    <row r="1880">
      <c r="A1880" s="13"/>
      <c r="B1880" s="13"/>
      <c r="C1880" s="13"/>
      <c r="D1880" s="13"/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</row>
    <row r="188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</row>
    <row r="1882">
      <c r="A1882" s="13"/>
      <c r="B1882" s="13"/>
      <c r="C1882" s="13"/>
      <c r="D1882" s="13"/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</row>
    <row r="1883">
      <c r="A1883" s="13"/>
      <c r="B1883" s="13"/>
      <c r="C1883" s="13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</row>
    <row r="1884">
      <c r="A1884" s="13"/>
      <c r="B1884" s="13"/>
      <c r="C1884" s="13"/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</row>
    <row r="1885">
      <c r="A1885" s="13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</row>
    <row r="1886">
      <c r="A1886" s="13"/>
      <c r="B1886" s="13"/>
      <c r="C1886" s="13"/>
      <c r="D1886" s="13"/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</row>
    <row r="1887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</row>
    <row r="1888">
      <c r="A1888" s="13"/>
      <c r="B1888" s="13"/>
      <c r="C1888" s="13"/>
      <c r="D1888" s="13"/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</row>
    <row r="1889">
      <c r="A1889" s="13"/>
      <c r="B1889" s="13"/>
      <c r="C1889" s="13"/>
      <c r="D1889" s="13"/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</row>
    <row r="1890">
      <c r="A1890" s="13"/>
      <c r="B1890" s="13"/>
      <c r="C1890" s="13"/>
      <c r="D1890" s="13"/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</row>
    <row r="1891">
      <c r="A1891" s="13"/>
      <c r="B1891" s="13"/>
      <c r="C1891" s="13"/>
      <c r="D1891" s="13"/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</row>
    <row r="1892">
      <c r="A1892" s="13"/>
      <c r="B1892" s="13"/>
      <c r="C1892" s="13"/>
      <c r="D1892" s="13"/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</row>
    <row r="1893">
      <c r="A1893" s="13"/>
      <c r="B1893" s="13"/>
      <c r="C1893" s="13"/>
      <c r="D1893" s="13"/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</row>
    <row r="1894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</row>
    <row r="1895">
      <c r="A1895" s="13"/>
      <c r="B1895" s="13"/>
      <c r="C1895" s="13"/>
      <c r="D1895" s="13"/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</row>
    <row r="1896">
      <c r="A1896" s="13"/>
      <c r="B1896" s="13"/>
      <c r="C1896" s="13"/>
      <c r="D1896" s="13"/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</row>
    <row r="1897">
      <c r="A1897" s="13"/>
      <c r="B1897" s="13"/>
      <c r="C1897" s="13"/>
      <c r="D1897" s="13"/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</row>
    <row r="1898">
      <c r="A1898" s="13"/>
      <c r="B1898" s="13"/>
      <c r="C1898" s="13"/>
      <c r="D1898" s="13"/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</row>
    <row r="1899">
      <c r="A1899" s="13"/>
      <c r="B1899" s="13"/>
      <c r="C1899" s="13"/>
      <c r="D1899" s="13"/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</row>
    <row r="1900">
      <c r="A1900" s="13"/>
      <c r="B1900" s="13"/>
      <c r="C1900" s="13"/>
      <c r="D1900" s="13"/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</row>
    <row r="190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</row>
    <row r="1902">
      <c r="A1902" s="13"/>
      <c r="B1902" s="13"/>
      <c r="C1902" s="13"/>
      <c r="D1902" s="13"/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</row>
    <row r="1903">
      <c r="A1903" s="13"/>
      <c r="B1903" s="13"/>
      <c r="C1903" s="13"/>
      <c r="D1903" s="13"/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</row>
    <row r="1904">
      <c r="A1904" s="13"/>
      <c r="B1904" s="13"/>
      <c r="C1904" s="13"/>
      <c r="D1904" s="13"/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</row>
    <row r="1905">
      <c r="A1905" s="13"/>
      <c r="B1905" s="13"/>
      <c r="C1905" s="13"/>
      <c r="D1905" s="13"/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</row>
    <row r="1906">
      <c r="A1906" s="13"/>
      <c r="B1906" s="13"/>
      <c r="C1906" s="13"/>
      <c r="D1906" s="13"/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</row>
    <row r="1907">
      <c r="A1907" s="13"/>
      <c r="B1907" s="13"/>
      <c r="C1907" s="13"/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</row>
    <row r="1908">
      <c r="A1908" s="13"/>
      <c r="B1908" s="13"/>
      <c r="C1908" s="13"/>
      <c r="D1908" s="13"/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</row>
    <row r="1909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</row>
    <row r="1910">
      <c r="A1910" s="13"/>
      <c r="B1910" s="13"/>
      <c r="C1910" s="13"/>
      <c r="D1910" s="13"/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</row>
    <row r="1911">
      <c r="A1911" s="13"/>
      <c r="B1911" s="13"/>
      <c r="C1911" s="13"/>
      <c r="D1911" s="13"/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</row>
    <row r="1912">
      <c r="A1912" s="13"/>
      <c r="B1912" s="13"/>
      <c r="C1912" s="13"/>
      <c r="D1912" s="13"/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</row>
    <row r="1913">
      <c r="A1913" s="13"/>
      <c r="B1913" s="13"/>
      <c r="C1913" s="13"/>
      <c r="D1913" s="13"/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</row>
    <row r="1914">
      <c r="A1914" s="13"/>
      <c r="B1914" s="13"/>
      <c r="C1914" s="13"/>
      <c r="D1914" s="13"/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</row>
    <row r="1915">
      <c r="A1915" s="13"/>
      <c r="B1915" s="13"/>
      <c r="C1915" s="13"/>
      <c r="D1915" s="13"/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</row>
    <row r="1916">
      <c r="A1916" s="13"/>
      <c r="B1916" s="13"/>
      <c r="C1916" s="13"/>
      <c r="D1916" s="13"/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</row>
    <row r="1917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</row>
    <row r="1918">
      <c r="A1918" s="13"/>
      <c r="B1918" s="13"/>
      <c r="C1918" s="13"/>
      <c r="D1918" s="13"/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</row>
    <row r="1919">
      <c r="A1919" s="13"/>
      <c r="B1919" s="13"/>
      <c r="C1919" s="13"/>
      <c r="D1919" s="13"/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</row>
    <row r="1920">
      <c r="A1920" s="13"/>
      <c r="B1920" s="13"/>
      <c r="C1920" s="13"/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</row>
    <row r="1921">
      <c r="A1921" s="13"/>
      <c r="B1921" s="13"/>
      <c r="C1921" s="13"/>
      <c r="D1921" s="13"/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</row>
    <row r="1922">
      <c r="A1922" s="13"/>
      <c r="B1922" s="13"/>
      <c r="C1922" s="13"/>
      <c r="D1922" s="13"/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</row>
    <row r="1923">
      <c r="A1923" s="13"/>
      <c r="B1923" s="13"/>
      <c r="C1923" s="13"/>
      <c r="D1923" s="13"/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</row>
    <row r="1924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</row>
    <row r="1925">
      <c r="A1925" s="13"/>
      <c r="B1925" s="13"/>
      <c r="C1925" s="13"/>
      <c r="D1925" s="13"/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</row>
    <row r="1926">
      <c r="A1926" s="13"/>
      <c r="B1926" s="13"/>
      <c r="C1926" s="13"/>
      <c r="D1926" s="13"/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</row>
    <row r="1927">
      <c r="A1927" s="13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</row>
    <row r="1928">
      <c r="A1928" s="13"/>
      <c r="B1928" s="13"/>
      <c r="C1928" s="13"/>
      <c r="D1928" s="13"/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</row>
    <row r="1929">
      <c r="A1929" s="13"/>
      <c r="B1929" s="13"/>
      <c r="C1929" s="13"/>
      <c r="D1929" s="13"/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</row>
    <row r="1930">
      <c r="A1930" s="13"/>
      <c r="B1930" s="13"/>
      <c r="C1930" s="13"/>
      <c r="D1930" s="13"/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</row>
    <row r="193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</row>
    <row r="1932">
      <c r="A1932" s="13"/>
      <c r="B1932" s="13"/>
      <c r="C1932" s="13"/>
      <c r="D1932" s="13"/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/>
    </row>
    <row r="1933">
      <c r="A1933" s="13"/>
      <c r="B1933" s="13"/>
      <c r="C1933" s="13"/>
      <c r="D1933" s="13"/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/>
    </row>
    <row r="1934">
      <c r="A1934" s="13"/>
      <c r="B1934" s="13"/>
      <c r="C1934" s="13"/>
      <c r="D1934" s="13"/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/>
    </row>
    <row r="1935">
      <c r="A1935" s="13"/>
      <c r="B1935" s="13"/>
      <c r="C1935" s="13"/>
      <c r="D1935" s="13"/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/>
    </row>
    <row r="1936">
      <c r="A1936" s="13"/>
      <c r="B1936" s="13"/>
      <c r="C1936" s="13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</row>
    <row r="1937">
      <c r="A1937" s="13"/>
      <c r="B1937" s="13"/>
      <c r="C1937" s="13"/>
      <c r="D1937" s="13"/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/>
    </row>
    <row r="1938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/>
    </row>
    <row r="1939">
      <c r="A1939" s="13"/>
      <c r="B1939" s="13"/>
      <c r="C1939" s="13"/>
      <c r="D1939" s="13"/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/>
    </row>
    <row r="1940">
      <c r="A1940" s="13"/>
      <c r="B1940" s="13"/>
      <c r="C1940" s="13"/>
      <c r="D1940" s="13"/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/>
    </row>
    <row r="1941">
      <c r="A1941" s="13"/>
      <c r="B1941" s="13"/>
      <c r="C1941" s="13"/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  <c r="AG1941" s="13"/>
    </row>
    <row r="1942">
      <c r="A1942" s="13"/>
      <c r="B1942" s="13"/>
      <c r="C1942" s="13"/>
      <c r="D1942" s="13"/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</row>
    <row r="1943">
      <c r="A1943" s="13"/>
      <c r="B1943" s="13"/>
      <c r="C1943" s="13"/>
      <c r="D1943" s="13"/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</row>
    <row r="1944">
      <c r="A1944" s="13"/>
      <c r="B1944" s="13"/>
      <c r="C1944" s="13"/>
      <c r="D1944" s="13"/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</row>
    <row r="1945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</row>
    <row r="1946">
      <c r="A1946" s="13"/>
      <c r="B1946" s="13"/>
      <c r="C1946" s="13"/>
      <c r="D1946" s="13"/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</row>
    <row r="1947">
      <c r="A1947" s="13"/>
      <c r="B1947" s="13"/>
      <c r="C1947" s="13"/>
      <c r="D1947" s="13"/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</row>
    <row r="1948">
      <c r="A1948" s="13"/>
      <c r="B1948" s="13"/>
      <c r="C1948" s="13"/>
      <c r="D1948" s="13"/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</row>
    <row r="1949">
      <c r="A1949" s="13"/>
      <c r="B1949" s="13"/>
      <c r="C1949" s="13"/>
      <c r="D1949" s="13"/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</row>
    <row r="1950">
      <c r="A1950" s="13"/>
      <c r="B1950" s="13"/>
      <c r="C1950" s="13"/>
      <c r="D1950" s="13"/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</row>
    <row r="1951">
      <c r="A1951" s="13"/>
      <c r="B1951" s="13"/>
      <c r="C1951" s="13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</row>
    <row r="1952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</row>
    <row r="1953">
      <c r="A1953" s="13"/>
      <c r="B1953" s="13"/>
      <c r="C1953" s="13"/>
      <c r="D1953" s="13"/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</row>
    <row r="1954">
      <c r="A1954" s="13"/>
      <c r="B1954" s="13"/>
      <c r="C1954" s="13"/>
      <c r="D1954" s="13"/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</row>
    <row r="1955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</row>
    <row r="1956">
      <c r="A1956" s="13"/>
      <c r="B1956" s="13"/>
      <c r="C1956" s="13"/>
      <c r="D1956" s="13"/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</row>
    <row r="1957">
      <c r="A1957" s="13"/>
      <c r="B1957" s="13"/>
      <c r="C1957" s="13"/>
      <c r="D1957" s="13"/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</row>
    <row r="1958">
      <c r="A1958" s="13"/>
      <c r="B1958" s="13"/>
      <c r="C1958" s="13"/>
      <c r="D1958" s="13"/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</row>
    <row r="1959">
      <c r="A1959" s="13"/>
      <c r="B1959" s="13"/>
      <c r="C1959" s="13"/>
      <c r="D1959" s="13"/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</row>
    <row r="1960">
      <c r="A1960" s="13"/>
      <c r="B1960" s="13"/>
      <c r="C1960" s="13"/>
      <c r="D1960" s="13"/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</row>
    <row r="1961">
      <c r="A1961" s="13"/>
      <c r="B1961" s="13"/>
      <c r="C1961" s="13"/>
      <c r="D1961" s="13"/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</row>
    <row r="1962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</row>
    <row r="1963">
      <c r="A1963" s="13"/>
      <c r="B1963" s="13"/>
      <c r="C1963" s="13"/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</row>
    <row r="1964">
      <c r="A1964" s="13"/>
      <c r="B1964" s="13"/>
      <c r="C1964" s="13"/>
      <c r="D1964" s="13"/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</row>
    <row r="1965">
      <c r="A1965" s="13"/>
      <c r="B1965" s="13"/>
      <c r="C1965" s="13"/>
      <c r="D1965" s="13"/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</row>
    <row r="1966">
      <c r="A1966" s="13"/>
      <c r="B1966" s="13"/>
      <c r="C1966" s="13"/>
      <c r="D1966" s="13"/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</row>
    <row r="1967">
      <c r="A1967" s="13"/>
      <c r="B1967" s="13"/>
      <c r="C1967" s="13"/>
      <c r="D1967" s="13"/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</row>
    <row r="1968">
      <c r="A1968" s="13"/>
      <c r="B1968" s="13"/>
      <c r="C1968" s="13"/>
      <c r="D1968" s="13"/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</row>
    <row r="1969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</row>
    <row r="1970">
      <c r="A1970" s="13"/>
      <c r="B1970" s="13"/>
      <c r="C1970" s="13"/>
      <c r="D1970" s="13"/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</row>
    <row r="197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</row>
    <row r="1972">
      <c r="A1972" s="13"/>
      <c r="B1972" s="13"/>
      <c r="C1972" s="13"/>
      <c r="D1972" s="13"/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</row>
    <row r="1973">
      <c r="A1973" s="13"/>
      <c r="B1973" s="13"/>
      <c r="C1973" s="13"/>
      <c r="D1973" s="13"/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</row>
    <row r="1974">
      <c r="A1974" s="13"/>
      <c r="B1974" s="13"/>
      <c r="C1974" s="13"/>
      <c r="D1974" s="13"/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</row>
    <row r="1975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</row>
    <row r="1976">
      <c r="A1976" s="13"/>
      <c r="B1976" s="13"/>
      <c r="C1976" s="13"/>
      <c r="D1976" s="13"/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</row>
    <row r="1977">
      <c r="A1977" s="13"/>
      <c r="B1977" s="13"/>
      <c r="C1977" s="13"/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/>
    </row>
    <row r="1978">
      <c r="A1978" s="13"/>
      <c r="B1978" s="13"/>
      <c r="C1978" s="13"/>
      <c r="D1978" s="13"/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</row>
    <row r="1979">
      <c r="A1979" s="13"/>
      <c r="B1979" s="13"/>
      <c r="C1979" s="13"/>
      <c r="D1979" s="13"/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</row>
    <row r="1980">
      <c r="A1980" s="13"/>
      <c r="B1980" s="13"/>
      <c r="C1980" s="13"/>
      <c r="D1980" s="13"/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</row>
    <row r="1981">
      <c r="A1981" s="13"/>
      <c r="B1981" s="13"/>
      <c r="C1981" s="13"/>
      <c r="D1981" s="13"/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</row>
    <row r="1982">
      <c r="A1982" s="13"/>
      <c r="B1982" s="13"/>
      <c r="C1982" s="13"/>
      <c r="D1982" s="13"/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</row>
    <row r="1983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</row>
    <row r="1984">
      <c r="A1984" s="13"/>
      <c r="B1984" s="13"/>
      <c r="C1984" s="13"/>
      <c r="D1984" s="13"/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</row>
    <row r="1985">
      <c r="A1985" s="13"/>
      <c r="B1985" s="13"/>
      <c r="C1985" s="13"/>
      <c r="D1985" s="13"/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</row>
    <row r="1986">
      <c r="A1986" s="13"/>
      <c r="B1986" s="13"/>
      <c r="C1986" s="13"/>
      <c r="D1986" s="13"/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</row>
    <row r="1987">
      <c r="A1987" s="13"/>
      <c r="B1987" s="13"/>
      <c r="C1987" s="13"/>
      <c r="D1987" s="13"/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</row>
    <row r="1988">
      <c r="A1988" s="13"/>
      <c r="B1988" s="13"/>
      <c r="C1988" s="13"/>
      <c r="D1988" s="13"/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</row>
    <row r="1989">
      <c r="A1989" s="13"/>
      <c r="B1989" s="13"/>
      <c r="C1989" s="13"/>
      <c r="D1989" s="13"/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</row>
    <row r="1990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</row>
    <row r="1991">
      <c r="A1991" s="13"/>
      <c r="B1991" s="13"/>
      <c r="C1991" s="13"/>
      <c r="D1991" s="13"/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</row>
    <row r="1992">
      <c r="A1992" s="13"/>
      <c r="B1992" s="13"/>
      <c r="C1992" s="13"/>
      <c r="D1992" s="13"/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</row>
    <row r="1993">
      <c r="A1993" s="13"/>
      <c r="B1993" s="13"/>
      <c r="C1993" s="13"/>
      <c r="D1993" s="13"/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</row>
    <row r="1994">
      <c r="A1994" s="13"/>
      <c r="B1994" s="13"/>
      <c r="C1994" s="13"/>
      <c r="D1994" s="13"/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</row>
    <row r="1995">
      <c r="A1995" s="13"/>
      <c r="B1995" s="13"/>
      <c r="C1995" s="13"/>
      <c r="D1995" s="13"/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</row>
    <row r="1996">
      <c r="A1996" s="13"/>
      <c r="B1996" s="13"/>
      <c r="C1996" s="13"/>
      <c r="D1996" s="13"/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</row>
    <row r="1997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</row>
    <row r="1998">
      <c r="A1998" s="13"/>
      <c r="B1998" s="13"/>
      <c r="C1998" s="13"/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</row>
    <row r="1999">
      <c r="A1999" s="13"/>
      <c r="B1999" s="13"/>
      <c r="C1999" s="13"/>
      <c r="D1999" s="13"/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</row>
    <row r="2000">
      <c r="A2000" s="13"/>
      <c r="B2000" s="13"/>
      <c r="C2000" s="13"/>
      <c r="D2000" s="13"/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</row>
    <row r="2001">
      <c r="A2001" s="13"/>
      <c r="B2001" s="13"/>
      <c r="C2001" s="13"/>
      <c r="D2001" s="13"/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</row>
    <row r="2002">
      <c r="A2002" s="13"/>
      <c r="B2002" s="13"/>
      <c r="C2002" s="13"/>
      <c r="D2002" s="13"/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/>
    </row>
    <row r="2003">
      <c r="A2003" s="13"/>
      <c r="B2003" s="13"/>
      <c r="C2003" s="13"/>
      <c r="D2003" s="13"/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</row>
    <row r="2004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</row>
    <row r="2005">
      <c r="A2005" s="13"/>
      <c r="B2005" s="13"/>
      <c r="C2005" s="13"/>
      <c r="D2005" s="13"/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</row>
    <row r="2006">
      <c r="A2006" s="13"/>
      <c r="B2006" s="13"/>
      <c r="C2006" s="13"/>
      <c r="D2006" s="13"/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</row>
    <row r="2007">
      <c r="A2007" s="13"/>
      <c r="B2007" s="13"/>
      <c r="C2007" s="13"/>
      <c r="D2007" s="13"/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</row>
    <row r="2008">
      <c r="A2008" s="13"/>
      <c r="B2008" s="13"/>
      <c r="C2008" s="13"/>
      <c r="D2008" s="13"/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</row>
    <row r="2009">
      <c r="A2009" s="13"/>
      <c r="B2009" s="13"/>
      <c r="C2009" s="13"/>
      <c r="D2009" s="13"/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</row>
    <row r="2010">
      <c r="A2010" s="13"/>
      <c r="B2010" s="13"/>
      <c r="C2010" s="13"/>
      <c r="D2010" s="13"/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</row>
    <row r="201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</row>
    <row r="2012">
      <c r="A2012" s="13"/>
      <c r="B2012" s="13"/>
      <c r="C2012" s="13"/>
      <c r="D2012" s="13"/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</row>
    <row r="2013">
      <c r="A2013" s="13"/>
      <c r="B2013" s="13"/>
      <c r="C2013" s="13"/>
      <c r="D2013" s="13"/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</row>
    <row r="2014">
      <c r="A2014" s="13"/>
      <c r="B2014" s="13"/>
      <c r="C2014" s="13"/>
      <c r="D2014" s="13"/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</row>
    <row r="2015">
      <c r="A2015" s="13"/>
      <c r="B2015" s="13"/>
      <c r="C2015" s="13"/>
      <c r="D2015" s="13"/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</row>
    <row r="2016">
      <c r="A2016" s="13"/>
      <c r="B2016" s="13"/>
      <c r="C2016" s="13"/>
      <c r="D2016" s="13"/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</row>
    <row r="2017">
      <c r="A2017" s="13"/>
      <c r="B2017" s="13"/>
      <c r="C2017" s="13"/>
      <c r="D2017" s="13"/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</row>
    <row r="2018">
      <c r="A2018" s="13"/>
      <c r="B2018" s="13"/>
      <c r="C2018" s="13"/>
      <c r="D2018" s="13"/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</row>
    <row r="2019">
      <c r="A2019" s="13"/>
      <c r="B2019" s="13"/>
      <c r="C2019" s="13"/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/>
    </row>
    <row r="2020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</row>
    <row r="2021">
      <c r="A2021" s="13"/>
      <c r="B2021" s="13"/>
      <c r="C2021" s="13"/>
      <c r="D2021" s="13"/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/>
    </row>
    <row r="2022">
      <c r="A2022" s="13"/>
      <c r="B2022" s="13"/>
      <c r="C2022" s="13"/>
      <c r="D2022" s="13"/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/>
    </row>
    <row r="2023">
      <c r="A2023" s="13"/>
      <c r="B2023" s="13"/>
      <c r="C2023" s="13"/>
      <c r="D2023" s="13"/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</row>
    <row r="2024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/>
    </row>
    <row r="2025">
      <c r="A2025" s="13"/>
      <c r="B2025" s="13"/>
      <c r="C2025" s="13"/>
      <c r="D2025" s="13"/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/>
    </row>
    <row r="2026">
      <c r="A2026" s="13"/>
      <c r="B2026" s="13"/>
      <c r="C2026" s="13"/>
      <c r="D2026" s="13"/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/>
    </row>
    <row r="2027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/>
    </row>
    <row r="2028">
      <c r="A2028" s="13"/>
      <c r="B2028" s="13"/>
      <c r="C2028" s="13"/>
      <c r="D2028" s="13"/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/>
    </row>
    <row r="2029">
      <c r="A2029" s="13"/>
      <c r="B2029" s="13"/>
      <c r="C2029" s="13"/>
      <c r="D2029" s="13"/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/>
    </row>
    <row r="2030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</row>
    <row r="2031">
      <c r="A2031" s="13"/>
      <c r="B2031" s="13"/>
      <c r="C2031" s="13"/>
      <c r="D2031" s="13"/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</row>
    <row r="2032">
      <c r="A2032" s="13"/>
      <c r="B2032" s="13"/>
      <c r="C2032" s="13"/>
      <c r="D2032" s="13"/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</row>
    <row r="2033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</row>
    <row r="2034">
      <c r="A2034" s="13"/>
      <c r="B2034" s="13"/>
      <c r="C2034" s="13"/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</row>
    <row r="2035">
      <c r="A2035" s="13"/>
      <c r="B2035" s="13"/>
      <c r="C2035" s="13"/>
      <c r="D2035" s="13"/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</row>
    <row r="2036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</row>
    <row r="2037">
      <c r="A2037" s="13"/>
      <c r="B2037" s="13"/>
      <c r="C2037" s="13"/>
      <c r="D2037" s="13"/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</row>
    <row r="2038">
      <c r="A2038" s="13"/>
      <c r="B2038" s="13"/>
      <c r="C2038" s="13"/>
      <c r="D2038" s="13"/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</row>
    <row r="2039">
      <c r="A2039" s="13"/>
      <c r="B2039" s="13"/>
      <c r="C2039" s="13"/>
      <c r="D2039" s="13"/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</row>
    <row r="2040">
      <c r="A2040" s="13"/>
      <c r="B2040" s="13"/>
      <c r="C2040" s="13"/>
      <c r="D2040" s="13"/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</row>
    <row r="204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</row>
    <row r="2042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</row>
    <row r="2043">
      <c r="A2043" s="13"/>
      <c r="B2043" s="13"/>
      <c r="C2043" s="13"/>
      <c r="D2043" s="13"/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</row>
    <row r="2044">
      <c r="A2044" s="13"/>
      <c r="B2044" s="13"/>
      <c r="C2044" s="13"/>
      <c r="D2044" s="13"/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</row>
    <row r="2045">
      <c r="A2045" s="13"/>
      <c r="B2045" s="13"/>
      <c r="C2045" s="13"/>
      <c r="D2045" s="13"/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</row>
    <row r="2046">
      <c r="A2046" s="13"/>
      <c r="B2046" s="13"/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</row>
    <row r="2047">
      <c r="A2047" s="13"/>
      <c r="B2047" s="13"/>
      <c r="C2047" s="13"/>
      <c r="D2047" s="13"/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</row>
    <row r="2048">
      <c r="A2048" s="13"/>
      <c r="B2048" s="13"/>
      <c r="C2048" s="13"/>
      <c r="D2048" s="13"/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</row>
    <row r="2049">
      <c r="A2049" s="13"/>
      <c r="B2049" s="13"/>
      <c r="C2049" s="13"/>
      <c r="D2049" s="13"/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</row>
    <row r="2050">
      <c r="A2050" s="13"/>
      <c r="B2050" s="13"/>
      <c r="C2050" s="13"/>
      <c r="D2050" s="13"/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</row>
    <row r="205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</row>
    <row r="2052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</row>
    <row r="2053">
      <c r="A2053" s="13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</row>
    <row r="2054">
      <c r="A2054" s="13"/>
      <c r="B2054" s="13"/>
      <c r="C2054" s="13"/>
      <c r="D2054" s="13"/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</row>
    <row r="2055">
      <c r="A2055" s="13"/>
      <c r="B2055" s="13"/>
      <c r="C2055" s="13"/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</row>
    <row r="2056">
      <c r="A2056" s="13"/>
      <c r="B2056" s="13"/>
      <c r="C2056" s="13"/>
      <c r="D2056" s="13"/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</row>
    <row r="2057">
      <c r="A2057" s="13"/>
      <c r="B2057" s="13"/>
      <c r="C2057" s="13"/>
      <c r="D2057" s="13"/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</row>
    <row r="2058">
      <c r="A2058" s="13"/>
      <c r="B2058" s="13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</row>
    <row r="2059">
      <c r="A2059" s="13"/>
      <c r="B2059" s="13"/>
      <c r="C2059" s="13"/>
      <c r="D2059" s="13"/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</row>
    <row r="2060">
      <c r="A2060" s="13"/>
      <c r="B2060" s="13"/>
      <c r="C2060" s="13"/>
      <c r="D2060" s="13"/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</row>
    <row r="2061">
      <c r="A2061" s="13"/>
      <c r="B2061" s="13"/>
      <c r="C2061" s="13"/>
      <c r="D2061" s="13"/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</row>
    <row r="2062">
      <c r="A2062" s="13"/>
      <c r="B2062" s="13"/>
      <c r="C2062" s="13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</row>
    <row r="2063">
      <c r="A2063" s="13"/>
      <c r="B2063" s="13"/>
      <c r="C2063" s="13"/>
      <c r="D2063" s="13"/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</row>
    <row r="2064">
      <c r="A2064" s="13"/>
      <c r="B2064" s="13"/>
      <c r="C2064" s="13"/>
      <c r="D2064" s="13"/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</row>
    <row r="2065">
      <c r="A2065" s="13"/>
      <c r="B2065" s="13"/>
      <c r="C2065" s="13"/>
      <c r="D2065" s="13"/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</row>
    <row r="2066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</row>
    <row r="2067">
      <c r="A2067" s="13"/>
      <c r="B2067" s="13"/>
      <c r="C2067" s="13"/>
      <c r="D2067" s="13"/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</row>
    <row r="2068">
      <c r="A2068" s="13"/>
      <c r="B2068" s="13"/>
      <c r="C2068" s="13"/>
      <c r="D2068" s="13"/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</row>
    <row r="2069">
      <c r="A2069" s="13"/>
      <c r="B2069" s="13"/>
      <c r="C2069" s="13"/>
      <c r="D2069" s="13"/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</row>
    <row r="2070">
      <c r="A2070" s="13"/>
      <c r="B2070" s="13"/>
      <c r="C2070" s="13"/>
      <c r="D2070" s="13"/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</row>
    <row r="2071">
      <c r="A2071" s="13"/>
      <c r="B2071" s="13"/>
      <c r="C2071" s="13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</row>
    <row r="2072">
      <c r="A2072" s="13"/>
      <c r="B2072" s="13"/>
      <c r="C2072" s="13"/>
      <c r="D2072" s="13"/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  <c r="AG2072" s="13"/>
    </row>
    <row r="2073">
      <c r="A2073" s="13"/>
      <c r="B2073" s="13"/>
      <c r="C2073" s="13"/>
      <c r="D2073" s="13"/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</row>
    <row r="2074">
      <c r="A2074" s="13"/>
      <c r="B2074" s="13"/>
      <c r="C2074" s="13"/>
      <c r="D2074" s="13"/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</row>
    <row r="2075">
      <c r="A2075" s="13"/>
      <c r="B2075" s="13"/>
      <c r="C2075" s="13"/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</row>
    <row r="2076">
      <c r="A2076" s="13"/>
      <c r="B2076" s="13"/>
      <c r="C2076" s="13"/>
      <c r="D2076" s="13"/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</row>
    <row r="2077">
      <c r="A2077" s="13"/>
      <c r="B2077" s="13"/>
      <c r="C2077" s="13"/>
      <c r="D2077" s="13"/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</row>
    <row r="2078">
      <c r="A2078" s="13"/>
      <c r="B2078" s="13"/>
      <c r="C2078" s="13"/>
      <c r="D2078" s="13"/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</row>
    <row r="2079">
      <c r="A2079" s="13"/>
      <c r="B2079" s="13"/>
      <c r="C2079" s="13"/>
      <c r="D2079" s="13"/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</row>
    <row r="2080">
      <c r="A2080" s="13"/>
      <c r="B2080" s="13"/>
      <c r="C2080" s="13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</row>
    <row r="2081">
      <c r="A2081" s="13"/>
      <c r="B2081" s="13"/>
      <c r="C2081" s="13"/>
      <c r="D2081" s="13"/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</row>
    <row r="2082">
      <c r="A2082" s="13"/>
      <c r="B2082" s="13"/>
      <c r="C2082" s="13"/>
      <c r="D2082" s="13"/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</row>
    <row r="2083">
      <c r="A2083" s="13"/>
      <c r="B2083" s="13"/>
      <c r="C2083" s="13"/>
      <c r="D2083" s="13"/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</row>
    <row r="2084">
      <c r="A2084" s="13"/>
      <c r="B2084" s="13"/>
      <c r="C2084" s="13"/>
      <c r="D2084" s="13"/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</row>
    <row r="2085">
      <c r="A2085" s="13"/>
      <c r="B2085" s="13"/>
      <c r="C2085" s="13"/>
      <c r="D2085" s="13"/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</row>
    <row r="2086">
      <c r="A2086" s="13"/>
      <c r="B2086" s="13"/>
      <c r="C2086" s="13"/>
      <c r="D2086" s="13"/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</row>
    <row r="2087">
      <c r="A2087" s="13"/>
      <c r="B2087" s="13"/>
      <c r="C2087" s="13"/>
      <c r="D2087" s="13"/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</row>
    <row r="2088">
      <c r="A2088" s="13"/>
      <c r="B2088" s="13"/>
      <c r="C2088" s="13"/>
      <c r="D2088" s="13"/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</row>
    <row r="2089">
      <c r="A2089" s="13"/>
      <c r="B2089" s="13"/>
      <c r="C2089" s="13"/>
      <c r="D2089" s="13"/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</row>
    <row r="2090">
      <c r="A2090" s="13"/>
      <c r="B2090" s="13"/>
      <c r="C2090" s="13"/>
      <c r="D2090" s="13"/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</row>
    <row r="2091">
      <c r="A2091" s="13"/>
      <c r="B2091" s="13"/>
      <c r="C2091" s="13"/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</row>
    <row r="2092">
      <c r="A2092" s="13"/>
      <c r="B2092" s="13"/>
      <c r="C2092" s="13"/>
      <c r="D2092" s="13"/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</row>
    <row r="2093">
      <c r="A2093" s="13"/>
      <c r="B2093" s="13"/>
      <c r="C2093" s="13"/>
      <c r="D2093" s="13"/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</row>
    <row r="2094">
      <c r="A2094" s="13"/>
      <c r="B2094" s="13"/>
      <c r="C2094" s="13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</row>
    <row r="2095">
      <c r="A2095" s="13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</row>
    <row r="2096">
      <c r="A2096" s="13"/>
      <c r="B2096" s="13"/>
      <c r="C2096" s="13"/>
      <c r="D2096" s="13"/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</row>
    <row r="2097">
      <c r="A2097" s="13"/>
      <c r="B2097" s="13"/>
      <c r="C2097" s="13"/>
      <c r="D2097" s="13"/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</row>
    <row r="2098">
      <c r="A2098" s="13"/>
      <c r="B2098" s="13"/>
      <c r="C2098" s="13"/>
      <c r="D2098" s="13"/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</row>
    <row r="2099">
      <c r="A2099" s="13"/>
      <c r="B2099" s="13"/>
      <c r="C2099" s="13"/>
      <c r="D2099" s="13"/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</row>
    <row r="2100">
      <c r="A2100" s="13"/>
      <c r="B2100" s="13"/>
      <c r="C2100" s="13"/>
      <c r="D2100" s="13"/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</row>
    <row r="2101">
      <c r="A2101" s="13"/>
      <c r="B2101" s="13"/>
      <c r="C2101" s="13"/>
      <c r="D2101" s="13"/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</row>
    <row r="2102">
      <c r="A2102" s="13"/>
      <c r="B2102" s="13"/>
      <c r="C2102" s="13"/>
      <c r="D2102" s="13"/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</row>
    <row r="2103">
      <c r="A2103" s="13"/>
      <c r="B2103" s="13"/>
      <c r="C2103" s="13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</row>
    <row r="2104">
      <c r="A2104" s="13"/>
      <c r="B2104" s="13"/>
      <c r="C2104" s="13"/>
      <c r="D2104" s="13"/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</row>
    <row r="2105">
      <c r="A2105" s="13"/>
      <c r="B2105" s="13"/>
      <c r="C2105" s="13"/>
      <c r="D2105" s="13"/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</row>
    <row r="2106">
      <c r="A2106" s="13"/>
      <c r="B2106" s="13"/>
      <c r="C2106" s="13"/>
      <c r="D2106" s="13"/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</row>
    <row r="2107">
      <c r="A2107" s="13"/>
      <c r="B2107" s="13"/>
      <c r="C2107" s="13"/>
      <c r="D2107" s="13"/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</row>
    <row r="2108">
      <c r="A2108" s="13"/>
      <c r="B2108" s="13"/>
      <c r="C2108" s="13"/>
      <c r="D2108" s="13"/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</row>
    <row r="2109">
      <c r="A2109" s="13"/>
      <c r="B2109" s="13"/>
      <c r="C2109" s="13"/>
      <c r="D2109" s="13"/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</row>
    <row r="2110">
      <c r="A2110" s="13"/>
      <c r="B2110" s="13"/>
      <c r="C2110" s="13"/>
      <c r="D2110" s="13"/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</row>
    <row r="2111">
      <c r="A2111" s="13"/>
      <c r="B2111" s="13"/>
      <c r="C2111" s="13"/>
      <c r="D2111" s="13"/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</row>
    <row r="2112">
      <c r="A2112" s="13"/>
      <c r="B2112" s="13"/>
      <c r="C2112" s="13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</row>
    <row r="2113">
      <c r="A2113" s="13"/>
      <c r="B2113" s="13"/>
      <c r="C2113" s="13"/>
      <c r="D2113" s="13"/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</row>
    <row r="2114">
      <c r="A2114" s="13"/>
      <c r="B2114" s="13"/>
      <c r="C2114" s="13"/>
      <c r="D2114" s="13"/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</row>
    <row r="2115">
      <c r="A2115" s="13"/>
      <c r="B2115" s="13"/>
      <c r="C2115" s="13"/>
      <c r="D2115" s="13"/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</row>
    <row r="2116">
      <c r="A2116" s="13"/>
      <c r="B2116" s="13"/>
      <c r="C2116" s="13"/>
      <c r="D2116" s="13"/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</row>
    <row r="2117">
      <c r="A2117" s="13"/>
      <c r="B2117" s="13"/>
      <c r="C2117" s="13"/>
      <c r="D2117" s="13"/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</row>
    <row r="2118">
      <c r="A2118" s="13"/>
      <c r="B2118" s="13"/>
      <c r="C2118" s="13"/>
      <c r="D2118" s="13"/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/>
    </row>
    <row r="2119">
      <c r="A2119" s="13"/>
      <c r="B2119" s="13"/>
      <c r="C2119" s="13"/>
      <c r="D2119" s="13"/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</row>
    <row r="2120">
      <c r="A2120" s="13"/>
      <c r="B2120" s="13"/>
      <c r="C2120" s="13"/>
      <c r="D2120" s="13"/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</row>
    <row r="2121">
      <c r="A2121" s="13"/>
      <c r="B2121" s="13"/>
      <c r="C2121" s="13"/>
      <c r="D2121" s="13"/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</row>
    <row r="2122">
      <c r="A2122" s="13"/>
      <c r="B2122" s="13"/>
      <c r="C2122" s="13"/>
      <c r="D2122" s="13"/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</row>
    <row r="2123">
      <c r="A2123" s="13"/>
      <c r="B2123" s="13"/>
      <c r="C2123" s="13"/>
      <c r="D2123" s="13"/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</row>
    <row r="2124">
      <c r="A2124" s="13"/>
      <c r="B2124" s="13"/>
      <c r="C2124" s="13"/>
      <c r="D2124" s="13"/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</row>
    <row r="2125">
      <c r="A2125" s="13"/>
      <c r="B2125" s="13"/>
      <c r="C2125" s="13"/>
      <c r="D2125" s="13"/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</row>
    <row r="2126">
      <c r="A2126" s="13"/>
      <c r="B2126" s="13"/>
      <c r="C2126" s="13"/>
      <c r="D2126" s="13"/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</row>
    <row r="2127">
      <c r="A2127" s="13"/>
      <c r="B2127" s="13"/>
      <c r="C2127" s="13"/>
      <c r="D2127" s="13"/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</row>
    <row r="2128">
      <c r="A2128" s="13"/>
      <c r="B2128" s="13"/>
      <c r="C2128" s="13"/>
      <c r="D2128" s="13"/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</row>
    <row r="2129">
      <c r="A2129" s="13"/>
      <c r="B2129" s="13"/>
      <c r="C2129" s="13"/>
      <c r="D2129" s="13"/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</row>
    <row r="2130">
      <c r="A2130" s="13"/>
      <c r="B2130" s="13"/>
      <c r="C2130" s="13"/>
      <c r="D2130" s="13"/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</row>
    <row r="2131">
      <c r="A2131" s="13"/>
      <c r="B2131" s="13"/>
      <c r="C2131" s="13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</row>
    <row r="2132">
      <c r="A2132" s="13"/>
      <c r="B2132" s="13"/>
      <c r="C2132" s="13"/>
      <c r="D2132" s="13"/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</row>
    <row r="2133">
      <c r="A2133" s="13"/>
      <c r="B2133" s="13"/>
      <c r="C2133" s="13"/>
      <c r="D2133" s="13"/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</row>
    <row r="2134">
      <c r="A2134" s="13"/>
      <c r="B2134" s="13"/>
      <c r="C2134" s="13"/>
      <c r="D2134" s="13"/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</row>
    <row r="2135">
      <c r="A2135" s="13"/>
      <c r="B2135" s="13"/>
      <c r="C2135" s="13"/>
      <c r="D2135" s="13"/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</row>
    <row r="2136">
      <c r="A2136" s="13"/>
      <c r="B2136" s="13"/>
      <c r="C2136" s="13"/>
      <c r="D2136" s="13"/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</row>
    <row r="2137">
      <c r="A2137" s="13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/>
    </row>
    <row r="2138">
      <c r="A2138" s="13"/>
      <c r="B2138" s="13"/>
      <c r="C2138" s="13"/>
      <c r="D2138" s="13"/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/>
    </row>
    <row r="2139">
      <c r="A2139" s="13"/>
      <c r="B2139" s="13"/>
      <c r="C2139" s="13"/>
      <c r="D2139" s="13"/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</row>
    <row r="2140">
      <c r="A2140" s="13"/>
      <c r="B2140" s="13"/>
      <c r="C2140" s="13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</row>
    <row r="2141">
      <c r="A2141" s="13"/>
      <c r="B2141" s="13"/>
      <c r="C2141" s="13"/>
      <c r="D2141" s="13"/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</row>
    <row r="2142">
      <c r="A2142" s="13"/>
      <c r="B2142" s="13"/>
      <c r="C2142" s="13"/>
      <c r="D2142" s="13"/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/>
    </row>
    <row r="2143">
      <c r="A2143" s="13"/>
      <c r="B2143" s="13"/>
      <c r="C2143" s="13"/>
      <c r="D2143" s="13"/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/>
    </row>
    <row r="2144">
      <c r="A2144" s="13"/>
      <c r="B2144" s="13"/>
      <c r="C2144" s="13"/>
      <c r="D2144" s="13"/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/>
    </row>
    <row r="2145">
      <c r="A2145" s="13"/>
      <c r="B2145" s="13"/>
      <c r="C2145" s="13"/>
      <c r="D2145" s="13"/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/>
    </row>
    <row r="2146">
      <c r="A2146" s="13"/>
      <c r="B2146" s="13"/>
      <c r="C2146" s="13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/>
    </row>
    <row r="2147">
      <c r="A2147" s="13"/>
      <c r="B2147" s="13"/>
      <c r="C2147" s="13"/>
      <c r="D2147" s="13"/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/>
    </row>
    <row r="2148">
      <c r="A2148" s="13"/>
      <c r="B2148" s="13"/>
      <c r="C2148" s="13"/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/>
    </row>
    <row r="2149">
      <c r="A2149" s="13"/>
      <c r="B2149" s="13"/>
      <c r="C2149" s="13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/>
    </row>
    <row r="2150">
      <c r="A2150" s="13"/>
      <c r="B2150" s="13"/>
      <c r="C2150" s="13"/>
      <c r="D2150" s="13"/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3"/>
      <c r="AD2150" s="13"/>
      <c r="AE2150" s="13"/>
      <c r="AF2150" s="13"/>
      <c r="AG2150" s="13"/>
    </row>
    <row r="2151">
      <c r="A2151" s="13"/>
      <c r="B2151" s="13"/>
      <c r="C2151" s="13"/>
      <c r="D2151" s="13"/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/>
    </row>
    <row r="2152">
      <c r="A2152" s="13"/>
      <c r="B2152" s="13"/>
      <c r="C2152" s="13"/>
      <c r="D2152" s="13"/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/>
    </row>
    <row r="2153">
      <c r="A2153" s="13"/>
      <c r="B2153" s="13"/>
      <c r="C2153" s="13"/>
      <c r="D2153" s="13"/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/>
    </row>
    <row r="2154">
      <c r="A2154" s="13"/>
      <c r="B2154" s="13"/>
      <c r="C2154" s="13"/>
      <c r="D2154" s="13"/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/>
    </row>
    <row r="2155">
      <c r="A2155" s="13"/>
      <c r="B2155" s="13"/>
      <c r="C2155" s="13"/>
      <c r="D2155" s="13"/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/>
    </row>
    <row r="2156">
      <c r="A2156" s="13"/>
      <c r="B2156" s="13"/>
      <c r="C2156" s="13"/>
      <c r="D2156" s="13"/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  <c r="AG2156" s="13"/>
    </row>
    <row r="2157">
      <c r="A2157" s="13"/>
      <c r="B2157" s="13"/>
      <c r="C2157" s="13"/>
      <c r="D2157" s="13"/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/>
    </row>
    <row r="2158">
      <c r="A2158" s="13"/>
      <c r="B2158" s="13"/>
      <c r="C2158" s="13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</row>
    <row r="2159">
      <c r="A2159" s="13"/>
      <c r="B2159" s="13"/>
      <c r="C2159" s="13"/>
      <c r="D2159" s="13"/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/>
    </row>
    <row r="2160">
      <c r="A2160" s="13"/>
      <c r="B2160" s="13"/>
      <c r="C2160" s="13"/>
      <c r="D2160" s="13"/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/>
    </row>
    <row r="2161">
      <c r="A2161" s="13"/>
      <c r="B2161" s="13"/>
      <c r="C2161" s="13"/>
      <c r="D2161" s="13"/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/>
    </row>
    <row r="2162">
      <c r="A2162" s="13"/>
      <c r="B2162" s="13"/>
      <c r="C2162" s="13"/>
      <c r="D2162" s="13"/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/>
    </row>
    <row r="2163">
      <c r="A2163" s="13"/>
      <c r="B2163" s="13"/>
      <c r="C2163" s="13"/>
      <c r="D2163" s="13"/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  <c r="AG2163" s="13"/>
    </row>
    <row r="2164">
      <c r="A2164" s="13"/>
      <c r="B2164" s="13"/>
      <c r="C2164" s="13"/>
      <c r="D2164" s="13"/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/>
    </row>
    <row r="2165">
      <c r="A2165" s="13"/>
      <c r="B2165" s="13"/>
      <c r="C2165" s="13"/>
      <c r="D2165" s="13"/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/>
    </row>
    <row r="2166">
      <c r="A2166" s="13"/>
      <c r="B2166" s="13"/>
      <c r="C2166" s="13"/>
      <c r="D2166" s="13"/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/>
    </row>
    <row r="2167">
      <c r="A2167" s="13"/>
      <c r="B2167" s="13"/>
      <c r="C2167" s="13"/>
      <c r="D2167" s="13"/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  <c r="AG2167" s="13"/>
    </row>
    <row r="2168">
      <c r="A2168" s="13"/>
      <c r="B2168" s="13"/>
      <c r="C2168" s="13"/>
      <c r="D2168" s="13"/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/>
    </row>
    <row r="2169">
      <c r="A2169" s="13"/>
      <c r="B2169" s="13"/>
      <c r="C2169" s="13"/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  <c r="AG2169" s="13"/>
    </row>
    <row r="2170">
      <c r="A2170" s="13"/>
      <c r="B2170" s="13"/>
      <c r="C2170" s="13"/>
      <c r="D2170" s="13"/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/>
    </row>
    <row r="2171">
      <c r="A2171" s="13"/>
      <c r="B2171" s="13"/>
      <c r="C2171" s="13"/>
      <c r="D2171" s="13"/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/>
    </row>
    <row r="2172">
      <c r="A2172" s="13"/>
      <c r="B2172" s="13"/>
      <c r="C2172" s="13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  <c r="AG2172" s="13"/>
    </row>
    <row r="2173">
      <c r="A2173" s="13"/>
      <c r="B2173" s="13"/>
      <c r="C2173" s="13"/>
      <c r="D2173" s="13"/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/>
    </row>
    <row r="2174">
      <c r="A2174" s="13"/>
      <c r="B2174" s="13"/>
      <c r="C2174" s="13"/>
      <c r="D2174" s="13"/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/>
    </row>
    <row r="2175">
      <c r="A2175" s="13"/>
      <c r="B2175" s="13"/>
      <c r="C2175" s="13"/>
      <c r="D2175" s="13"/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/>
    </row>
    <row r="2176">
      <c r="A2176" s="13"/>
      <c r="B2176" s="13"/>
      <c r="C2176" s="13"/>
      <c r="D2176" s="13"/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/>
    </row>
    <row r="2177">
      <c r="A2177" s="13"/>
      <c r="B2177" s="13"/>
      <c r="C2177" s="13"/>
      <c r="D2177" s="13"/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/>
    </row>
    <row r="2178">
      <c r="A2178" s="13"/>
      <c r="B2178" s="13"/>
      <c r="C2178" s="13"/>
      <c r="D2178" s="13"/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/>
    </row>
    <row r="2179">
      <c r="A2179" s="13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/>
    </row>
    <row r="2180">
      <c r="A2180" s="13"/>
      <c r="B2180" s="13"/>
      <c r="C2180" s="13"/>
      <c r="D2180" s="13"/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  <c r="AG2180" s="13"/>
    </row>
    <row r="2181">
      <c r="A2181" s="13"/>
      <c r="B2181" s="13"/>
      <c r="C2181" s="13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</row>
    <row r="2182">
      <c r="A2182" s="13"/>
      <c r="B2182" s="13"/>
      <c r="C2182" s="13"/>
      <c r="D2182" s="13"/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</row>
    <row r="2183">
      <c r="A2183" s="13"/>
      <c r="B2183" s="13"/>
      <c r="C2183" s="13"/>
      <c r="D2183" s="13"/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</row>
    <row r="2184">
      <c r="A2184" s="13"/>
      <c r="B2184" s="13"/>
      <c r="C2184" s="13"/>
      <c r="D2184" s="13"/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/>
    </row>
    <row r="2185">
      <c r="A2185" s="13"/>
      <c r="B2185" s="13"/>
      <c r="C2185" s="13"/>
      <c r="D2185" s="13"/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/>
    </row>
    <row r="2186">
      <c r="A2186" s="13"/>
      <c r="B2186" s="13"/>
      <c r="C2186" s="13"/>
      <c r="D2186" s="13"/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  <c r="AG2186" s="13"/>
    </row>
    <row r="2187">
      <c r="A2187" s="13"/>
      <c r="B2187" s="13"/>
      <c r="C2187" s="13"/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/>
    </row>
    <row r="2188">
      <c r="A2188" s="13"/>
      <c r="B2188" s="13"/>
      <c r="C2188" s="13"/>
      <c r="D2188" s="13"/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/>
    </row>
    <row r="2189">
      <c r="A2189" s="13"/>
      <c r="B2189" s="13"/>
      <c r="C2189" s="13"/>
      <c r="D2189" s="13"/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/>
    </row>
    <row r="2190">
      <c r="A2190" s="13"/>
      <c r="B2190" s="13"/>
      <c r="C2190" s="13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/>
    </row>
    <row r="2191">
      <c r="A2191" s="13"/>
      <c r="B2191" s="13"/>
      <c r="C2191" s="13"/>
      <c r="D2191" s="13"/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/>
    </row>
    <row r="2192">
      <c r="A2192" s="13"/>
      <c r="B2192" s="13"/>
      <c r="C2192" s="13"/>
      <c r="D2192" s="13"/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/>
    </row>
    <row r="2193">
      <c r="A2193" s="13"/>
      <c r="B2193" s="13"/>
      <c r="C2193" s="13"/>
      <c r="D2193" s="13"/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/>
    </row>
    <row r="2194">
      <c r="A2194" s="13"/>
      <c r="B2194" s="13"/>
      <c r="C2194" s="13"/>
      <c r="D2194" s="13"/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/>
    </row>
    <row r="2195">
      <c r="A2195" s="13"/>
      <c r="B2195" s="13"/>
      <c r="C2195" s="13"/>
      <c r="D2195" s="13"/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  <c r="AG2195" s="13"/>
    </row>
    <row r="2196">
      <c r="A2196" s="13"/>
      <c r="B2196" s="13"/>
      <c r="C2196" s="13"/>
      <c r="D2196" s="13"/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/>
    </row>
    <row r="2197">
      <c r="A2197" s="13"/>
      <c r="B2197" s="13"/>
      <c r="C2197" s="13"/>
      <c r="D2197" s="13"/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/>
    </row>
    <row r="2198">
      <c r="A2198" s="13"/>
      <c r="B2198" s="13"/>
      <c r="C2198" s="13"/>
      <c r="D2198" s="13"/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/>
    </row>
    <row r="2199">
      <c r="A2199" s="13"/>
      <c r="B2199" s="13"/>
      <c r="C2199" s="13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/>
    </row>
    <row r="2200">
      <c r="A2200" s="13"/>
      <c r="B2200" s="13"/>
      <c r="C2200" s="13"/>
      <c r="D2200" s="13"/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/>
    </row>
    <row r="2201">
      <c r="A2201" s="13"/>
      <c r="B2201" s="13"/>
      <c r="C2201" s="13"/>
      <c r="D2201" s="13"/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/>
    </row>
    <row r="2202">
      <c r="A2202" s="13"/>
      <c r="B2202" s="13"/>
      <c r="C2202" s="13"/>
      <c r="D2202" s="13"/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/>
    </row>
    <row r="2203">
      <c r="A2203" s="13"/>
      <c r="B2203" s="13"/>
      <c r="C2203" s="13"/>
      <c r="D2203" s="13"/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  <c r="AG2203" s="13"/>
    </row>
    <row r="2204">
      <c r="A2204" s="13"/>
      <c r="B2204" s="13"/>
      <c r="C2204" s="13"/>
      <c r="D2204" s="13"/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/>
    </row>
    <row r="2205">
      <c r="A2205" s="13"/>
      <c r="B2205" s="13"/>
      <c r="C2205" s="13"/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/>
    </row>
    <row r="2206">
      <c r="A2206" s="13"/>
      <c r="B2206" s="13"/>
      <c r="C2206" s="13"/>
      <c r="D2206" s="13"/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/>
    </row>
    <row r="2207">
      <c r="A2207" s="13"/>
      <c r="B2207" s="13"/>
      <c r="C2207" s="13"/>
      <c r="D2207" s="13"/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/>
    </row>
    <row r="2208">
      <c r="A2208" s="13"/>
      <c r="B2208" s="13"/>
      <c r="C2208" s="13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/>
    </row>
    <row r="2209">
      <c r="A2209" s="13"/>
      <c r="B2209" s="13"/>
      <c r="C2209" s="13"/>
      <c r="D2209" s="13"/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/>
    </row>
    <row r="2210">
      <c r="A2210" s="13"/>
      <c r="B2210" s="13"/>
      <c r="C2210" s="13"/>
      <c r="D2210" s="13"/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/>
    </row>
    <row r="2211">
      <c r="A2211" s="13"/>
      <c r="B2211" s="13"/>
      <c r="C2211" s="13"/>
      <c r="D2211" s="13"/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  <c r="AG2211" s="13"/>
    </row>
    <row r="2212">
      <c r="A2212" s="13"/>
      <c r="B2212" s="13"/>
      <c r="C2212" s="13"/>
      <c r="D2212" s="13"/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/>
    </row>
    <row r="2213">
      <c r="A2213" s="13"/>
      <c r="B2213" s="13"/>
      <c r="C2213" s="13"/>
      <c r="D2213" s="13"/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/>
    </row>
    <row r="2214">
      <c r="A2214" s="13"/>
      <c r="B2214" s="13"/>
      <c r="C2214" s="13"/>
      <c r="D2214" s="13"/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/>
    </row>
    <row r="2215">
      <c r="A2215" s="13"/>
      <c r="B2215" s="13"/>
      <c r="C2215" s="13"/>
      <c r="D2215" s="13"/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/>
    </row>
    <row r="2216">
      <c r="A2216" s="13"/>
      <c r="B2216" s="13"/>
      <c r="C2216" s="13"/>
      <c r="D2216" s="13"/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/>
    </row>
    <row r="2217">
      <c r="A2217" s="13"/>
      <c r="B2217" s="13"/>
      <c r="C2217" s="13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/>
    </row>
    <row r="2218">
      <c r="A2218" s="13"/>
      <c r="B2218" s="13"/>
      <c r="C2218" s="13"/>
      <c r="D2218" s="13"/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/>
    </row>
    <row r="2219">
      <c r="A2219" s="13"/>
      <c r="B2219" s="13"/>
      <c r="C2219" s="13"/>
      <c r="D2219" s="13"/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/>
    </row>
    <row r="2220">
      <c r="A2220" s="13"/>
      <c r="B2220" s="13"/>
      <c r="C2220" s="13"/>
      <c r="D2220" s="13"/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/>
    </row>
    <row r="2221">
      <c r="A2221" s="13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  <c r="AG2221" s="13"/>
    </row>
    <row r="2222">
      <c r="A2222" s="13"/>
      <c r="B2222" s="13"/>
      <c r="C2222" s="13"/>
      <c r="D2222" s="13"/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/>
    </row>
    <row r="2223">
      <c r="A2223" s="13"/>
      <c r="B2223" s="13"/>
      <c r="C2223" s="13"/>
      <c r="D2223" s="13"/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</row>
    <row r="2224">
      <c r="A2224" s="13"/>
      <c r="B2224" s="13"/>
      <c r="C2224" s="13"/>
      <c r="D2224" s="13"/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</row>
    <row r="2225">
      <c r="A2225" s="13"/>
      <c r="B2225" s="13"/>
      <c r="C2225" s="13"/>
      <c r="D2225" s="13"/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</row>
    <row r="2226">
      <c r="A2226" s="13"/>
      <c r="B2226" s="13"/>
      <c r="C2226" s="13"/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/>
    </row>
    <row r="2227">
      <c r="A2227" s="13"/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/>
    </row>
    <row r="2228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/>
    </row>
    <row r="2229">
      <c r="A2229" s="13"/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/>
    </row>
    <row r="2230">
      <c r="A2230" s="13"/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3"/>
      <c r="AA2230" s="13"/>
      <c r="AB2230" s="13"/>
      <c r="AC2230" s="13"/>
      <c r="AD2230" s="13"/>
      <c r="AE2230" s="13"/>
      <c r="AF2230" s="13"/>
      <c r="AG2230" s="13"/>
    </row>
    <row r="2231">
      <c r="A2231" s="13"/>
      <c r="B2231" s="13"/>
      <c r="C2231" s="13"/>
      <c r="D2231" s="13"/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/>
    </row>
    <row r="2232">
      <c r="A2232" s="13"/>
      <c r="B2232" s="13"/>
      <c r="C2232" s="13"/>
      <c r="D2232" s="13"/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/>
    </row>
    <row r="2233">
      <c r="A2233" s="13"/>
      <c r="B2233" s="13"/>
      <c r="C2233" s="13"/>
      <c r="D2233" s="13"/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/>
    </row>
    <row r="2234">
      <c r="A2234" s="13"/>
      <c r="B2234" s="13"/>
      <c r="C2234" s="13"/>
      <c r="D2234" s="13"/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/>
    </row>
    <row r="2235">
      <c r="A2235" s="13"/>
      <c r="B2235" s="13"/>
      <c r="C2235" s="13"/>
      <c r="D2235" s="13"/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/>
    </row>
    <row r="2236">
      <c r="A2236" s="13"/>
      <c r="B2236" s="13"/>
      <c r="C2236" s="13"/>
      <c r="D2236" s="13"/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/>
    </row>
  </sheetData>
  <drawing r:id="rId1"/>
</worksheet>
</file>