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061b34a5b619dd/Open University/SXS841/Venus Aerostatic Modelling/"/>
    </mc:Choice>
  </mc:AlternateContent>
  <xr:revisionPtr revIDLastSave="2153" documentId="8_{0ACBFF11-2DE3-4C14-AF5F-E1B3031992AD}" xr6:coauthVersionLast="47" xr6:coauthVersionMax="47" xr10:uidLastSave="{C0A559A9-8B4B-4D46-9DE8-43DE12610F4F}"/>
  <bookViews>
    <workbookView xWindow="-110" yWindow="-110" windowWidth="38620" windowHeight="21100" xr2:uid="{40587255-9BEA-404D-94BF-D98EB4004CBE}"/>
  </bookViews>
  <sheets>
    <sheet name="Aerostatics in Venus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1" i="14" l="1"/>
  <c r="N61" i="14"/>
  <c r="W61" i="14" s="1"/>
  <c r="X61" i="14" s="1"/>
  <c r="P61" i="14"/>
  <c r="M62" i="14"/>
  <c r="N62" i="14"/>
  <c r="W62" i="14" s="1"/>
  <c r="X62" i="14" s="1"/>
  <c r="M63" i="14"/>
  <c r="N63" i="14"/>
  <c r="W63" i="14" s="1"/>
  <c r="X63" i="14" s="1"/>
  <c r="M64" i="14"/>
  <c r="N64" i="14"/>
  <c r="M65" i="14"/>
  <c r="N65" i="14"/>
  <c r="W65" i="14" s="1"/>
  <c r="X65" i="14" s="1"/>
  <c r="M66" i="14"/>
  <c r="N66" i="14"/>
  <c r="W66" i="14" s="1"/>
  <c r="X66" i="14" s="1"/>
  <c r="M67" i="14"/>
  <c r="N67" i="14"/>
  <c r="P67" i="14" s="1"/>
  <c r="M68" i="14"/>
  <c r="N68" i="14"/>
  <c r="M69" i="14"/>
  <c r="N69" i="14"/>
  <c r="W69" i="14" s="1"/>
  <c r="X69" i="14" s="1"/>
  <c r="M70" i="14"/>
  <c r="N70" i="14"/>
  <c r="W70" i="14" s="1"/>
  <c r="X70" i="14" s="1"/>
  <c r="M71" i="14"/>
  <c r="N71" i="14"/>
  <c r="P71" i="14" s="1"/>
  <c r="M72" i="14"/>
  <c r="N72" i="14"/>
  <c r="M73" i="14"/>
  <c r="N73" i="14"/>
  <c r="W73" i="14" s="1"/>
  <c r="X73" i="14" s="1"/>
  <c r="M74" i="14"/>
  <c r="N74" i="14"/>
  <c r="W74" i="14" s="1"/>
  <c r="X74" i="14" s="1"/>
  <c r="M75" i="14"/>
  <c r="N75" i="14"/>
  <c r="P75" i="14" s="1"/>
  <c r="G25" i="14"/>
  <c r="G21" i="14"/>
  <c r="F21" i="14"/>
  <c r="N60" i="14"/>
  <c r="W60" i="14" s="1"/>
  <c r="X60" i="14" s="1"/>
  <c r="M60" i="14"/>
  <c r="E27" i="14"/>
  <c r="S75" i="14" s="1"/>
  <c r="N52" i="14"/>
  <c r="P52" i="14" s="1"/>
  <c r="M52" i="14"/>
  <c r="N51" i="14"/>
  <c r="W51" i="14" s="1"/>
  <c r="X51" i="14" s="1"/>
  <c r="M51" i="14"/>
  <c r="N50" i="14"/>
  <c r="P50" i="14" s="1"/>
  <c r="M50" i="14"/>
  <c r="N49" i="14"/>
  <c r="W49" i="14" s="1"/>
  <c r="X49" i="14" s="1"/>
  <c r="M49" i="14"/>
  <c r="N48" i="14"/>
  <c r="P48" i="14" s="1"/>
  <c r="M48" i="14"/>
  <c r="N47" i="14"/>
  <c r="P47" i="14" s="1"/>
  <c r="M47" i="14"/>
  <c r="N46" i="14"/>
  <c r="P46" i="14" s="1"/>
  <c r="M46" i="14"/>
  <c r="N45" i="14"/>
  <c r="P45" i="14" s="1"/>
  <c r="M45" i="14"/>
  <c r="N44" i="14"/>
  <c r="W44" i="14" s="1"/>
  <c r="X44" i="14" s="1"/>
  <c r="M44" i="14"/>
  <c r="N43" i="14"/>
  <c r="W43" i="14" s="1"/>
  <c r="X43" i="14" s="1"/>
  <c r="M43" i="14"/>
  <c r="N42" i="14"/>
  <c r="W42" i="14" s="1"/>
  <c r="X42" i="14" s="1"/>
  <c r="M42" i="14"/>
  <c r="N41" i="14"/>
  <c r="P41" i="14" s="1"/>
  <c r="M41" i="14"/>
  <c r="N40" i="14"/>
  <c r="W40" i="14" s="1"/>
  <c r="X40" i="14" s="1"/>
  <c r="M40" i="14"/>
  <c r="N39" i="14"/>
  <c r="P39" i="14" s="1"/>
  <c r="M39" i="14"/>
  <c r="N38" i="14"/>
  <c r="P38" i="14" s="1"/>
  <c r="M38" i="14"/>
  <c r="N37" i="14"/>
  <c r="P37" i="14" s="1"/>
  <c r="M37" i="14"/>
  <c r="F25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14" i="14"/>
  <c r="E25" i="14"/>
  <c r="E21" i="14"/>
  <c r="N15" i="14"/>
  <c r="P15" i="14" s="1"/>
  <c r="N16" i="14"/>
  <c r="P16" i="14" s="1"/>
  <c r="N17" i="14"/>
  <c r="P17" i="14" s="1"/>
  <c r="N18" i="14"/>
  <c r="P18" i="14" s="1"/>
  <c r="N19" i="14"/>
  <c r="P19" i="14" s="1"/>
  <c r="N20" i="14"/>
  <c r="P20" i="14" s="1"/>
  <c r="N21" i="14"/>
  <c r="P21" i="14" s="1"/>
  <c r="N22" i="14"/>
  <c r="P22" i="14" s="1"/>
  <c r="N23" i="14"/>
  <c r="P23" i="14" s="1"/>
  <c r="N24" i="14"/>
  <c r="P24" i="14" s="1"/>
  <c r="N25" i="14"/>
  <c r="P25" i="14" s="1"/>
  <c r="N26" i="14"/>
  <c r="P26" i="14" s="1"/>
  <c r="N27" i="14"/>
  <c r="P27" i="14" s="1"/>
  <c r="N28" i="14"/>
  <c r="P28" i="14" s="1"/>
  <c r="N29" i="14"/>
  <c r="P29" i="14" s="1"/>
  <c r="N14" i="14"/>
  <c r="P14" i="14" s="1"/>
  <c r="P69" i="14" l="1"/>
  <c r="E22" i="14"/>
  <c r="Q14" i="14" s="1"/>
  <c r="P73" i="14"/>
  <c r="Q15" i="14"/>
  <c r="P65" i="14"/>
  <c r="P60" i="14"/>
  <c r="S20" i="14"/>
  <c r="T20" i="14" s="1"/>
  <c r="S70" i="14"/>
  <c r="T70" i="14" s="1"/>
  <c r="S71" i="14"/>
  <c r="T71" i="14" s="1"/>
  <c r="S72" i="14"/>
  <c r="T72" i="14" s="1"/>
  <c r="S17" i="14"/>
  <c r="T17" i="14" s="1"/>
  <c r="S14" i="14"/>
  <c r="T14" i="14" s="1"/>
  <c r="S37" i="14"/>
  <c r="T37" i="14" s="1"/>
  <c r="S60" i="14"/>
  <c r="T60" i="14" s="1"/>
  <c r="S29" i="14"/>
  <c r="T29" i="14" s="1"/>
  <c r="S38" i="14"/>
  <c r="T38" i="14" s="1"/>
  <c r="S61" i="14"/>
  <c r="T61" i="14" s="1"/>
  <c r="S47" i="14"/>
  <c r="T47" i="14" s="1"/>
  <c r="S48" i="14"/>
  <c r="T48" i="14" s="1"/>
  <c r="S49" i="14"/>
  <c r="T49" i="14" s="1"/>
  <c r="S73" i="14"/>
  <c r="T73" i="14" s="1"/>
  <c r="S28" i="14"/>
  <c r="T28" i="14" s="1"/>
  <c r="S39" i="14"/>
  <c r="T39" i="14" s="1"/>
  <c r="S62" i="14"/>
  <c r="T62" i="14" s="1"/>
  <c r="S27" i="14"/>
  <c r="T27" i="14" s="1"/>
  <c r="S63" i="14"/>
  <c r="T63" i="14" s="1"/>
  <c r="S26" i="14"/>
  <c r="T26" i="14" s="1"/>
  <c r="S41" i="14"/>
  <c r="T41" i="14" s="1"/>
  <c r="S64" i="14"/>
  <c r="T64" i="14" s="1"/>
  <c r="S25" i="14"/>
  <c r="T25" i="14" s="1"/>
  <c r="S42" i="14"/>
  <c r="T42" i="14" s="1"/>
  <c r="S65" i="14"/>
  <c r="T65" i="14" s="1"/>
  <c r="S24" i="14"/>
  <c r="T24" i="14" s="1"/>
  <c r="S43" i="14"/>
  <c r="T43" i="14" s="1"/>
  <c r="S66" i="14"/>
  <c r="T66" i="14" s="1"/>
  <c r="S23" i="14"/>
  <c r="T23" i="14" s="1"/>
  <c r="S44" i="14"/>
  <c r="T44" i="14" s="1"/>
  <c r="S67" i="14"/>
  <c r="T67" i="14" s="1"/>
  <c r="S40" i="14"/>
  <c r="T40" i="14" s="1"/>
  <c r="S22" i="14"/>
  <c r="T22" i="14" s="1"/>
  <c r="S45" i="14"/>
  <c r="T45" i="14" s="1"/>
  <c r="S68" i="14"/>
  <c r="T68" i="14" s="1"/>
  <c r="S21" i="14"/>
  <c r="T21" i="14" s="1"/>
  <c r="S46" i="14"/>
  <c r="T46" i="14" s="1"/>
  <c r="S69" i="14"/>
  <c r="T69" i="14" s="1"/>
  <c r="S19" i="14"/>
  <c r="T19" i="14" s="1"/>
  <c r="S18" i="14"/>
  <c r="T18" i="14" s="1"/>
  <c r="S50" i="14"/>
  <c r="T50" i="14" s="1"/>
  <c r="S16" i="14"/>
  <c r="T16" i="14" s="1"/>
  <c r="S51" i="14"/>
  <c r="T51" i="14" s="1"/>
  <c r="S74" i="14"/>
  <c r="T74" i="14" s="1"/>
  <c r="S15" i="14"/>
  <c r="T15" i="14" s="1"/>
  <c r="S52" i="14"/>
  <c r="T52" i="14" s="1"/>
  <c r="T75" i="14"/>
  <c r="W75" i="14"/>
  <c r="X75" i="14" s="1"/>
  <c r="P63" i="14"/>
  <c r="W71" i="14"/>
  <c r="X71" i="14" s="1"/>
  <c r="W67" i="14"/>
  <c r="X67" i="14" s="1"/>
  <c r="P74" i="14"/>
  <c r="P70" i="14"/>
  <c r="P66" i="14"/>
  <c r="P62" i="14"/>
  <c r="W72" i="14"/>
  <c r="X72" i="14" s="1"/>
  <c r="W68" i="14"/>
  <c r="X68" i="14" s="1"/>
  <c r="W64" i="14"/>
  <c r="X64" i="14" s="1"/>
  <c r="P72" i="14"/>
  <c r="P68" i="14"/>
  <c r="P64" i="14"/>
  <c r="G22" i="14"/>
  <c r="Q67" i="14" s="1"/>
  <c r="R67" i="14" s="1"/>
  <c r="P49" i="14"/>
  <c r="Q27" i="14"/>
  <c r="Q26" i="14"/>
  <c r="P44" i="14"/>
  <c r="Q25" i="14"/>
  <c r="O14" i="14"/>
  <c r="P43" i="14"/>
  <c r="P42" i="14"/>
  <c r="Q23" i="14"/>
  <c r="Q22" i="14"/>
  <c r="P40" i="14"/>
  <c r="Q21" i="14"/>
  <c r="Q20" i="14"/>
  <c r="P51" i="14"/>
  <c r="Q16" i="14"/>
  <c r="W14" i="14"/>
  <c r="X14" i="14" s="1"/>
  <c r="W41" i="14"/>
  <c r="X41" i="14" s="1"/>
  <c r="W45" i="14"/>
  <c r="X45" i="14" s="1"/>
  <c r="W46" i="14"/>
  <c r="X46" i="14" s="1"/>
  <c r="W47" i="14"/>
  <c r="X47" i="14" s="1"/>
  <c r="W48" i="14"/>
  <c r="X48" i="14" s="1"/>
  <c r="W37" i="14"/>
  <c r="X37" i="14" s="1"/>
  <c r="W50" i="14"/>
  <c r="X50" i="14" s="1"/>
  <c r="W38" i="14"/>
  <c r="X38" i="14" s="1"/>
  <c r="W39" i="14"/>
  <c r="X39" i="14" s="1"/>
  <c r="W52" i="14"/>
  <c r="X52" i="14" s="1"/>
  <c r="W22" i="14"/>
  <c r="X22" i="14" s="1"/>
  <c r="W16" i="14"/>
  <c r="X16" i="14" s="1"/>
  <c r="W18" i="14"/>
  <c r="X18" i="14" s="1"/>
  <c r="W24" i="14"/>
  <c r="X24" i="14" s="1"/>
  <c r="W26" i="14"/>
  <c r="X26" i="14" s="1"/>
  <c r="W23" i="14"/>
  <c r="X23" i="14" s="1"/>
  <c r="W17" i="14"/>
  <c r="X17" i="14" s="1"/>
  <c r="W15" i="14"/>
  <c r="X15" i="14" s="1"/>
  <c r="W29" i="14"/>
  <c r="X29" i="14" s="1"/>
  <c r="W28" i="14"/>
  <c r="X28" i="14" s="1"/>
  <c r="W27" i="14"/>
  <c r="X27" i="14" s="1"/>
  <c r="W25" i="14"/>
  <c r="X25" i="14" s="1"/>
  <c r="W21" i="14"/>
  <c r="X21" i="14" s="1"/>
  <c r="W20" i="14"/>
  <c r="X20" i="14" s="1"/>
  <c r="W19" i="14"/>
  <c r="X19" i="14" s="1"/>
  <c r="F22" i="14"/>
  <c r="Q24" i="14" l="1"/>
  <c r="R24" i="14" s="1"/>
  <c r="O62" i="14"/>
  <c r="V62" i="14" s="1"/>
  <c r="Q17" i="14"/>
  <c r="Q28" i="14"/>
  <c r="R28" i="14" s="1"/>
  <c r="Q18" i="14"/>
  <c r="R18" i="14" s="1"/>
  <c r="Q29" i="14"/>
  <c r="Q19" i="14"/>
  <c r="R19" i="14" s="1"/>
  <c r="Q75" i="14"/>
  <c r="R75" i="14" s="1"/>
  <c r="U75" i="14" s="1"/>
  <c r="O95" i="14" s="1"/>
  <c r="Q63" i="14"/>
  <c r="R63" i="14" s="1"/>
  <c r="U63" i="14" s="1"/>
  <c r="U67" i="14"/>
  <c r="O87" i="14" s="1"/>
  <c r="Q70" i="14"/>
  <c r="R70" i="14" s="1"/>
  <c r="U70" i="14" s="1"/>
  <c r="Y70" i="14" s="1"/>
  <c r="Q64" i="14"/>
  <c r="R64" i="14" s="1"/>
  <c r="U64" i="14" s="1"/>
  <c r="O84" i="14" s="1"/>
  <c r="O64" i="14"/>
  <c r="V64" i="14" s="1"/>
  <c r="Q68" i="14"/>
  <c r="R68" i="14" s="1"/>
  <c r="U68" i="14" s="1"/>
  <c r="O88" i="14" s="1"/>
  <c r="O68" i="14"/>
  <c r="V68" i="14" s="1"/>
  <c r="Q72" i="14"/>
  <c r="R72" i="14" s="1"/>
  <c r="U72" i="14" s="1"/>
  <c r="O92" i="14" s="1"/>
  <c r="O72" i="14"/>
  <c r="V72" i="14" s="1"/>
  <c r="O66" i="14"/>
  <c r="V66" i="14" s="1"/>
  <c r="O70" i="14"/>
  <c r="V70" i="14" s="1"/>
  <c r="Q66" i="14"/>
  <c r="R66" i="14" s="1"/>
  <c r="U66" i="14" s="1"/>
  <c r="Y66" i="14" s="1"/>
  <c r="O74" i="14"/>
  <c r="V74" i="14" s="1"/>
  <c r="Q62" i="14"/>
  <c r="R62" i="14" s="1"/>
  <c r="U62" i="14" s="1"/>
  <c r="Y62" i="14" s="1"/>
  <c r="Q60" i="14"/>
  <c r="R60" i="14" s="1"/>
  <c r="U60" i="14" s="1"/>
  <c r="Y60" i="14" s="1"/>
  <c r="O61" i="14"/>
  <c r="V61" i="14" s="1"/>
  <c r="O65" i="14"/>
  <c r="V65" i="14" s="1"/>
  <c r="O69" i="14"/>
  <c r="V69" i="14" s="1"/>
  <c r="O73" i="14"/>
  <c r="V73" i="14" s="1"/>
  <c r="O60" i="14"/>
  <c r="V60" i="14" s="1"/>
  <c r="Q69" i="14"/>
  <c r="R69" i="14" s="1"/>
  <c r="U69" i="14" s="1"/>
  <c r="Q65" i="14"/>
  <c r="R65" i="14" s="1"/>
  <c r="U65" i="14" s="1"/>
  <c r="O63" i="14"/>
  <c r="V63" i="14" s="1"/>
  <c r="O67" i="14"/>
  <c r="V67" i="14" s="1"/>
  <c r="O71" i="14"/>
  <c r="V71" i="14" s="1"/>
  <c r="O75" i="14"/>
  <c r="V75" i="14" s="1"/>
  <c r="Q61" i="14"/>
  <c r="R61" i="14" s="1"/>
  <c r="U61" i="14" s="1"/>
  <c r="Q73" i="14"/>
  <c r="R73" i="14" s="1"/>
  <c r="U73" i="14" s="1"/>
  <c r="Q74" i="14"/>
  <c r="R74" i="14" s="1"/>
  <c r="U74" i="14" s="1"/>
  <c r="Q71" i="14"/>
  <c r="R71" i="14" s="1"/>
  <c r="U71" i="14" s="1"/>
  <c r="O91" i="14" s="1"/>
  <c r="Q38" i="14"/>
  <c r="R38" i="14" s="1"/>
  <c r="Q39" i="14"/>
  <c r="R39" i="14" s="1"/>
  <c r="Q40" i="14"/>
  <c r="R40" i="14" s="1"/>
  <c r="Q41" i="14"/>
  <c r="R41" i="14" s="1"/>
  <c r="Q42" i="14"/>
  <c r="R42" i="14" s="1"/>
  <c r="Q43" i="14"/>
  <c r="R43" i="14" s="1"/>
  <c r="Q44" i="14"/>
  <c r="R44" i="14" s="1"/>
  <c r="Q45" i="14"/>
  <c r="R45" i="14" s="1"/>
  <c r="Q46" i="14"/>
  <c r="R46" i="14" s="1"/>
  <c r="U46" i="14" s="1"/>
  <c r="Y46" i="14" s="1"/>
  <c r="Q47" i="14"/>
  <c r="R47" i="14" s="1"/>
  <c r="Q48" i="14"/>
  <c r="R48" i="14" s="1"/>
  <c r="Q49" i="14"/>
  <c r="R49" i="14" s="1"/>
  <c r="Q50" i="14"/>
  <c r="R50" i="14" s="1"/>
  <c r="Q51" i="14"/>
  <c r="R51" i="14" s="1"/>
  <c r="Q52" i="14"/>
  <c r="R52" i="14" s="1"/>
  <c r="U52" i="14" s="1"/>
  <c r="Y52" i="14" s="1"/>
  <c r="Q37" i="14"/>
  <c r="R37" i="14" s="1"/>
  <c r="O47" i="14"/>
  <c r="V47" i="14" s="1"/>
  <c r="O46" i="14"/>
  <c r="V46" i="14" s="1"/>
  <c r="O52" i="14"/>
  <c r="V52" i="14" s="1"/>
  <c r="O45" i="14"/>
  <c r="V45" i="14" s="1"/>
  <c r="O37" i="14"/>
  <c r="V37" i="14" s="1"/>
  <c r="O51" i="14"/>
  <c r="V51" i="14" s="1"/>
  <c r="O43" i="14"/>
  <c r="V43" i="14" s="1"/>
  <c r="O49" i="14"/>
  <c r="V49" i="14" s="1"/>
  <c r="O41" i="14"/>
  <c r="V41" i="14" s="1"/>
  <c r="O48" i="14"/>
  <c r="V48" i="14" s="1"/>
  <c r="O40" i="14"/>
  <c r="V40" i="14" s="1"/>
  <c r="O39" i="14"/>
  <c r="V39" i="14" s="1"/>
  <c r="O44" i="14"/>
  <c r="V44" i="14" s="1"/>
  <c r="O42" i="14"/>
  <c r="V42" i="14" s="1"/>
  <c r="O50" i="14"/>
  <c r="V50" i="14" s="1"/>
  <c r="O38" i="14"/>
  <c r="V38" i="14" s="1"/>
  <c r="R17" i="14"/>
  <c r="R20" i="14"/>
  <c r="R21" i="14"/>
  <c r="R22" i="14"/>
  <c r="R23" i="14"/>
  <c r="R25" i="14"/>
  <c r="R26" i="14"/>
  <c r="R27" i="14"/>
  <c r="R29" i="14"/>
  <c r="R14" i="14"/>
  <c r="R15" i="14"/>
  <c r="R16" i="14"/>
  <c r="O21" i="14"/>
  <c r="V21" i="14" s="1"/>
  <c r="O22" i="14"/>
  <c r="V22" i="14" s="1"/>
  <c r="O23" i="14"/>
  <c r="V23" i="14" s="1"/>
  <c r="O24" i="14"/>
  <c r="V24" i="14" s="1"/>
  <c r="O25" i="14"/>
  <c r="V25" i="14" s="1"/>
  <c r="O29" i="14"/>
  <c r="V29" i="14" s="1"/>
  <c r="O20" i="14"/>
  <c r="V20" i="14" s="1"/>
  <c r="O26" i="14"/>
  <c r="V26" i="14" s="1"/>
  <c r="O28" i="14"/>
  <c r="V28" i="14" s="1"/>
  <c r="O15" i="14"/>
  <c r="V15" i="14" s="1"/>
  <c r="O17" i="14"/>
  <c r="V17" i="14" s="1"/>
  <c r="O18" i="14"/>
  <c r="V18" i="14" s="1"/>
  <c r="O19" i="14"/>
  <c r="V19" i="14" s="1"/>
  <c r="O27" i="14"/>
  <c r="V27" i="14" s="1"/>
  <c r="V14" i="14"/>
  <c r="O16" i="14"/>
  <c r="V16" i="14" s="1"/>
  <c r="Y72" i="14" l="1"/>
  <c r="Y63" i="14"/>
  <c r="O83" i="14"/>
  <c r="Y64" i="14"/>
  <c r="Y67" i="14"/>
  <c r="Y75" i="14"/>
  <c r="Y68" i="14"/>
  <c r="O90" i="14"/>
  <c r="Y71" i="14"/>
  <c r="O86" i="14"/>
  <c r="O80" i="14"/>
  <c r="Y61" i="14"/>
  <c r="O81" i="14"/>
  <c r="O94" i="14"/>
  <c r="Y74" i="14"/>
  <c r="O85" i="14"/>
  <c r="Y65" i="14"/>
  <c r="Y69" i="14"/>
  <c r="O89" i="14"/>
  <c r="O82" i="14"/>
  <c r="O93" i="14"/>
  <c r="Y73" i="14"/>
  <c r="N95" i="14"/>
  <c r="N89" i="14"/>
  <c r="U37" i="14"/>
  <c r="Y37" i="14" s="1"/>
  <c r="U45" i="14"/>
  <c r="Y45" i="14" s="1"/>
  <c r="U40" i="14"/>
  <c r="Y40" i="14" s="1"/>
  <c r="U51" i="14"/>
  <c r="Y51" i="14" s="1"/>
  <c r="U41" i="14"/>
  <c r="Y41" i="14" s="1"/>
  <c r="U48" i="14"/>
  <c r="Y48" i="14" s="1"/>
  <c r="U47" i="14"/>
  <c r="Y47" i="14" s="1"/>
  <c r="U50" i="14"/>
  <c r="Y50" i="14" s="1"/>
  <c r="U42" i="14"/>
  <c r="Y42" i="14" s="1"/>
  <c r="U44" i="14"/>
  <c r="Y44" i="14" s="1"/>
  <c r="U38" i="14"/>
  <c r="Y38" i="14" s="1"/>
  <c r="U43" i="14"/>
  <c r="Y43" i="14" s="1"/>
  <c r="U39" i="14"/>
  <c r="Y39" i="14" s="1"/>
  <c r="U49" i="14"/>
  <c r="Y49" i="14" s="1"/>
  <c r="U28" i="14"/>
  <c r="Y28" i="14" s="1"/>
  <c r="U25" i="14"/>
  <c r="Y25" i="14" s="1"/>
  <c r="U24" i="14"/>
  <c r="Y24" i="14" s="1"/>
  <c r="U20" i="14"/>
  <c r="Y20" i="14" s="1"/>
  <c r="U22" i="14"/>
  <c r="Y22" i="14" s="1"/>
  <c r="U26" i="14"/>
  <c r="Y26" i="14" s="1"/>
  <c r="U29" i="14"/>
  <c r="Y29" i="14" s="1"/>
  <c r="U23" i="14"/>
  <c r="Y23" i="14" s="1"/>
  <c r="U21" i="14"/>
  <c r="Y21" i="14" s="1"/>
  <c r="U27" i="14"/>
  <c r="Y27" i="14" s="1"/>
  <c r="U19" i="14"/>
  <c r="Y19" i="14" s="1"/>
  <c r="U18" i="14"/>
  <c r="Y18" i="14" s="1"/>
  <c r="U17" i="14"/>
  <c r="Y17" i="14" s="1"/>
  <c r="U16" i="14"/>
  <c r="Y16" i="14" s="1"/>
  <c r="U15" i="14"/>
  <c r="Y15" i="14" s="1"/>
  <c r="U14" i="14"/>
  <c r="Y14" i="14" s="1"/>
  <c r="N92" i="14" l="1"/>
  <c r="N82" i="14"/>
  <c r="N86" i="14"/>
  <c r="N93" i="14"/>
  <c r="N87" i="14"/>
  <c r="N85" i="14"/>
  <c r="N90" i="14"/>
  <c r="N81" i="14"/>
  <c r="N91" i="14"/>
  <c r="N84" i="14"/>
  <c r="N80" i="14"/>
  <c r="N94" i="14"/>
  <c r="N83" i="14"/>
  <c r="N88" i="14"/>
  <c r="M91" i="14"/>
  <c r="M94" i="14"/>
  <c r="M83" i="14"/>
  <c r="M84" i="14"/>
  <c r="M81" i="14"/>
  <c r="M85" i="14"/>
  <c r="M93" i="14"/>
  <c r="M87" i="14"/>
  <c r="M82" i="14"/>
  <c r="M89" i="14"/>
  <c r="M88" i="14"/>
  <c r="M95" i="14"/>
  <c r="M92" i="14"/>
  <c r="M86" i="14"/>
  <c r="M90" i="14"/>
  <c r="M80" i="14"/>
</calcChain>
</file>

<file path=xl/sharedStrings.xml><?xml version="1.0" encoding="utf-8"?>
<sst xmlns="http://schemas.openxmlformats.org/spreadsheetml/2006/main" count="242" uniqueCount="80">
  <si>
    <t>m</t>
  </si>
  <si>
    <t>kg</t>
  </si>
  <si>
    <t>m3</t>
  </si>
  <si>
    <t>Characteristic</t>
  </si>
  <si>
    <t>47.5 km</t>
  </si>
  <si>
    <t>Lower Altitude</t>
  </si>
  <si>
    <t xml:space="preserve">50.5 km </t>
  </si>
  <si>
    <t>Upper Altitude</t>
  </si>
  <si>
    <t>Temperature</t>
  </si>
  <si>
    <t>Pressure</t>
  </si>
  <si>
    <t>Density</t>
  </si>
  <si>
    <t>Venus Atmospherics</t>
  </si>
  <si>
    <t>Lifting Gas Properties</t>
  </si>
  <si>
    <t>Ln</t>
  </si>
  <si>
    <t>Net Static Lift</t>
  </si>
  <si>
    <t>Gross Static Lift</t>
  </si>
  <si>
    <t>Wlg</t>
  </si>
  <si>
    <t>Lifting Gas Weight</t>
  </si>
  <si>
    <t>gv</t>
  </si>
  <si>
    <t>Gravity (Venus)</t>
  </si>
  <si>
    <t>(Reference NASA Planetary Data)</t>
  </si>
  <si>
    <t>PA</t>
  </si>
  <si>
    <t>Ambient Atmosphere Density (PA air in book)</t>
  </si>
  <si>
    <t>V</t>
  </si>
  <si>
    <t>Lifting Gas Volume</t>
  </si>
  <si>
    <t xml:space="preserve">Equation 5.9 </t>
  </si>
  <si>
    <t>P</t>
  </si>
  <si>
    <t>Gas Constant</t>
  </si>
  <si>
    <t>Ri</t>
  </si>
  <si>
    <t>T</t>
  </si>
  <si>
    <t>Kelvin</t>
  </si>
  <si>
    <t>JkgK</t>
  </si>
  <si>
    <t>Kgm3</t>
  </si>
  <si>
    <t>Pa</t>
  </si>
  <si>
    <t>Diameter</t>
  </si>
  <si>
    <t>Helium (He)</t>
  </si>
  <si>
    <t>Notes</t>
  </si>
  <si>
    <t>1. Effects of humidity (only trace water in Venus atmopshere) can be ignored</t>
  </si>
  <si>
    <t>Aerostatic Data Sheet (Spherical Balloon) - 47.5km - altitude</t>
  </si>
  <si>
    <r>
      <t>kg/m</t>
    </r>
    <r>
      <rPr>
        <vertAlign val="superscript"/>
        <sz val="10"/>
        <color rgb="FF000000"/>
        <rFont val="Calibri"/>
        <family val="2"/>
        <scheme val="minor"/>
      </rPr>
      <t>3</t>
    </r>
  </si>
  <si>
    <t>bar</t>
  </si>
  <si>
    <t>°C</t>
  </si>
  <si>
    <t>Surface Area</t>
  </si>
  <si>
    <t>p [Plg (Lifting Gas Density)]</t>
  </si>
  <si>
    <t>Aerostatic Data Sheet (Spherical Balloon) - 50.5km - altitude</t>
  </si>
  <si>
    <t>Teflon</t>
  </si>
  <si>
    <t>Lifting Max Mass</t>
  </si>
  <si>
    <t>(327 degree melting point)</t>
  </si>
  <si>
    <t>Gravity (Earth)</t>
  </si>
  <si>
    <t>(12.98m3 expanded at 15 degrees 1 bar)</t>
  </si>
  <si>
    <t>Canisters</t>
  </si>
  <si>
    <t>(72 kg per canister - inc. gas)</t>
  </si>
  <si>
    <t>47.5km</t>
  </si>
  <si>
    <t>50.5km</t>
  </si>
  <si>
    <t>Diameter (m)</t>
  </si>
  <si>
    <t>Earth</t>
  </si>
  <si>
    <t>[Mass of gas included in net lifting mass calculation - BUT, mission payload MUST include this mass, (Jettison canisters)]</t>
  </si>
  <si>
    <t>Venus</t>
  </si>
  <si>
    <t>Lifting Gas Mass</t>
  </si>
  <si>
    <t>[Estimate]</t>
  </si>
  <si>
    <t>Mass of Gas and Canister</t>
  </si>
  <si>
    <t>Lifting Gas Storage</t>
  </si>
  <si>
    <t xml:space="preserve"> </t>
  </si>
  <si>
    <t>Total Spacecraft Probe Payload</t>
  </si>
  <si>
    <t>Max Payload Mass</t>
  </si>
  <si>
    <t>Lg</t>
  </si>
  <si>
    <t>Balloon Material Mass</t>
  </si>
  <si>
    <t>N</t>
  </si>
  <si>
    <t>Eq. (8.4)</t>
  </si>
  <si>
    <t>Eq. (8.3)</t>
  </si>
  <si>
    <t>Eq. (8.5)</t>
  </si>
  <si>
    <t>kg/m2</t>
  </si>
  <si>
    <t>Balloon Material Areal Density</t>
  </si>
  <si>
    <t>[+30%]</t>
  </si>
  <si>
    <t>Aerostatic Data Sheet (Spherical Balloon) - 55.5km - altitude</t>
  </si>
  <si>
    <t>55.5km</t>
  </si>
  <si>
    <t>55.5 km</t>
  </si>
  <si>
    <t>Verify</t>
  </si>
  <si>
    <t>g/m2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</si>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</sst>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vertAlign val="superscript"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wrapText="1"/>
    </xf>
    <xf numFmtId="1" fontId="0" fillId="0" borderId="0" xfId="0" applyNumberForma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164" fontId="0" fillId="2" borderId="0" xfId="0" applyNumberFormat="1" applyFill="1"/>
    <xf numFmtId="2" fontId="0" fillId="2" borderId="0" xfId="0" applyNumberFormat="1" applyFill="1"/>
    <xf numFmtId="165" fontId="0" fillId="0" borderId="0" xfId="0" applyNumberFormat="1"/>
    <xf numFmtId="165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Helium Lifting Gas Payload Capacities</a:t>
            </a:r>
            <a:r>
              <a:rPr lang="en-GB" baseline="0"/>
              <a:t> in Venus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0.1278063110668636"/>
          <c:y val="0.1743068512251062"/>
          <c:w val="0.84995970455061387"/>
          <c:h val="0.50951384299309721"/>
        </c:manualLayout>
      </c:layout>
      <c:lineChart>
        <c:grouping val="standard"/>
        <c:varyColors val="0"/>
        <c:ser>
          <c:idx val="0"/>
          <c:order val="0"/>
          <c:tx>
            <c:strRef>
              <c:f>'Aerostatics in Venus'!$M$79</c:f>
              <c:strCache>
                <c:ptCount val="1"/>
                <c:pt idx="0">
                  <c:v>47.5km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'Aerostatics in Venus'!$L$80:$L$95</c:f>
              <c:numCache>
                <c:formatCode>0.0</c:formatCode>
                <c:ptCount val="16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</c:numCache>
            </c:numRef>
          </c:cat>
          <c:val>
            <c:numRef>
              <c:f>'Aerostatics in Venus'!$M$80:$M$95</c:f>
              <c:numCache>
                <c:formatCode>0</c:formatCode>
                <c:ptCount val="16"/>
                <c:pt idx="0">
                  <c:v>0</c:v>
                </c:pt>
                <c:pt idx="1">
                  <c:v>0.20445108933984357</c:v>
                </c:pt>
                <c:pt idx="2">
                  <c:v>1.5117568352247022</c:v>
                </c:pt>
                <c:pt idx="3">
                  <c:v>4.5573310567728997</c:v>
                </c:pt>
                <c:pt idx="4">
                  <c:v>10.042335010124475</c:v>
                </c:pt>
                <c:pt idx="5">
                  <c:v>18.667929951419456</c:v>
                </c:pt>
                <c:pt idx="6">
                  <c:v>31.135277136797889</c:v>
                </c:pt>
                <c:pt idx="7">
                  <c:v>48.145537822399803</c:v>
                </c:pt>
                <c:pt idx="8">
                  <c:v>70.39987326436524</c:v>
                </c:pt>
                <c:pt idx="9">
                  <c:v>98.599444718834235</c:v>
                </c:pt>
                <c:pt idx="10">
                  <c:v>133.44541344194684</c:v>
                </c:pt>
                <c:pt idx="11">
                  <c:v>175.63894068984303</c:v>
                </c:pt>
                <c:pt idx="12">
                  <c:v>225.88118771866289</c:v>
                </c:pt>
                <c:pt idx="13">
                  <c:v>284.87331578454649</c:v>
                </c:pt>
                <c:pt idx="14">
                  <c:v>353.31648614363377</c:v>
                </c:pt>
                <c:pt idx="15">
                  <c:v>431.91186005206487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43-488F-8B83-5A335E521343}"/>
            </c:ext>
          </c:extLst>
        </c:ser>
        <c:ser>
          <c:idx val="1"/>
          <c:order val="1"/>
          <c:tx>
            <c:strRef>
              <c:f>'Aerostatics in Venus'!$N$79</c:f>
              <c:strCache>
                <c:ptCount val="1"/>
                <c:pt idx="0">
                  <c:v>50.5km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'Aerostatics in Venus'!$L$80:$L$95</c:f>
              <c:numCache>
                <c:formatCode>0.0</c:formatCode>
                <c:ptCount val="16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</c:numCache>
            </c:numRef>
          </c:cat>
          <c:val>
            <c:numRef>
              <c:f>'Aerostatics in Venus'!$N$80:$N$95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0.70922123796292191</c:v>
                </c:pt>
                <c:pt idx="3">
                  <c:v>2.6550244558560872</c:v>
                </c:pt>
                <c:pt idx="4">
                  <c:v>6.326892430208825</c:v>
                </c:pt>
                <c:pt idx="5">
                  <c:v>12.247645173325214</c:v>
                </c:pt>
                <c:pt idx="6">
                  <c:v>20.940102697509346</c:v>
                </c:pt>
                <c:pt idx="7">
                  <c:v>32.927085015065302</c:v>
                </c:pt>
                <c:pt idx="8">
                  <c:v>48.731412138297173</c:v>
                </c:pt>
                <c:pt idx="9">
                  <c:v>68.875904079509041</c:v>
                </c:pt>
                <c:pt idx="10">
                  <c:v>93.883380851004986</c:v>
                </c:pt>
                <c:pt idx="11">
                  <c:v>124.27666246508907</c:v>
                </c:pt>
                <c:pt idx="12">
                  <c:v>160.57856893406543</c:v>
                </c:pt>
                <c:pt idx="13">
                  <c:v>203.31192027023809</c:v>
                </c:pt>
                <c:pt idx="14">
                  <c:v>252.99953648591122</c:v>
                </c:pt>
                <c:pt idx="15">
                  <c:v>310.16423759338886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43-488F-8B83-5A335E521343}"/>
            </c:ext>
          </c:extLst>
        </c:ser>
        <c:ser>
          <c:idx val="2"/>
          <c:order val="2"/>
          <c:tx>
            <c:strRef>
              <c:f>'Aerostatics in Venus'!$O$79</c:f>
              <c:strCache>
                <c:ptCount val="1"/>
                <c:pt idx="0">
                  <c:v>55.5km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'Aerostatics in Venus'!$L$80:$L$95</c:f>
              <c:numCache>
                <c:formatCode>0.0</c:formatCode>
                <c:ptCount val="16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</c:numCache>
            </c:numRef>
          </c:cat>
          <c:val>
            <c:numRef>
              <c:f>'Aerostatics in Venus'!$O$80:$O$95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0.40759291698284095</c:v>
                </c:pt>
                <c:pt idx="4">
                  <c:v>1.9373777058470143</c:v>
                </c:pt>
                <c:pt idx="5">
                  <c:v>4.6625637296280074</c:v>
                </c:pt>
                <c:pt idx="6">
                  <c:v>8.8952742938605436</c:v>
                </c:pt>
                <c:pt idx="7">
                  <c:v>14.947632704079332</c:v>
                </c:pt>
                <c:pt idx="8">
                  <c:v>23.131762265819095</c:v>
                </c:pt>
                <c:pt idx="9">
                  <c:v>33.759786284614563</c:v>
                </c:pt>
                <c:pt idx="10">
                  <c:v>47.143828066000424</c:v>
                </c:pt>
                <c:pt idx="11">
                  <c:v>63.596010915511414</c:v>
                </c:pt>
                <c:pt idx="12">
                  <c:v>83.428458138682259</c:v>
                </c:pt>
                <c:pt idx="13">
                  <c:v>106.95329304104769</c:v>
                </c:pt>
                <c:pt idx="14">
                  <c:v>134.48263892814236</c:v>
                </c:pt>
                <c:pt idx="15">
                  <c:v>166.32861910550108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DB-4316-A44F-5AF9272C8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812799"/>
        <c:axId val="108814239"/>
      </c:lineChart>
      <c:catAx>
        <c:axId val="108812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Balloon Diameter</a:t>
                </a:r>
                <a:r>
                  <a:rPr lang="en-GB" baseline="0"/>
                  <a:t> (m)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14239"/>
        <c:crosses val="autoZero"/>
        <c:auto val="1"/>
        <c:lblAlgn val="ctr"/>
        <c:lblOffset val="100"/>
        <c:noMultiLvlLbl val="0"/>
      </c:catAx>
      <c:valAx>
        <c:axId val="10881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Max Payload</a:t>
                </a:r>
                <a:r>
                  <a:rPr lang="en-GB" baseline="0"/>
                  <a:t> Mass (kg)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12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46182</xdr:colOff>
      <xdr:row>79</xdr:row>
      <xdr:rowOff>179820</xdr:rowOff>
    </xdr:from>
    <xdr:to>
      <xdr:col>23</xdr:col>
      <xdr:colOff>179531</xdr:colOff>
      <xdr:row>94</xdr:row>
      <xdr:rowOff>160770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723B03-4E4D-63CD-67C1-FBD18BE007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F1A0-18FA-489B-8E95-35577E287B7F}">
  <dimension ref="D2:Y95"/>
  <sheetViews>
    <sheetView tabSelected="1" topLeftCell="E1" zoomScale="85" zoomScaleNormal="85" workbookViewId="0">
      <selection activeCell="AC29" sqref="AC29"/>
    </sheetView>
  </sheetViews>
  <sheetFormatPr defaultRowHeight="14.5" x14ac:dyDescent="0.35"/>
  <cols>
    <col min="4" max="4" width="17.26953125" bestFit="1" customWidth="1"/>
    <col min="5" max="5" width="15.90625" bestFit="1" customWidth="1"/>
    <col min="6" max="6" width="14.6328125" bestFit="1" customWidth="1"/>
    <col min="7" max="7" width="12.1796875" customWidth="1"/>
    <col min="8" max="8" width="5.7265625" bestFit="1" customWidth="1"/>
    <col min="9" max="9" width="5.7265625" customWidth="1"/>
    <col min="10" max="10" width="39.08984375" bestFit="1" customWidth="1"/>
    <col min="12" max="25" width="12" customWidth="1"/>
  </cols>
  <sheetData>
    <row r="2" spans="4:25" x14ac:dyDescent="0.35">
      <c r="D2" t="s">
        <v>19</v>
      </c>
    </row>
    <row r="3" spans="4:25" x14ac:dyDescent="0.35">
      <c r="D3">
        <v>8.8699999999999992</v>
      </c>
      <c r="E3" t="s">
        <v>20</v>
      </c>
    </row>
    <row r="4" spans="4:25" x14ac:dyDescent="0.35">
      <c r="D4" t="s">
        <v>48</v>
      </c>
      <c r="L4" t="s">
        <v>56</v>
      </c>
    </row>
    <row r="5" spans="4:25" x14ac:dyDescent="0.35">
      <c r="D5">
        <v>9.81</v>
      </c>
      <c r="L5" t="s">
        <v>51</v>
      </c>
    </row>
    <row r="6" spans="4:25" x14ac:dyDescent="0.35">
      <c r="L6" t="s">
        <v>49</v>
      </c>
    </row>
    <row r="8" spans="4:25" x14ac:dyDescent="0.35">
      <c r="D8" s="3" t="s">
        <v>11</v>
      </c>
      <c r="L8" s="3" t="s">
        <v>38</v>
      </c>
    </row>
    <row r="9" spans="4:25" x14ac:dyDescent="0.35">
      <c r="L9" s="8" t="s">
        <v>62</v>
      </c>
      <c r="M9" s="8" t="s">
        <v>62</v>
      </c>
      <c r="N9" s="8" t="s">
        <v>23</v>
      </c>
      <c r="O9" s="11" t="s">
        <v>16</v>
      </c>
      <c r="P9" s="10" t="s">
        <v>65</v>
      </c>
      <c r="Q9" s="10" t="s">
        <v>13</v>
      </c>
    </row>
    <row r="10" spans="4:25" ht="15" thickBot="1" x14ac:dyDescent="0.4">
      <c r="L10" s="8" t="s">
        <v>62</v>
      </c>
      <c r="M10" s="8" t="s">
        <v>62</v>
      </c>
      <c r="N10" s="8" t="s">
        <v>62</v>
      </c>
      <c r="O10" s="8" t="s">
        <v>57</v>
      </c>
      <c r="P10" s="8" t="s">
        <v>57</v>
      </c>
      <c r="Q10" s="8" t="s">
        <v>57</v>
      </c>
      <c r="R10" s="8" t="s">
        <v>57</v>
      </c>
      <c r="S10" s="8" t="s">
        <v>57</v>
      </c>
      <c r="T10" s="8" t="s">
        <v>57</v>
      </c>
      <c r="U10" s="8" t="s">
        <v>57</v>
      </c>
      <c r="V10" s="8" t="s">
        <v>57</v>
      </c>
      <c r="W10" s="8" t="s">
        <v>55</v>
      </c>
      <c r="X10" s="8" t="s">
        <v>55</v>
      </c>
      <c r="Y10" s="8" t="s">
        <v>55</v>
      </c>
    </row>
    <row r="11" spans="4:25" ht="58" x14ac:dyDescent="0.35">
      <c r="D11" s="18" t="s">
        <v>3</v>
      </c>
      <c r="E11" s="5" t="s">
        <v>4</v>
      </c>
      <c r="F11" s="5" t="s">
        <v>6</v>
      </c>
      <c r="G11" s="5" t="s">
        <v>76</v>
      </c>
      <c r="H11" s="5" t="s">
        <v>79</v>
      </c>
      <c r="L11" s="8" t="s">
        <v>34</v>
      </c>
      <c r="M11" s="8" t="s">
        <v>42</v>
      </c>
      <c r="N11" s="8" t="s">
        <v>24</v>
      </c>
      <c r="O11" s="8" t="s">
        <v>17</v>
      </c>
      <c r="P11" s="8" t="s">
        <v>15</v>
      </c>
      <c r="Q11" s="8" t="s">
        <v>14</v>
      </c>
      <c r="R11" s="8" t="s">
        <v>46</v>
      </c>
      <c r="S11" s="8" t="s">
        <v>72</v>
      </c>
      <c r="T11" s="8" t="s">
        <v>66</v>
      </c>
      <c r="U11" s="8" t="s">
        <v>64</v>
      </c>
      <c r="V11" s="8" t="s">
        <v>58</v>
      </c>
      <c r="W11" s="8" t="s">
        <v>61</v>
      </c>
      <c r="X11" s="8" t="s">
        <v>60</v>
      </c>
      <c r="Y11" s="8" t="s">
        <v>63</v>
      </c>
    </row>
    <row r="12" spans="4:25" ht="15" thickBot="1" x14ac:dyDescent="0.4">
      <c r="D12" s="19"/>
      <c r="E12" s="6" t="s">
        <v>5</v>
      </c>
      <c r="F12" s="6" t="s">
        <v>7</v>
      </c>
      <c r="G12" s="6" t="s">
        <v>77</v>
      </c>
      <c r="H12" s="6"/>
      <c r="L12" s="8" t="s">
        <v>0</v>
      </c>
      <c r="M12" s="8" t="s">
        <v>2</v>
      </c>
      <c r="N12" s="8" t="s">
        <v>2</v>
      </c>
      <c r="O12" s="8" t="s">
        <v>67</v>
      </c>
      <c r="P12" s="8" t="s">
        <v>67</v>
      </c>
      <c r="Q12" s="8" t="s">
        <v>67</v>
      </c>
      <c r="R12" s="8" t="s">
        <v>1</v>
      </c>
      <c r="S12" s="8" t="s">
        <v>71</v>
      </c>
      <c r="T12" s="8" t="s">
        <v>1</v>
      </c>
      <c r="U12" s="8" t="s">
        <v>1</v>
      </c>
      <c r="V12" s="8" t="s">
        <v>1</v>
      </c>
      <c r="W12" s="8" t="s">
        <v>50</v>
      </c>
      <c r="X12" s="8" t="s">
        <v>1</v>
      </c>
      <c r="Y12" s="8" t="s">
        <v>1</v>
      </c>
    </row>
    <row r="13" spans="4:25" x14ac:dyDescent="0.35">
      <c r="D13" s="4" t="s">
        <v>8</v>
      </c>
      <c r="E13" s="16">
        <v>95.45</v>
      </c>
      <c r="F13" s="16">
        <v>65.45</v>
      </c>
      <c r="G13" s="16">
        <v>20</v>
      </c>
      <c r="H13" s="4" t="s">
        <v>41</v>
      </c>
      <c r="I13" s="4"/>
      <c r="J13" t="s">
        <v>18</v>
      </c>
      <c r="L13" s="8" t="s">
        <v>62</v>
      </c>
      <c r="M13" s="8" t="s">
        <v>62</v>
      </c>
      <c r="N13" s="8" t="s">
        <v>62</v>
      </c>
      <c r="O13" s="8" t="s">
        <v>68</v>
      </c>
      <c r="P13" s="8" t="s">
        <v>69</v>
      </c>
      <c r="Q13" s="8" t="s">
        <v>70</v>
      </c>
      <c r="R13" s="8" t="s">
        <v>62</v>
      </c>
      <c r="S13" s="8" t="s">
        <v>62</v>
      </c>
      <c r="T13" s="8" t="s">
        <v>73</v>
      </c>
      <c r="U13" s="8" t="s">
        <v>62</v>
      </c>
      <c r="V13" s="8" t="s">
        <v>62</v>
      </c>
      <c r="W13" s="8" t="s">
        <v>59</v>
      </c>
      <c r="X13" s="8" t="s">
        <v>59</v>
      </c>
      <c r="Y13" s="8" t="s">
        <v>59</v>
      </c>
    </row>
    <row r="14" spans="4:25" x14ac:dyDescent="0.35">
      <c r="D14" s="4" t="s">
        <v>9</v>
      </c>
      <c r="E14" s="15">
        <v>1.3819999999999999</v>
      </c>
      <c r="F14" s="15">
        <v>0.94699999999999995</v>
      </c>
      <c r="G14" s="15">
        <v>0.45779999999999998</v>
      </c>
      <c r="H14" s="4" t="s">
        <v>40</v>
      </c>
      <c r="I14" t="s">
        <v>21</v>
      </c>
      <c r="J14" t="s">
        <v>22</v>
      </c>
      <c r="L14" s="1">
        <v>0.5</v>
      </c>
      <c r="M14" s="2">
        <f>4*PI()*POWER((L14/2),2)</f>
        <v>0.78539816339744828</v>
      </c>
      <c r="N14" s="2">
        <f>(4/3)*PI()*POWER((L14/2),3)</f>
        <v>6.5449846949787352E-2</v>
      </c>
      <c r="O14" s="2">
        <f t="shared" ref="O14:O29" si="0">$E$22*$D$3*N14</f>
        <v>0.10479186305242405</v>
      </c>
      <c r="P14" s="2">
        <f t="shared" ref="P14:P29" si="1">N14*$E$15*$D$3</f>
        <v>1.1413419200461106</v>
      </c>
      <c r="Q14" s="2">
        <f t="shared" ref="Q14:Q29" si="2">($E$15-$E$22)*N14*$D$3</f>
        <v>1.0365500569936865</v>
      </c>
      <c r="R14" s="2">
        <f t="shared" ref="R14:R29" si="3">Q14/$D$3</f>
        <v>0.11686020935667267</v>
      </c>
      <c r="S14" s="2">
        <f t="shared" ref="S14:S29" si="4">$E$27/1000</f>
        <v>0.16275229357798165</v>
      </c>
      <c r="T14" s="2">
        <f>(S14*M14)*(100/70)</f>
        <v>0.18260764637838445</v>
      </c>
      <c r="U14" s="2">
        <f>R14-T14</f>
        <v>-6.5747437021711777E-2</v>
      </c>
      <c r="V14" s="2">
        <f t="shared" ref="V14:V29" si="5">O14/$D$3</f>
        <v>1.1814189746609251E-2</v>
      </c>
      <c r="W14" s="2">
        <f t="shared" ref="W14:W29" si="6">N14/12.98</f>
        <v>5.042361090122292E-3</v>
      </c>
      <c r="X14" s="2">
        <f>W14*72</f>
        <v>0.36304999848880504</v>
      </c>
      <c r="Y14" s="2">
        <f t="shared" ref="Y14:Y29" si="7">X14+(U14*$D$5/$D$3)+(T14*$D$5/$D$3)</f>
        <v>0.49229449158789851</v>
      </c>
    </row>
    <row r="15" spans="4:25" ht="15" thickBot="1" x14ac:dyDescent="0.4">
      <c r="D15" s="4" t="s">
        <v>10</v>
      </c>
      <c r="E15" s="15">
        <v>1.966</v>
      </c>
      <c r="F15" s="15">
        <v>1.466</v>
      </c>
      <c r="G15" s="15">
        <v>0.87</v>
      </c>
      <c r="H15" s="15" t="s">
        <v>39</v>
      </c>
      <c r="I15" s="4"/>
      <c r="L15" s="1">
        <v>1</v>
      </c>
      <c r="M15" s="2">
        <f t="shared" ref="M15:M29" si="8">4*PI()*POWER((L15/2),2)</f>
        <v>3.1415926535897931</v>
      </c>
      <c r="N15" s="2">
        <f t="shared" ref="N15:N29" si="9">(4/3)*PI()*POWER((L15/2),3)</f>
        <v>0.52359877559829882</v>
      </c>
      <c r="O15" s="2">
        <f t="shared" si="0"/>
        <v>0.8383349044193924</v>
      </c>
      <c r="P15" s="2">
        <f t="shared" si="1"/>
        <v>9.1307353603688846</v>
      </c>
      <c r="Q15" s="2">
        <f t="shared" si="2"/>
        <v>8.2924004559494922</v>
      </c>
      <c r="R15" s="2">
        <f t="shared" si="3"/>
        <v>0.93488167485338136</v>
      </c>
      <c r="S15" s="2">
        <f t="shared" si="4"/>
        <v>0.16275229357798165</v>
      </c>
      <c r="T15" s="2">
        <f t="shared" ref="T15:T29" si="10">(S15*M15)*(100/70)</f>
        <v>0.73043058551353779</v>
      </c>
      <c r="U15" s="2">
        <f t="shared" ref="U15:U29" si="11">R15-T15</f>
        <v>0.20445108933984357</v>
      </c>
      <c r="V15" s="2">
        <f t="shared" si="5"/>
        <v>9.4513517972874009E-2</v>
      </c>
      <c r="W15" s="2">
        <f t="shared" si="6"/>
        <v>4.0338888720978336E-2</v>
      </c>
      <c r="X15" s="2">
        <f t="shared" ref="X15:X29" si="12">W15*72</f>
        <v>2.9043999879104403</v>
      </c>
      <c r="Y15" s="2">
        <f t="shared" si="7"/>
        <v>3.9383559327031881</v>
      </c>
    </row>
    <row r="16" spans="4:25" x14ac:dyDescent="0.35">
      <c r="D16" s="5"/>
      <c r="E16" s="5"/>
      <c r="F16" s="5"/>
      <c r="G16" s="5"/>
      <c r="H16" s="5"/>
      <c r="L16" s="1">
        <v>1.5</v>
      </c>
      <c r="M16" s="2">
        <f t="shared" si="8"/>
        <v>7.0685834705770345</v>
      </c>
      <c r="N16" s="2">
        <f t="shared" si="9"/>
        <v>1.7671458676442584</v>
      </c>
      <c r="O16" s="2">
        <f t="shared" si="0"/>
        <v>2.8293803024154491</v>
      </c>
      <c r="P16" s="2">
        <f t="shared" si="1"/>
        <v>30.816231841244985</v>
      </c>
      <c r="Q16" s="2">
        <f t="shared" si="2"/>
        <v>27.986851538829534</v>
      </c>
      <c r="R16" s="2">
        <f t="shared" si="3"/>
        <v>3.1552256526301621</v>
      </c>
      <c r="S16" s="2">
        <f t="shared" si="4"/>
        <v>0.16275229357798165</v>
      </c>
      <c r="T16" s="2">
        <f t="shared" si="10"/>
        <v>1.6434688174054599</v>
      </c>
      <c r="U16" s="2">
        <f t="shared" si="11"/>
        <v>1.5117568352247022</v>
      </c>
      <c r="V16" s="2">
        <f t="shared" si="5"/>
        <v>0.31898312315844979</v>
      </c>
      <c r="W16" s="2">
        <f t="shared" si="6"/>
        <v>0.13614374943330187</v>
      </c>
      <c r="X16" s="2">
        <f t="shared" si="12"/>
        <v>9.8023499591977341</v>
      </c>
      <c r="Y16" s="2">
        <f t="shared" si="7"/>
        <v>13.291951272873257</v>
      </c>
    </row>
    <row r="17" spans="4:25" x14ac:dyDescent="0.35">
      <c r="H17" s="4"/>
      <c r="L17" s="1">
        <v>2</v>
      </c>
      <c r="M17" s="2">
        <f t="shared" si="8"/>
        <v>12.566370614359172</v>
      </c>
      <c r="N17" s="2">
        <f t="shared" si="9"/>
        <v>4.1887902047863905</v>
      </c>
      <c r="O17" s="2">
        <f t="shared" si="0"/>
        <v>6.7066792353551392</v>
      </c>
      <c r="P17" s="2">
        <f t="shared" si="1"/>
        <v>73.045882882951076</v>
      </c>
      <c r="Q17" s="2">
        <f t="shared" si="2"/>
        <v>66.339203647595937</v>
      </c>
      <c r="R17" s="2">
        <f t="shared" si="3"/>
        <v>7.4790533988270509</v>
      </c>
      <c r="S17" s="2">
        <f t="shared" si="4"/>
        <v>0.16275229357798165</v>
      </c>
      <c r="T17" s="2">
        <f t="shared" si="10"/>
        <v>2.9217223420541512</v>
      </c>
      <c r="U17" s="2">
        <f t="shared" si="11"/>
        <v>4.5573310567728997</v>
      </c>
      <c r="V17" s="2">
        <f t="shared" si="5"/>
        <v>0.75610814378299207</v>
      </c>
      <c r="W17" s="2">
        <f t="shared" si="6"/>
        <v>0.32271110976782669</v>
      </c>
      <c r="X17" s="2">
        <f t="shared" si="12"/>
        <v>23.235199903283522</v>
      </c>
      <c r="Y17" s="2">
        <f t="shared" si="7"/>
        <v>31.506847461625505</v>
      </c>
    </row>
    <row r="18" spans="4:25" x14ac:dyDescent="0.35">
      <c r="D18" s="7" t="s">
        <v>12</v>
      </c>
      <c r="L18" s="1">
        <v>2.5</v>
      </c>
      <c r="M18" s="2">
        <f t="shared" si="8"/>
        <v>19.634954084936208</v>
      </c>
      <c r="N18" s="2">
        <f t="shared" si="9"/>
        <v>8.1812308687234196</v>
      </c>
      <c r="O18" s="2">
        <f t="shared" si="0"/>
        <v>13.098982881553006</v>
      </c>
      <c r="P18" s="2">
        <f t="shared" si="1"/>
        <v>142.66774000576382</v>
      </c>
      <c r="Q18" s="2">
        <f t="shared" si="2"/>
        <v>129.56875712421083</v>
      </c>
      <c r="R18" s="2">
        <f t="shared" si="3"/>
        <v>14.607526169584085</v>
      </c>
      <c r="S18" s="2">
        <f t="shared" si="4"/>
        <v>0.16275229357798165</v>
      </c>
      <c r="T18" s="2">
        <f t="shared" si="10"/>
        <v>4.5651911594596113</v>
      </c>
      <c r="U18" s="2">
        <f t="shared" si="11"/>
        <v>10.042335010124475</v>
      </c>
      <c r="V18" s="2">
        <f t="shared" si="5"/>
        <v>1.4767737183261564</v>
      </c>
      <c r="W18" s="2">
        <f t="shared" si="6"/>
        <v>0.63029513626528655</v>
      </c>
      <c r="X18" s="2">
        <f t="shared" si="12"/>
        <v>45.381249811100631</v>
      </c>
      <c r="Y18" s="2">
        <f t="shared" si="7"/>
        <v>61.536811448487313</v>
      </c>
    </row>
    <row r="19" spans="4:25" x14ac:dyDescent="0.35">
      <c r="D19" t="s">
        <v>35</v>
      </c>
      <c r="L19" s="1">
        <v>3</v>
      </c>
      <c r="M19" s="2">
        <f t="shared" si="8"/>
        <v>28.274333882308138</v>
      </c>
      <c r="N19" s="2">
        <f t="shared" si="9"/>
        <v>14.137166941154067</v>
      </c>
      <c r="O19" s="2">
        <f t="shared" si="0"/>
        <v>22.635042419323593</v>
      </c>
      <c r="P19" s="2">
        <f t="shared" si="1"/>
        <v>246.52985472995988</v>
      </c>
      <c r="Q19" s="2">
        <f t="shared" si="2"/>
        <v>223.89481231063627</v>
      </c>
      <c r="R19" s="2">
        <f t="shared" si="3"/>
        <v>25.241805221041297</v>
      </c>
      <c r="S19" s="2">
        <f t="shared" si="4"/>
        <v>0.16275229357798165</v>
      </c>
      <c r="T19" s="2">
        <f t="shared" si="10"/>
        <v>6.5738752696218397</v>
      </c>
      <c r="U19" s="2">
        <f t="shared" si="11"/>
        <v>18.667929951419456</v>
      </c>
      <c r="V19" s="2">
        <f t="shared" si="5"/>
        <v>2.5518649852675983</v>
      </c>
      <c r="W19" s="2">
        <f t="shared" si="6"/>
        <v>1.089149995466415</v>
      </c>
      <c r="X19" s="2">
        <f t="shared" si="12"/>
        <v>78.418799673581873</v>
      </c>
      <c r="Y19" s="2">
        <f t="shared" si="7"/>
        <v>106.33561018298606</v>
      </c>
    </row>
    <row r="20" spans="4:25" x14ac:dyDescent="0.35">
      <c r="D20" t="s">
        <v>25</v>
      </c>
      <c r="L20" s="1">
        <v>3.5</v>
      </c>
      <c r="M20" s="2">
        <f t="shared" si="8"/>
        <v>38.484510006474963</v>
      </c>
      <c r="N20" s="2">
        <f t="shared" si="9"/>
        <v>22.449297503777061</v>
      </c>
      <c r="O20" s="2">
        <f t="shared" si="0"/>
        <v>35.943609026981449</v>
      </c>
      <c r="P20" s="2">
        <f t="shared" si="1"/>
        <v>391.48027857581593</v>
      </c>
      <c r="Q20" s="2">
        <f t="shared" si="2"/>
        <v>355.53666954883448</v>
      </c>
      <c r="R20" s="2">
        <f t="shared" si="3"/>
        <v>40.083051809338727</v>
      </c>
      <c r="S20" s="2">
        <f t="shared" si="4"/>
        <v>0.16275229357798165</v>
      </c>
      <c r="T20" s="2">
        <f t="shared" si="10"/>
        <v>8.9477746725408362</v>
      </c>
      <c r="U20" s="2">
        <f t="shared" si="11"/>
        <v>31.135277136797889</v>
      </c>
      <c r="V20" s="2">
        <f t="shared" si="5"/>
        <v>4.0522670830869734</v>
      </c>
      <c r="W20" s="2">
        <f t="shared" si="6"/>
        <v>1.7295298539119461</v>
      </c>
      <c r="X20" s="2">
        <f t="shared" si="12"/>
        <v>124.52614948166013</v>
      </c>
      <c r="Y20" s="2">
        <f t="shared" si="7"/>
        <v>168.8570106146492</v>
      </c>
    </row>
    <row r="21" spans="4:25" x14ac:dyDescent="0.35">
      <c r="D21" t="s">
        <v>9</v>
      </c>
      <c r="E21" s="9">
        <f>E14*100000</f>
        <v>138200</v>
      </c>
      <c r="F21" s="9">
        <f>F14*100000</f>
        <v>94700</v>
      </c>
      <c r="G21" s="9">
        <f>G14*100000</f>
        <v>45780</v>
      </c>
      <c r="H21" t="s">
        <v>33</v>
      </c>
      <c r="J21" t="s">
        <v>26</v>
      </c>
      <c r="L21" s="1">
        <v>4</v>
      </c>
      <c r="M21" s="2">
        <f t="shared" si="8"/>
        <v>50.26548245743669</v>
      </c>
      <c r="N21" s="2">
        <f t="shared" si="9"/>
        <v>33.510321638291124</v>
      </c>
      <c r="O21" s="2">
        <f t="shared" si="0"/>
        <v>53.653433882841114</v>
      </c>
      <c r="P21" s="2">
        <f t="shared" si="1"/>
        <v>584.36706306360861</v>
      </c>
      <c r="Q21" s="2">
        <f t="shared" si="2"/>
        <v>530.7136291807675</v>
      </c>
      <c r="R21" s="2">
        <f t="shared" si="3"/>
        <v>59.832427190616407</v>
      </c>
      <c r="S21" s="2">
        <f t="shared" si="4"/>
        <v>0.16275229357798165</v>
      </c>
      <c r="T21" s="2">
        <f t="shared" si="10"/>
        <v>11.686889368216605</v>
      </c>
      <c r="U21" s="2">
        <f t="shared" si="11"/>
        <v>48.145537822399803</v>
      </c>
      <c r="V21" s="2">
        <f t="shared" si="5"/>
        <v>6.0488651502639366</v>
      </c>
      <c r="W21" s="2">
        <f t="shared" si="6"/>
        <v>2.5816888781426135</v>
      </c>
      <c r="X21" s="2">
        <f t="shared" si="12"/>
        <v>185.88159922626818</v>
      </c>
      <c r="Y21" s="2">
        <f t="shared" si="7"/>
        <v>252.05477969300404</v>
      </c>
    </row>
    <row r="22" spans="4:25" x14ac:dyDescent="0.35">
      <c r="D22" t="s">
        <v>10</v>
      </c>
      <c r="E22" s="14">
        <f>E21/(E23*E25)</f>
        <v>0.1805075228926511</v>
      </c>
      <c r="F22" s="14">
        <f>F21/(F23*F25)</f>
        <v>0.13464977111102955</v>
      </c>
      <c r="G22" s="14">
        <f>G21/(G23*G25)</f>
        <v>7.5184529119483007E-2</v>
      </c>
      <c r="H22" t="s">
        <v>32</v>
      </c>
      <c r="J22" t="s">
        <v>43</v>
      </c>
      <c r="L22" s="1">
        <v>4.5</v>
      </c>
      <c r="M22" s="2">
        <f t="shared" si="8"/>
        <v>63.617251235193308</v>
      </c>
      <c r="N22" s="2">
        <f t="shared" si="9"/>
        <v>47.712938426394977</v>
      </c>
      <c r="O22" s="2">
        <f t="shared" si="0"/>
        <v>76.393268165217123</v>
      </c>
      <c r="P22" s="2">
        <f t="shared" si="1"/>
        <v>832.03825971361459</v>
      </c>
      <c r="Q22" s="2">
        <f t="shared" si="2"/>
        <v>755.64499154839746</v>
      </c>
      <c r="R22" s="2">
        <f t="shared" si="3"/>
        <v>85.191092621014377</v>
      </c>
      <c r="S22" s="2">
        <f t="shared" si="4"/>
        <v>0.16275229357798165</v>
      </c>
      <c r="T22" s="2">
        <f t="shared" si="10"/>
        <v>14.79121935664914</v>
      </c>
      <c r="U22" s="2">
        <f t="shared" si="11"/>
        <v>70.39987326436524</v>
      </c>
      <c r="V22" s="2">
        <f t="shared" si="5"/>
        <v>8.6125443252781437</v>
      </c>
      <c r="W22" s="2">
        <f t="shared" si="6"/>
        <v>3.6758812346991507</v>
      </c>
      <c r="X22" s="2">
        <f t="shared" si="12"/>
        <v>264.66344889833886</v>
      </c>
      <c r="Y22" s="2">
        <f t="shared" si="7"/>
        <v>358.88268436757795</v>
      </c>
    </row>
    <row r="23" spans="4:25" x14ac:dyDescent="0.35">
      <c r="D23" t="s">
        <v>27</v>
      </c>
      <c r="E23" s="1">
        <v>2077.1</v>
      </c>
      <c r="F23" s="1">
        <v>2077.1</v>
      </c>
      <c r="G23" s="1">
        <v>2077.1</v>
      </c>
      <c r="H23" t="s">
        <v>31</v>
      </c>
      <c r="J23" t="s">
        <v>28</v>
      </c>
      <c r="L23" s="1">
        <v>5</v>
      </c>
      <c r="M23" s="2">
        <f t="shared" si="8"/>
        <v>78.539816339744831</v>
      </c>
      <c r="N23" s="2">
        <f t="shared" si="9"/>
        <v>65.449846949787357</v>
      </c>
      <c r="O23" s="2">
        <f t="shared" si="0"/>
        <v>104.79186305242405</v>
      </c>
      <c r="P23" s="2">
        <f t="shared" si="1"/>
        <v>1141.3419200461105</v>
      </c>
      <c r="Q23" s="2">
        <f t="shared" si="2"/>
        <v>1036.5500569936867</v>
      </c>
      <c r="R23" s="2">
        <f t="shared" si="3"/>
        <v>116.86020935667268</v>
      </c>
      <c r="S23" s="2">
        <f t="shared" si="4"/>
        <v>0.16275229357798165</v>
      </c>
      <c r="T23" s="2">
        <f t="shared" si="10"/>
        <v>18.260764637838445</v>
      </c>
      <c r="U23" s="2">
        <f t="shared" si="11"/>
        <v>98.599444718834235</v>
      </c>
      <c r="V23" s="2">
        <f t="shared" si="5"/>
        <v>11.814189746609252</v>
      </c>
      <c r="W23" s="2">
        <f t="shared" si="6"/>
        <v>5.0423610901222924</v>
      </c>
      <c r="X23" s="2">
        <f t="shared" si="12"/>
        <v>363.04999848880504</v>
      </c>
      <c r="Y23" s="2">
        <f t="shared" si="7"/>
        <v>492.29449158789851</v>
      </c>
    </row>
    <row r="24" spans="4:25" x14ac:dyDescent="0.35">
      <c r="E24" s="14"/>
      <c r="F24" s="14"/>
      <c r="G24" s="14"/>
      <c r="L24" s="12">
        <v>5.5</v>
      </c>
      <c r="M24" s="13">
        <f t="shared" si="8"/>
        <v>95.033177771091246</v>
      </c>
      <c r="N24" s="13">
        <f t="shared" si="9"/>
        <v>87.113746290166972</v>
      </c>
      <c r="O24" s="13">
        <f t="shared" si="0"/>
        <v>139.47796972277641</v>
      </c>
      <c r="P24" s="13">
        <f t="shared" si="1"/>
        <v>1519.1260955813734</v>
      </c>
      <c r="Q24" s="13">
        <f t="shared" si="2"/>
        <v>1379.648125858597</v>
      </c>
      <c r="R24" s="13">
        <f t="shared" si="3"/>
        <v>155.54093865373136</v>
      </c>
      <c r="S24" s="13">
        <f t="shared" si="4"/>
        <v>0.16275229357798165</v>
      </c>
      <c r="T24" s="13">
        <f t="shared" si="10"/>
        <v>22.095525211784519</v>
      </c>
      <c r="U24" s="13">
        <f t="shared" si="11"/>
        <v>133.44541344194684</v>
      </c>
      <c r="V24" s="13">
        <f t="shared" si="5"/>
        <v>15.724686552736912</v>
      </c>
      <c r="W24" s="13">
        <f t="shared" si="6"/>
        <v>6.7113826109527714</v>
      </c>
      <c r="X24" s="13">
        <f t="shared" si="12"/>
        <v>483.21954798859952</v>
      </c>
      <c r="Y24" s="13">
        <f t="shared" si="7"/>
        <v>655.24396830349303</v>
      </c>
    </row>
    <row r="25" spans="4:25" x14ac:dyDescent="0.35">
      <c r="D25" t="s">
        <v>8</v>
      </c>
      <c r="E25" s="2">
        <f>273.15+E13</f>
        <v>368.59999999999997</v>
      </c>
      <c r="F25" s="2">
        <f>273.15+F13</f>
        <v>338.59999999999997</v>
      </c>
      <c r="G25" s="2">
        <f>273.15+G13</f>
        <v>293.14999999999998</v>
      </c>
      <c r="H25" t="s">
        <v>30</v>
      </c>
      <c r="J25" t="s">
        <v>29</v>
      </c>
      <c r="L25" s="1">
        <v>6</v>
      </c>
      <c r="M25" s="2">
        <f t="shared" si="8"/>
        <v>113.09733552923255</v>
      </c>
      <c r="N25" s="2">
        <f t="shared" si="9"/>
        <v>113.09733552923254</v>
      </c>
      <c r="O25" s="2">
        <f t="shared" si="0"/>
        <v>181.08033935458874</v>
      </c>
      <c r="P25" s="2">
        <f t="shared" si="1"/>
        <v>1972.238837839679</v>
      </c>
      <c r="Q25" s="2">
        <f t="shared" si="2"/>
        <v>1791.1584984850901</v>
      </c>
      <c r="R25" s="2">
        <f t="shared" si="3"/>
        <v>201.93444176833037</v>
      </c>
      <c r="S25" s="2">
        <f t="shared" si="4"/>
        <v>0.16275229357798165</v>
      </c>
      <c r="T25" s="2">
        <f t="shared" si="10"/>
        <v>26.295501078487359</v>
      </c>
      <c r="U25" s="2">
        <f t="shared" si="11"/>
        <v>175.63894068984303</v>
      </c>
      <c r="V25" s="2">
        <f t="shared" si="5"/>
        <v>20.414919882140786</v>
      </c>
      <c r="W25" s="2">
        <f t="shared" si="6"/>
        <v>8.71319996373132</v>
      </c>
      <c r="X25" s="2">
        <f t="shared" si="12"/>
        <v>627.35039738865498</v>
      </c>
      <c r="Y25" s="2">
        <f t="shared" si="7"/>
        <v>850.68488146388847</v>
      </c>
    </row>
    <row r="26" spans="4:25" x14ac:dyDescent="0.35">
      <c r="D26" t="s">
        <v>45</v>
      </c>
      <c r="E26" s="1">
        <v>180</v>
      </c>
      <c r="F26" s="14" t="s">
        <v>78</v>
      </c>
      <c r="G26" s="14"/>
      <c r="H26" t="s">
        <v>55</v>
      </c>
      <c r="J26" t="s">
        <v>47</v>
      </c>
      <c r="L26" s="1">
        <v>6.5</v>
      </c>
      <c r="M26" s="2">
        <f t="shared" si="8"/>
        <v>132.73228961416876</v>
      </c>
      <c r="N26" s="2">
        <f t="shared" si="9"/>
        <v>143.79331374868281</v>
      </c>
      <c r="O26" s="2">
        <f t="shared" si="0"/>
        <v>230.22772312617562</v>
      </c>
      <c r="P26" s="2">
        <f t="shared" si="1"/>
        <v>2507.5281983413051</v>
      </c>
      <c r="Q26" s="2">
        <f t="shared" si="2"/>
        <v>2277.3004752151292</v>
      </c>
      <c r="R26" s="2">
        <f t="shared" si="3"/>
        <v>256.74187995660986</v>
      </c>
      <c r="S26" s="2">
        <f t="shared" si="4"/>
        <v>0.16275229357798165</v>
      </c>
      <c r="T26" s="2">
        <f t="shared" si="10"/>
        <v>30.860692237946971</v>
      </c>
      <c r="U26" s="2">
        <f t="shared" si="11"/>
        <v>225.88118771866289</v>
      </c>
      <c r="V26" s="2">
        <f t="shared" si="5"/>
        <v>25.955774873300523</v>
      </c>
      <c r="W26" s="2">
        <f t="shared" si="6"/>
        <v>11.078067314998675</v>
      </c>
      <c r="X26" s="2">
        <f t="shared" si="12"/>
        <v>797.62084667990462</v>
      </c>
      <c r="Y26" s="2">
        <f t="shared" si="7"/>
        <v>1081.570998018613</v>
      </c>
    </row>
    <row r="27" spans="4:25" x14ac:dyDescent="0.35">
      <c r="D27" t="s">
        <v>45</v>
      </c>
      <c r="E27" s="1">
        <f>E26/D5*D3</f>
        <v>162.75229357798165</v>
      </c>
      <c r="F27" s="14" t="s">
        <v>78</v>
      </c>
      <c r="G27" s="14"/>
      <c r="H27" t="s">
        <v>57</v>
      </c>
      <c r="J27" t="s">
        <v>47</v>
      </c>
      <c r="L27" s="1">
        <v>7</v>
      </c>
      <c r="M27" s="2">
        <f t="shared" si="8"/>
        <v>153.93804002589985</v>
      </c>
      <c r="N27" s="2">
        <f t="shared" si="9"/>
        <v>179.59438003021648</v>
      </c>
      <c r="O27" s="2">
        <f t="shared" si="0"/>
        <v>287.54887221585159</v>
      </c>
      <c r="P27" s="2">
        <f t="shared" si="1"/>
        <v>3131.8422286065274</v>
      </c>
      <c r="Q27" s="2">
        <f t="shared" si="2"/>
        <v>2844.2933563906759</v>
      </c>
      <c r="R27" s="2">
        <f t="shared" si="3"/>
        <v>320.66441447470982</v>
      </c>
      <c r="S27" s="2">
        <f t="shared" si="4"/>
        <v>0.16275229357798165</v>
      </c>
      <c r="T27" s="2">
        <f t="shared" si="10"/>
        <v>35.791098690163345</v>
      </c>
      <c r="U27" s="2">
        <f t="shared" si="11"/>
        <v>284.87331578454649</v>
      </c>
      <c r="V27" s="2">
        <f t="shared" si="5"/>
        <v>32.418136664695787</v>
      </c>
      <c r="W27" s="2">
        <f t="shared" si="6"/>
        <v>13.836238831295569</v>
      </c>
      <c r="X27" s="2">
        <f t="shared" si="12"/>
        <v>996.20919585328102</v>
      </c>
      <c r="Y27" s="2">
        <f t="shared" si="7"/>
        <v>1350.8560849171936</v>
      </c>
    </row>
    <row r="28" spans="4:25" ht="15" thickBot="1" x14ac:dyDescent="0.4">
      <c r="D28" t="s">
        <v>36</v>
      </c>
      <c r="E28" s="14"/>
      <c r="F28" s="14"/>
      <c r="G28" s="14"/>
      <c r="L28" s="1">
        <v>7.5</v>
      </c>
      <c r="M28" s="2">
        <f t="shared" si="8"/>
        <v>176.71458676442586</v>
      </c>
      <c r="N28" s="2">
        <f t="shared" si="9"/>
        <v>220.89323345553231</v>
      </c>
      <c r="O28" s="2">
        <f t="shared" si="0"/>
        <v>353.67253780193113</v>
      </c>
      <c r="P28" s="2">
        <f t="shared" si="1"/>
        <v>3852.0289801556232</v>
      </c>
      <c r="Q28" s="2">
        <f t="shared" si="2"/>
        <v>3498.3564423536918</v>
      </c>
      <c r="R28" s="2">
        <f t="shared" si="3"/>
        <v>394.40320657877027</v>
      </c>
      <c r="S28" s="2">
        <f t="shared" si="4"/>
        <v>0.16275229357798165</v>
      </c>
      <c r="T28" s="2">
        <f t="shared" si="10"/>
        <v>41.086720435136499</v>
      </c>
      <c r="U28" s="2">
        <f t="shared" si="11"/>
        <v>353.31648614363377</v>
      </c>
      <c r="V28" s="2">
        <f t="shared" si="5"/>
        <v>39.87289039480622</v>
      </c>
      <c r="W28" s="2">
        <f t="shared" si="6"/>
        <v>17.017968679162735</v>
      </c>
      <c r="X28" s="2">
        <f t="shared" si="12"/>
        <v>1225.2937448997168</v>
      </c>
      <c r="Y28" s="2">
        <f t="shared" si="7"/>
        <v>1661.4939091091571</v>
      </c>
    </row>
    <row r="29" spans="4:25" x14ac:dyDescent="0.35">
      <c r="D29" s="17"/>
      <c r="E29" s="17"/>
      <c r="F29" s="17"/>
      <c r="G29" s="17"/>
      <c r="H29" s="17"/>
      <c r="L29" s="1">
        <v>8</v>
      </c>
      <c r="M29" s="2">
        <f t="shared" si="8"/>
        <v>201.06192982974676</v>
      </c>
      <c r="N29" s="2">
        <f t="shared" si="9"/>
        <v>268.08257310632899</v>
      </c>
      <c r="O29" s="2">
        <f t="shared" si="0"/>
        <v>429.22747106272891</v>
      </c>
      <c r="P29" s="2">
        <f t="shared" si="1"/>
        <v>4674.9365045088689</v>
      </c>
      <c r="Q29" s="2">
        <f t="shared" si="2"/>
        <v>4245.70903344614</v>
      </c>
      <c r="R29" s="2">
        <f t="shared" si="3"/>
        <v>478.65941752493126</v>
      </c>
      <c r="S29" s="2">
        <f t="shared" si="4"/>
        <v>0.16275229357798165</v>
      </c>
      <c r="T29" s="2">
        <f t="shared" si="10"/>
        <v>46.747557472866418</v>
      </c>
      <c r="U29" s="2">
        <f t="shared" si="11"/>
        <v>431.91186005206487</v>
      </c>
      <c r="V29" s="2">
        <f t="shared" si="5"/>
        <v>48.390921202111493</v>
      </c>
      <c r="W29" s="2">
        <f t="shared" si="6"/>
        <v>20.653511025140908</v>
      </c>
      <c r="X29" s="2">
        <f t="shared" si="12"/>
        <v>1487.0527938101454</v>
      </c>
      <c r="Y29" s="2">
        <f t="shared" si="7"/>
        <v>2016.4382375440323</v>
      </c>
    </row>
    <row r="30" spans="4:25" x14ac:dyDescent="0.35">
      <c r="D30" t="s">
        <v>37</v>
      </c>
    </row>
    <row r="31" spans="4:25" x14ac:dyDescent="0.35">
      <c r="L31" s="3" t="s">
        <v>44</v>
      </c>
    </row>
    <row r="32" spans="4:25" x14ac:dyDescent="0.35">
      <c r="L32" s="8" t="s">
        <v>62</v>
      </c>
      <c r="M32" s="8" t="s">
        <v>62</v>
      </c>
      <c r="N32" s="8" t="s">
        <v>23</v>
      </c>
      <c r="O32" s="11" t="s">
        <v>16</v>
      </c>
      <c r="P32" s="10" t="s">
        <v>65</v>
      </c>
      <c r="Q32" s="10" t="s">
        <v>13</v>
      </c>
    </row>
    <row r="33" spans="12:25" x14ac:dyDescent="0.35">
      <c r="L33" s="8" t="s">
        <v>62</v>
      </c>
      <c r="M33" s="8" t="s">
        <v>62</v>
      </c>
      <c r="N33" s="8" t="s">
        <v>62</v>
      </c>
      <c r="O33" s="8" t="s">
        <v>57</v>
      </c>
      <c r="P33" s="8" t="s">
        <v>57</v>
      </c>
      <c r="Q33" s="8" t="s">
        <v>57</v>
      </c>
      <c r="R33" s="8" t="s">
        <v>57</v>
      </c>
      <c r="S33" s="8" t="s">
        <v>57</v>
      </c>
      <c r="T33" s="8" t="s">
        <v>57</v>
      </c>
      <c r="U33" s="8" t="s">
        <v>62</v>
      </c>
      <c r="V33" s="8" t="s">
        <v>62</v>
      </c>
      <c r="W33" s="8" t="s">
        <v>55</v>
      </c>
      <c r="X33" s="8" t="s">
        <v>55</v>
      </c>
      <c r="Y33" s="8" t="s">
        <v>55</v>
      </c>
    </row>
    <row r="34" spans="12:25" ht="58" x14ac:dyDescent="0.35">
      <c r="L34" s="8" t="s">
        <v>34</v>
      </c>
      <c r="M34" s="8" t="s">
        <v>42</v>
      </c>
      <c r="N34" s="8" t="s">
        <v>24</v>
      </c>
      <c r="O34" s="8" t="s">
        <v>17</v>
      </c>
      <c r="P34" s="8" t="s">
        <v>15</v>
      </c>
      <c r="Q34" s="8" t="s">
        <v>14</v>
      </c>
      <c r="R34" s="8" t="s">
        <v>46</v>
      </c>
      <c r="S34" s="8" t="s">
        <v>72</v>
      </c>
      <c r="T34" s="8" t="s">
        <v>66</v>
      </c>
      <c r="U34" s="8" t="s">
        <v>64</v>
      </c>
      <c r="V34" s="8" t="s">
        <v>58</v>
      </c>
      <c r="W34" s="8" t="s">
        <v>61</v>
      </c>
      <c r="X34" s="8" t="s">
        <v>60</v>
      </c>
      <c r="Y34" s="8" t="s">
        <v>63</v>
      </c>
    </row>
    <row r="35" spans="12:25" x14ac:dyDescent="0.35">
      <c r="L35" s="8" t="s">
        <v>0</v>
      </c>
      <c r="M35" s="8" t="s">
        <v>2</v>
      </c>
      <c r="N35" s="8" t="s">
        <v>2</v>
      </c>
      <c r="O35" s="8" t="s">
        <v>67</v>
      </c>
      <c r="P35" s="8" t="s">
        <v>67</v>
      </c>
      <c r="Q35" s="8" t="s">
        <v>67</v>
      </c>
      <c r="R35" s="8" t="s">
        <v>1</v>
      </c>
      <c r="S35" s="8" t="s">
        <v>71</v>
      </c>
      <c r="T35" s="8" t="s">
        <v>1</v>
      </c>
      <c r="U35" s="8" t="s">
        <v>1</v>
      </c>
      <c r="V35" s="8" t="s">
        <v>1</v>
      </c>
      <c r="W35" s="8" t="s">
        <v>50</v>
      </c>
      <c r="X35" s="8" t="s">
        <v>1</v>
      </c>
      <c r="Y35" s="8" t="s">
        <v>1</v>
      </c>
    </row>
    <row r="36" spans="12:25" x14ac:dyDescent="0.35">
      <c r="L36" s="8" t="s">
        <v>62</v>
      </c>
      <c r="M36" s="8" t="s">
        <v>62</v>
      </c>
      <c r="N36" s="8" t="s">
        <v>62</v>
      </c>
      <c r="O36" s="8" t="s">
        <v>68</v>
      </c>
      <c r="P36" s="8" t="s">
        <v>69</v>
      </c>
      <c r="Q36" s="8" t="s">
        <v>70</v>
      </c>
      <c r="R36" s="8" t="s">
        <v>62</v>
      </c>
      <c r="S36" s="8" t="s">
        <v>62</v>
      </c>
      <c r="T36" s="8" t="s">
        <v>73</v>
      </c>
      <c r="U36" s="8" t="s">
        <v>62</v>
      </c>
      <c r="V36" s="8" t="s">
        <v>62</v>
      </c>
      <c r="W36" s="8" t="s">
        <v>59</v>
      </c>
      <c r="X36" s="8" t="s">
        <v>59</v>
      </c>
      <c r="Y36" s="8" t="s">
        <v>59</v>
      </c>
    </row>
    <row r="37" spans="12:25" x14ac:dyDescent="0.35">
      <c r="L37" s="1">
        <v>0.5</v>
      </c>
      <c r="M37" s="2">
        <f>4*PI()*POWER((L37/2),2)</f>
        <v>0.78539816339744828</v>
      </c>
      <c r="N37" s="2">
        <f>(4/3)*PI()*POWER((L37/2),3)</f>
        <v>6.5449846949787352E-2</v>
      </c>
      <c r="O37" s="2">
        <f t="shared" ref="O37:O52" si="13">$F$22*$D$3*N37</f>
        <v>7.8169597300931745E-2</v>
      </c>
      <c r="P37" s="2">
        <f t="shared" ref="P37:P52" si="14">N37*$F$15*$D$3</f>
        <v>0.85107184882380371</v>
      </c>
      <c r="Q37" s="2">
        <f t="shared" ref="Q37:Q52" si="15">($F$15-$F$22)*N37*$D$3</f>
        <v>0.77290225152287206</v>
      </c>
      <c r="R37" s="2">
        <f t="shared" ref="R37:R52" si="16">Q37/$D$3</f>
        <v>8.7136668717347474E-2</v>
      </c>
      <c r="S37" s="2">
        <f t="shared" ref="S37:S52" si="17">$E$27/1000</f>
        <v>0.16275229357798165</v>
      </c>
      <c r="T37" s="2">
        <f>(S37*M37)*(100/70)</f>
        <v>0.18260764637838445</v>
      </c>
      <c r="U37" s="2">
        <f>R37-T37</f>
        <v>-9.5470977661036974E-2</v>
      </c>
      <c r="V37" s="2">
        <f t="shared" ref="V37:V52" si="18">O37/$D$3</f>
        <v>8.8128069110407839E-3</v>
      </c>
      <c r="W37" s="2">
        <f t="shared" ref="W37:W52" si="19">N37/12.98</f>
        <v>5.042361090122292E-3</v>
      </c>
      <c r="X37" s="2">
        <f>W37*72</f>
        <v>0.36304999848880504</v>
      </c>
      <c r="Y37" s="2">
        <f t="shared" ref="Y37:Y52" si="20">X37+(U37*$D$5/$D$3)+(T37*$D$5/$D$3)</f>
        <v>0.45942099286503713</v>
      </c>
    </row>
    <row r="38" spans="12:25" x14ac:dyDescent="0.35">
      <c r="L38" s="1">
        <v>1</v>
      </c>
      <c r="M38" s="2">
        <f t="shared" ref="M38:M52" si="21">4*PI()*POWER((L38/2),2)</f>
        <v>3.1415926535897931</v>
      </c>
      <c r="N38" s="2">
        <f t="shared" ref="N38:N52" si="22">(4/3)*PI()*POWER((L38/2),3)</f>
        <v>0.52359877559829882</v>
      </c>
      <c r="O38" s="2">
        <f t="shared" si="13"/>
        <v>0.62535677840745396</v>
      </c>
      <c r="P38" s="2">
        <f t="shared" si="14"/>
        <v>6.8085747905904297</v>
      </c>
      <c r="Q38" s="2">
        <f t="shared" si="15"/>
        <v>6.1832180121829765</v>
      </c>
      <c r="R38" s="2">
        <f t="shared" si="16"/>
        <v>0.69709334973877979</v>
      </c>
      <c r="S38" s="2">
        <f t="shared" si="17"/>
        <v>0.16275229357798165</v>
      </c>
      <c r="T38" s="2">
        <f t="shared" ref="T38:T52" si="23">(S38*M38)*(100/70)</f>
        <v>0.73043058551353779</v>
      </c>
      <c r="U38" s="2">
        <f t="shared" ref="U38:U52" si="24">R38-T38</f>
        <v>-3.3337235774758001E-2</v>
      </c>
      <c r="V38" s="2">
        <f t="shared" si="18"/>
        <v>7.0502455288326271E-2</v>
      </c>
      <c r="W38" s="2">
        <f t="shared" si="19"/>
        <v>4.0338888720978336E-2</v>
      </c>
      <c r="X38" s="2">
        <f t="shared" ref="X38:X52" si="25">W38*72</f>
        <v>2.9043999879104403</v>
      </c>
      <c r="Y38" s="2">
        <f t="shared" si="20"/>
        <v>3.675367942920297</v>
      </c>
    </row>
    <row r="39" spans="12:25" x14ac:dyDescent="0.35">
      <c r="L39" s="1">
        <v>1.5</v>
      </c>
      <c r="M39" s="2">
        <f t="shared" si="21"/>
        <v>7.0685834705770345</v>
      </c>
      <c r="N39" s="2">
        <f t="shared" si="22"/>
        <v>1.7671458676442584</v>
      </c>
      <c r="O39" s="2">
        <f t="shared" si="13"/>
        <v>2.1105791271251566</v>
      </c>
      <c r="P39" s="2">
        <f t="shared" si="14"/>
        <v>22.978939918242698</v>
      </c>
      <c r="Q39" s="2">
        <f t="shared" si="15"/>
        <v>20.868360791117546</v>
      </c>
      <c r="R39" s="2">
        <f t="shared" si="16"/>
        <v>2.3526900553683818</v>
      </c>
      <c r="S39" s="2">
        <f t="shared" si="17"/>
        <v>0.16275229357798165</v>
      </c>
      <c r="T39" s="2">
        <f t="shared" si="23"/>
        <v>1.6434688174054599</v>
      </c>
      <c r="U39" s="2">
        <f t="shared" si="24"/>
        <v>0.70922123796292191</v>
      </c>
      <c r="V39" s="2">
        <f t="shared" si="18"/>
        <v>0.23794578659810112</v>
      </c>
      <c r="W39" s="2">
        <f t="shared" si="19"/>
        <v>0.13614374943330187</v>
      </c>
      <c r="X39" s="2">
        <f t="shared" si="25"/>
        <v>9.8023499591977341</v>
      </c>
      <c r="Y39" s="2">
        <f t="shared" si="20"/>
        <v>12.404366807356002</v>
      </c>
    </row>
    <row r="40" spans="12:25" x14ac:dyDescent="0.35">
      <c r="L40" s="1">
        <v>2</v>
      </c>
      <c r="M40" s="2">
        <f t="shared" si="21"/>
        <v>12.566370614359172</v>
      </c>
      <c r="N40" s="2">
        <f t="shared" si="22"/>
        <v>4.1887902047863905</v>
      </c>
      <c r="O40" s="2">
        <f t="shared" si="13"/>
        <v>5.0028542272596317</v>
      </c>
      <c r="P40" s="2">
        <f t="shared" si="14"/>
        <v>54.468598324723438</v>
      </c>
      <c r="Q40" s="2">
        <f t="shared" si="15"/>
        <v>49.465744097463812</v>
      </c>
      <c r="R40" s="2">
        <f t="shared" si="16"/>
        <v>5.5767467979102383</v>
      </c>
      <c r="S40" s="2">
        <f t="shared" si="17"/>
        <v>0.16275229357798165</v>
      </c>
      <c r="T40" s="2">
        <f t="shared" si="23"/>
        <v>2.9217223420541512</v>
      </c>
      <c r="U40" s="2">
        <f t="shared" si="24"/>
        <v>2.6550244558560872</v>
      </c>
      <c r="V40" s="2">
        <f t="shared" si="18"/>
        <v>0.56401964230661017</v>
      </c>
      <c r="W40" s="2">
        <f t="shared" si="19"/>
        <v>0.32271110976782669</v>
      </c>
      <c r="X40" s="2">
        <f t="shared" si="25"/>
        <v>23.235199903283522</v>
      </c>
      <c r="Y40" s="2">
        <f t="shared" si="20"/>
        <v>29.402943543362376</v>
      </c>
    </row>
    <row r="41" spans="12:25" x14ac:dyDescent="0.35">
      <c r="L41" s="1">
        <v>2.5</v>
      </c>
      <c r="M41" s="2">
        <f t="shared" si="21"/>
        <v>19.634954084936208</v>
      </c>
      <c r="N41" s="2">
        <f t="shared" si="22"/>
        <v>8.1812308687234196</v>
      </c>
      <c r="O41" s="2">
        <f t="shared" si="13"/>
        <v>9.7711996626164677</v>
      </c>
      <c r="P41" s="2">
        <f t="shared" si="14"/>
        <v>106.38398110297547</v>
      </c>
      <c r="Q41" s="2">
        <f t="shared" si="15"/>
        <v>96.612781440359015</v>
      </c>
      <c r="R41" s="2">
        <f t="shared" si="16"/>
        <v>10.892083589668436</v>
      </c>
      <c r="S41" s="2">
        <f t="shared" si="17"/>
        <v>0.16275229357798165</v>
      </c>
      <c r="T41" s="2">
        <f t="shared" si="23"/>
        <v>4.5651911594596113</v>
      </c>
      <c r="U41" s="2">
        <f t="shared" si="24"/>
        <v>6.326892430208825</v>
      </c>
      <c r="V41" s="2">
        <f t="shared" si="18"/>
        <v>1.1016008638800978</v>
      </c>
      <c r="W41" s="2">
        <f t="shared" si="19"/>
        <v>0.63029513626528655</v>
      </c>
      <c r="X41" s="2">
        <f t="shared" si="25"/>
        <v>45.381249811100631</v>
      </c>
      <c r="Y41" s="2">
        <f t="shared" si="20"/>
        <v>57.427624108129642</v>
      </c>
    </row>
    <row r="42" spans="12:25" x14ac:dyDescent="0.35">
      <c r="L42" s="1">
        <v>3</v>
      </c>
      <c r="M42" s="2">
        <f t="shared" si="21"/>
        <v>28.274333882308138</v>
      </c>
      <c r="N42" s="2">
        <f t="shared" si="22"/>
        <v>14.137166941154067</v>
      </c>
      <c r="O42" s="2">
        <f t="shared" si="13"/>
        <v>16.884633017001253</v>
      </c>
      <c r="P42" s="2">
        <f t="shared" si="14"/>
        <v>183.83151934594159</v>
      </c>
      <c r="Q42" s="2">
        <f t="shared" si="15"/>
        <v>166.94688632894037</v>
      </c>
      <c r="R42" s="2">
        <f t="shared" si="16"/>
        <v>18.821520442947055</v>
      </c>
      <c r="S42" s="2">
        <f t="shared" si="17"/>
        <v>0.16275229357798165</v>
      </c>
      <c r="T42" s="2">
        <f t="shared" si="23"/>
        <v>6.5738752696218397</v>
      </c>
      <c r="U42" s="2">
        <f t="shared" si="24"/>
        <v>12.247645173325214</v>
      </c>
      <c r="V42" s="2">
        <f t="shared" si="18"/>
        <v>1.9035662927848089</v>
      </c>
      <c r="W42" s="2">
        <f t="shared" si="19"/>
        <v>1.089149995466415</v>
      </c>
      <c r="X42" s="2">
        <f t="shared" si="25"/>
        <v>78.418799673581873</v>
      </c>
      <c r="Y42" s="2">
        <f t="shared" si="20"/>
        <v>99.234934458848002</v>
      </c>
    </row>
    <row r="43" spans="12:25" x14ac:dyDescent="0.35">
      <c r="L43" s="1">
        <v>3.5</v>
      </c>
      <c r="M43" s="2">
        <f t="shared" si="21"/>
        <v>38.484510006474963</v>
      </c>
      <c r="N43" s="2">
        <f t="shared" si="22"/>
        <v>22.449297503777061</v>
      </c>
      <c r="O43" s="2">
        <f t="shared" si="13"/>
        <v>26.812171874219587</v>
      </c>
      <c r="P43" s="2">
        <f t="shared" si="14"/>
        <v>291.91764414656467</v>
      </c>
      <c r="Q43" s="2">
        <f t="shared" si="15"/>
        <v>265.10547227234508</v>
      </c>
      <c r="R43" s="2">
        <f t="shared" si="16"/>
        <v>29.88787737005018</v>
      </c>
      <c r="S43" s="2">
        <f t="shared" si="17"/>
        <v>0.16275229357798165</v>
      </c>
      <c r="T43" s="2">
        <f t="shared" si="23"/>
        <v>8.9477746725408362</v>
      </c>
      <c r="U43" s="2">
        <f t="shared" si="24"/>
        <v>20.940102697509346</v>
      </c>
      <c r="V43" s="2">
        <f t="shared" si="18"/>
        <v>3.0227927704869888</v>
      </c>
      <c r="W43" s="2">
        <f t="shared" si="19"/>
        <v>1.7295298539119461</v>
      </c>
      <c r="X43" s="2">
        <f t="shared" si="25"/>
        <v>124.52614948166013</v>
      </c>
      <c r="Y43" s="2">
        <f t="shared" si="20"/>
        <v>157.58140055270775</v>
      </c>
    </row>
    <row r="44" spans="12:25" x14ac:dyDescent="0.35">
      <c r="L44" s="1">
        <v>4</v>
      </c>
      <c r="M44" s="2">
        <f t="shared" si="21"/>
        <v>50.26548245743669</v>
      </c>
      <c r="N44" s="2">
        <f t="shared" si="22"/>
        <v>33.510321638291124</v>
      </c>
      <c r="O44" s="2">
        <f t="shared" si="13"/>
        <v>40.022833818077054</v>
      </c>
      <c r="P44" s="2">
        <f t="shared" si="14"/>
        <v>435.7487865977875</v>
      </c>
      <c r="Q44" s="2">
        <f t="shared" si="15"/>
        <v>395.7259527797105</v>
      </c>
      <c r="R44" s="2">
        <f t="shared" si="16"/>
        <v>44.613974383281906</v>
      </c>
      <c r="S44" s="2">
        <f t="shared" si="17"/>
        <v>0.16275229357798165</v>
      </c>
      <c r="T44" s="2">
        <f t="shared" si="23"/>
        <v>11.686889368216605</v>
      </c>
      <c r="U44" s="2">
        <f t="shared" si="24"/>
        <v>32.927085015065302</v>
      </c>
      <c r="V44" s="2">
        <f t="shared" si="18"/>
        <v>4.5121571384528814</v>
      </c>
      <c r="W44" s="2">
        <f t="shared" si="19"/>
        <v>2.5816888781426135</v>
      </c>
      <c r="X44" s="2">
        <f t="shared" si="25"/>
        <v>185.88159922626818</v>
      </c>
      <c r="Y44" s="2">
        <f t="shared" si="20"/>
        <v>235.22354834689901</v>
      </c>
    </row>
    <row r="45" spans="12:25" x14ac:dyDescent="0.35">
      <c r="L45" s="1">
        <v>4.5</v>
      </c>
      <c r="M45" s="2">
        <f t="shared" si="21"/>
        <v>63.617251235193308</v>
      </c>
      <c r="N45" s="2">
        <f t="shared" si="22"/>
        <v>47.712938426394977</v>
      </c>
      <c r="O45" s="2">
        <f t="shared" si="13"/>
        <v>56.985636432379238</v>
      </c>
      <c r="P45" s="2">
        <f t="shared" si="14"/>
        <v>620.43137779255289</v>
      </c>
      <c r="Q45" s="2">
        <f t="shared" si="15"/>
        <v>563.44574136017377</v>
      </c>
      <c r="R45" s="2">
        <f t="shared" si="16"/>
        <v>63.522631494946317</v>
      </c>
      <c r="S45" s="2">
        <f t="shared" si="17"/>
        <v>0.16275229357798165</v>
      </c>
      <c r="T45" s="2">
        <f t="shared" si="23"/>
        <v>14.79121935664914</v>
      </c>
      <c r="U45" s="2">
        <f t="shared" si="24"/>
        <v>48.731412138297173</v>
      </c>
      <c r="V45" s="2">
        <f t="shared" si="18"/>
        <v>6.4245362381487308</v>
      </c>
      <c r="W45" s="2">
        <f t="shared" si="19"/>
        <v>3.6758812346991507</v>
      </c>
      <c r="X45" s="2">
        <f t="shared" si="25"/>
        <v>264.66344889833886</v>
      </c>
      <c r="Y45" s="2">
        <f t="shared" si="20"/>
        <v>334.91790379861203</v>
      </c>
    </row>
    <row r="46" spans="12:25" x14ac:dyDescent="0.35">
      <c r="L46" s="1">
        <v>5</v>
      </c>
      <c r="M46" s="2">
        <f t="shared" si="21"/>
        <v>78.539816339744831</v>
      </c>
      <c r="N46" s="2">
        <f t="shared" si="22"/>
        <v>65.449846949787357</v>
      </c>
      <c r="O46" s="2">
        <f t="shared" si="13"/>
        <v>78.169597300931741</v>
      </c>
      <c r="P46" s="2">
        <f t="shared" si="14"/>
        <v>851.07184882380375</v>
      </c>
      <c r="Q46" s="2">
        <f t="shared" si="15"/>
        <v>772.90225152287212</v>
      </c>
      <c r="R46" s="2">
        <f t="shared" si="16"/>
        <v>87.13666871734749</v>
      </c>
      <c r="S46" s="2">
        <f t="shared" si="17"/>
        <v>0.16275229357798165</v>
      </c>
      <c r="T46" s="2">
        <f t="shared" si="23"/>
        <v>18.260764637838445</v>
      </c>
      <c r="U46" s="2">
        <f t="shared" si="24"/>
        <v>68.875904079509041</v>
      </c>
      <c r="V46" s="2">
        <f t="shared" si="18"/>
        <v>8.8128069110407825</v>
      </c>
      <c r="W46" s="2">
        <f t="shared" si="19"/>
        <v>5.0423610901222924</v>
      </c>
      <c r="X46" s="2">
        <f t="shared" si="25"/>
        <v>363.04999848880504</v>
      </c>
      <c r="Y46" s="2">
        <f t="shared" si="20"/>
        <v>459.42099286503719</v>
      </c>
    </row>
    <row r="47" spans="12:25" x14ac:dyDescent="0.35">
      <c r="L47" s="12">
        <v>5.5</v>
      </c>
      <c r="M47" s="13">
        <f t="shared" si="21"/>
        <v>95.033177771091246</v>
      </c>
      <c r="N47" s="13">
        <f t="shared" si="22"/>
        <v>87.113746290166972</v>
      </c>
      <c r="O47" s="13">
        <f t="shared" si="13"/>
        <v>104.04373400754015</v>
      </c>
      <c r="P47" s="13">
        <f t="shared" si="14"/>
        <v>1132.7766307844829</v>
      </c>
      <c r="Q47" s="13">
        <f t="shared" si="15"/>
        <v>1028.7328967769429</v>
      </c>
      <c r="R47" s="13">
        <f t="shared" si="16"/>
        <v>115.97890606278951</v>
      </c>
      <c r="S47" s="13">
        <f t="shared" si="17"/>
        <v>0.16275229357798165</v>
      </c>
      <c r="T47" s="13">
        <f t="shared" si="23"/>
        <v>22.095525211784519</v>
      </c>
      <c r="U47" s="13">
        <f t="shared" si="24"/>
        <v>93.883380851004986</v>
      </c>
      <c r="V47" s="13">
        <f t="shared" si="18"/>
        <v>11.729845998595284</v>
      </c>
      <c r="W47" s="13">
        <f t="shared" si="19"/>
        <v>6.7113826109527714</v>
      </c>
      <c r="X47" s="13">
        <f t="shared" si="25"/>
        <v>483.21954798859952</v>
      </c>
      <c r="Y47" s="13">
        <f t="shared" si="20"/>
        <v>611.48934150336459</v>
      </c>
    </row>
    <row r="48" spans="12:25" x14ac:dyDescent="0.35">
      <c r="L48" s="1">
        <v>6</v>
      </c>
      <c r="M48" s="2">
        <f t="shared" si="21"/>
        <v>113.09733552923255</v>
      </c>
      <c r="N48" s="2">
        <f t="shared" si="22"/>
        <v>113.09733552923254</v>
      </c>
      <c r="O48" s="2">
        <f t="shared" si="13"/>
        <v>135.07706413601002</v>
      </c>
      <c r="P48" s="2">
        <f t="shared" si="14"/>
        <v>1470.6521547675327</v>
      </c>
      <c r="Q48" s="2">
        <f t="shared" si="15"/>
        <v>1335.5750906315229</v>
      </c>
      <c r="R48" s="2">
        <f t="shared" si="16"/>
        <v>150.57216354357644</v>
      </c>
      <c r="S48" s="2">
        <f t="shared" si="17"/>
        <v>0.16275229357798165</v>
      </c>
      <c r="T48" s="2">
        <f t="shared" si="23"/>
        <v>26.295501078487359</v>
      </c>
      <c r="U48" s="2">
        <f t="shared" si="24"/>
        <v>124.27666246508907</v>
      </c>
      <c r="V48" s="2">
        <f t="shared" si="18"/>
        <v>15.228530342278471</v>
      </c>
      <c r="W48" s="2">
        <f t="shared" si="19"/>
        <v>8.71319996373132</v>
      </c>
      <c r="X48" s="2">
        <f t="shared" si="25"/>
        <v>627.35039738865498</v>
      </c>
      <c r="Y48" s="2">
        <f t="shared" si="20"/>
        <v>793.87947567078402</v>
      </c>
    </row>
    <row r="49" spans="12:25" x14ac:dyDescent="0.35">
      <c r="L49" s="1">
        <v>6.5</v>
      </c>
      <c r="M49" s="2">
        <f t="shared" si="21"/>
        <v>132.73228961416876</v>
      </c>
      <c r="N49" s="2">
        <f t="shared" si="22"/>
        <v>143.79331374868281</v>
      </c>
      <c r="O49" s="2">
        <f t="shared" si="13"/>
        <v>171.73860527014702</v>
      </c>
      <c r="P49" s="2">
        <f t="shared" si="14"/>
        <v>1869.8048518658968</v>
      </c>
      <c r="Q49" s="2">
        <f t="shared" si="15"/>
        <v>1698.0662465957498</v>
      </c>
      <c r="R49" s="2">
        <f t="shared" si="16"/>
        <v>191.43926117201241</v>
      </c>
      <c r="S49" s="2">
        <f t="shared" si="17"/>
        <v>0.16275229357798165</v>
      </c>
      <c r="T49" s="2">
        <f t="shared" si="23"/>
        <v>30.860692237946971</v>
      </c>
      <c r="U49" s="2">
        <f t="shared" si="24"/>
        <v>160.57856893406543</v>
      </c>
      <c r="V49" s="2">
        <f t="shared" si="18"/>
        <v>19.361736783556598</v>
      </c>
      <c r="W49" s="2">
        <f t="shared" si="19"/>
        <v>11.078067314998675</v>
      </c>
      <c r="X49" s="2">
        <f t="shared" si="25"/>
        <v>797.62084667990462</v>
      </c>
      <c r="Y49" s="2">
        <f t="shared" si="20"/>
        <v>1009.3479213244866</v>
      </c>
    </row>
    <row r="50" spans="12:25" x14ac:dyDescent="0.35">
      <c r="L50" s="1">
        <v>7</v>
      </c>
      <c r="M50" s="2">
        <f t="shared" si="21"/>
        <v>153.93804002589985</v>
      </c>
      <c r="N50" s="2">
        <f t="shared" si="22"/>
        <v>179.59438003021648</v>
      </c>
      <c r="O50" s="2">
        <f t="shared" si="13"/>
        <v>214.49737499375669</v>
      </c>
      <c r="P50" s="2">
        <f t="shared" si="14"/>
        <v>2335.3411531725174</v>
      </c>
      <c r="Q50" s="2">
        <f t="shared" si="15"/>
        <v>2120.8437781787607</v>
      </c>
      <c r="R50" s="2">
        <f t="shared" si="16"/>
        <v>239.10301896040144</v>
      </c>
      <c r="S50" s="2">
        <f t="shared" si="17"/>
        <v>0.16275229357798165</v>
      </c>
      <c r="T50" s="2">
        <f t="shared" si="23"/>
        <v>35.791098690163345</v>
      </c>
      <c r="U50" s="2">
        <f t="shared" si="24"/>
        <v>203.31192027023809</v>
      </c>
      <c r="V50" s="2">
        <f t="shared" si="18"/>
        <v>24.18234216389591</v>
      </c>
      <c r="W50" s="2">
        <f t="shared" si="19"/>
        <v>13.836238831295569</v>
      </c>
      <c r="X50" s="2">
        <f t="shared" si="25"/>
        <v>996.20919585328102</v>
      </c>
      <c r="Y50" s="2">
        <f t="shared" si="20"/>
        <v>1260.651204421662</v>
      </c>
    </row>
    <row r="51" spans="12:25" x14ac:dyDescent="0.35">
      <c r="L51" s="1">
        <v>7.5</v>
      </c>
      <c r="M51" s="2">
        <f t="shared" si="21"/>
        <v>176.71458676442586</v>
      </c>
      <c r="N51" s="2">
        <f t="shared" si="22"/>
        <v>220.89323345553231</v>
      </c>
      <c r="O51" s="2">
        <f t="shared" si="13"/>
        <v>263.82239089064461</v>
      </c>
      <c r="P51" s="2">
        <f t="shared" si="14"/>
        <v>2872.3674897803376</v>
      </c>
      <c r="Q51" s="2">
        <f t="shared" si="15"/>
        <v>2608.5450988896932</v>
      </c>
      <c r="R51" s="2">
        <f t="shared" si="16"/>
        <v>294.08625692104772</v>
      </c>
      <c r="S51" s="2">
        <f t="shared" si="17"/>
        <v>0.16275229357798165</v>
      </c>
      <c r="T51" s="2">
        <f t="shared" si="23"/>
        <v>41.086720435136499</v>
      </c>
      <c r="U51" s="2">
        <f t="shared" si="24"/>
        <v>252.99953648591122</v>
      </c>
      <c r="V51" s="2">
        <f t="shared" si="18"/>
        <v>29.743223324762642</v>
      </c>
      <c r="W51" s="2">
        <f t="shared" si="19"/>
        <v>17.017968679162735</v>
      </c>
      <c r="X51" s="2">
        <f t="shared" si="25"/>
        <v>1225.2937448997168</v>
      </c>
      <c r="Y51" s="2">
        <f t="shared" si="20"/>
        <v>1550.5458509195</v>
      </c>
    </row>
    <row r="52" spans="12:25" x14ac:dyDescent="0.35">
      <c r="L52" s="1">
        <v>8</v>
      </c>
      <c r="M52" s="2">
        <f t="shared" si="21"/>
        <v>201.06192982974676</v>
      </c>
      <c r="N52" s="2">
        <f t="shared" si="22"/>
        <v>268.08257310632899</v>
      </c>
      <c r="O52" s="2">
        <f t="shared" si="13"/>
        <v>320.18267054461643</v>
      </c>
      <c r="P52" s="2">
        <f t="shared" si="14"/>
        <v>3485.9902927823</v>
      </c>
      <c r="Q52" s="2">
        <f t="shared" si="15"/>
        <v>3165.807622237684</v>
      </c>
      <c r="R52" s="2">
        <f t="shared" si="16"/>
        <v>356.91179506625525</v>
      </c>
      <c r="S52" s="2">
        <f t="shared" si="17"/>
        <v>0.16275229357798165</v>
      </c>
      <c r="T52" s="2">
        <f t="shared" si="23"/>
        <v>46.747557472866418</v>
      </c>
      <c r="U52" s="2">
        <f t="shared" si="24"/>
        <v>310.16423759338886</v>
      </c>
      <c r="V52" s="2">
        <f t="shared" si="18"/>
        <v>36.097257107623051</v>
      </c>
      <c r="W52" s="2">
        <f t="shared" si="19"/>
        <v>20.653511025140908</v>
      </c>
      <c r="X52" s="2">
        <f t="shared" si="25"/>
        <v>1487.0527938101454</v>
      </c>
      <c r="Y52" s="2">
        <f t="shared" si="20"/>
        <v>1881.7883867751923</v>
      </c>
    </row>
    <row r="54" spans="12:25" x14ac:dyDescent="0.35">
      <c r="L54" s="3" t="s">
        <v>74</v>
      </c>
    </row>
    <row r="55" spans="12:25" x14ac:dyDescent="0.35">
      <c r="L55" s="8" t="s">
        <v>62</v>
      </c>
      <c r="M55" s="8" t="s">
        <v>62</v>
      </c>
      <c r="N55" s="8" t="s">
        <v>23</v>
      </c>
      <c r="O55" s="11" t="s">
        <v>16</v>
      </c>
      <c r="P55" s="10" t="s">
        <v>65</v>
      </c>
      <c r="Q55" s="10" t="s">
        <v>13</v>
      </c>
    </row>
    <row r="56" spans="12:25" x14ac:dyDescent="0.35">
      <c r="L56" s="8" t="s">
        <v>62</v>
      </c>
      <c r="M56" s="8" t="s">
        <v>62</v>
      </c>
      <c r="N56" s="8" t="s">
        <v>62</v>
      </c>
      <c r="O56" s="8" t="s">
        <v>57</v>
      </c>
      <c r="P56" s="8" t="s">
        <v>57</v>
      </c>
      <c r="Q56" s="8" t="s">
        <v>57</v>
      </c>
      <c r="R56" s="8" t="s">
        <v>57</v>
      </c>
      <c r="S56" s="8" t="s">
        <v>57</v>
      </c>
      <c r="T56" s="8" t="s">
        <v>57</v>
      </c>
      <c r="U56" s="8" t="s">
        <v>62</v>
      </c>
      <c r="V56" s="8" t="s">
        <v>62</v>
      </c>
      <c r="W56" s="8" t="s">
        <v>55</v>
      </c>
      <c r="X56" s="8" t="s">
        <v>55</v>
      </c>
      <c r="Y56" s="8" t="s">
        <v>55</v>
      </c>
    </row>
    <row r="57" spans="12:25" ht="58" x14ac:dyDescent="0.35">
      <c r="L57" s="8" t="s">
        <v>34</v>
      </c>
      <c r="M57" s="8" t="s">
        <v>42</v>
      </c>
      <c r="N57" s="8" t="s">
        <v>24</v>
      </c>
      <c r="O57" s="8" t="s">
        <v>17</v>
      </c>
      <c r="P57" s="8" t="s">
        <v>15</v>
      </c>
      <c r="Q57" s="8" t="s">
        <v>14</v>
      </c>
      <c r="R57" s="8" t="s">
        <v>46</v>
      </c>
      <c r="S57" s="8" t="s">
        <v>72</v>
      </c>
      <c r="T57" s="8" t="s">
        <v>66</v>
      </c>
      <c r="U57" s="8" t="s">
        <v>64</v>
      </c>
      <c r="V57" s="8" t="s">
        <v>58</v>
      </c>
      <c r="W57" s="8" t="s">
        <v>61</v>
      </c>
      <c r="X57" s="8" t="s">
        <v>60</v>
      </c>
      <c r="Y57" s="8" t="s">
        <v>63</v>
      </c>
    </row>
    <row r="58" spans="12:25" x14ac:dyDescent="0.35">
      <c r="L58" s="8" t="s">
        <v>0</v>
      </c>
      <c r="M58" s="8" t="s">
        <v>2</v>
      </c>
      <c r="N58" s="8" t="s">
        <v>2</v>
      </c>
      <c r="O58" s="8" t="s">
        <v>67</v>
      </c>
      <c r="P58" s="8" t="s">
        <v>67</v>
      </c>
      <c r="Q58" s="8" t="s">
        <v>67</v>
      </c>
      <c r="R58" s="8" t="s">
        <v>1</v>
      </c>
      <c r="S58" s="8" t="s">
        <v>71</v>
      </c>
      <c r="T58" s="8" t="s">
        <v>1</v>
      </c>
      <c r="U58" s="8" t="s">
        <v>1</v>
      </c>
      <c r="V58" s="8" t="s">
        <v>1</v>
      </c>
      <c r="W58" s="8" t="s">
        <v>50</v>
      </c>
      <c r="X58" s="8" t="s">
        <v>1</v>
      </c>
      <c r="Y58" s="8" t="s">
        <v>1</v>
      </c>
    </row>
    <row r="59" spans="12:25" x14ac:dyDescent="0.35">
      <c r="L59" s="8" t="s">
        <v>62</v>
      </c>
      <c r="M59" s="8" t="s">
        <v>62</v>
      </c>
      <c r="N59" s="8" t="s">
        <v>62</v>
      </c>
      <c r="O59" s="8" t="s">
        <v>68</v>
      </c>
      <c r="P59" s="8" t="s">
        <v>69</v>
      </c>
      <c r="Q59" s="8" t="s">
        <v>70</v>
      </c>
      <c r="R59" s="8" t="s">
        <v>62</v>
      </c>
      <c r="S59" s="8" t="s">
        <v>62</v>
      </c>
      <c r="T59" s="8" t="s">
        <v>73</v>
      </c>
      <c r="U59" s="8" t="s">
        <v>62</v>
      </c>
      <c r="V59" s="8" t="s">
        <v>62</v>
      </c>
      <c r="W59" s="8" t="s">
        <v>59</v>
      </c>
      <c r="X59" s="8" t="s">
        <v>59</v>
      </c>
      <c r="Y59" s="8" t="s">
        <v>59</v>
      </c>
    </row>
    <row r="60" spans="12:25" x14ac:dyDescent="0.35">
      <c r="L60" s="1">
        <v>0.5</v>
      </c>
      <c r="M60" s="2">
        <f>4*PI()*POWER((L60/2),2)</f>
        <v>0.78539816339744828</v>
      </c>
      <c r="N60" s="2">
        <f>(4/3)*PI()*POWER((L60/2),3)</f>
        <v>6.5449846949787352E-2</v>
      </c>
      <c r="O60" s="2">
        <f t="shared" ref="O60:O75" si="26">$G$22*$D$3*N60</f>
        <v>4.3647637244655875E-2</v>
      </c>
      <c r="P60" s="2">
        <f t="shared" ref="P60:P75" si="27">N60*$G$15*$D$3</f>
        <v>0.50506992392681394</v>
      </c>
      <c r="Q60" s="2">
        <f t="shared" ref="Q60:Q75" si="28">($G$15-$G$22)*N60*$D$3</f>
        <v>0.46142228668215807</v>
      </c>
      <c r="R60" s="2">
        <f t="shared" ref="R60:R75" si="29">Q60/$D$3</f>
        <v>5.2020550922453002E-2</v>
      </c>
      <c r="S60" s="2">
        <f t="shared" ref="S60:S75" si="30">$E$27/1000</f>
        <v>0.16275229357798165</v>
      </c>
      <c r="T60" s="2">
        <f>(S60*M60)*(100/70)</f>
        <v>0.18260764637838445</v>
      </c>
      <c r="U60" s="2">
        <f>R60-T60</f>
        <v>-0.13058709545593145</v>
      </c>
      <c r="V60" s="2">
        <f t="shared" ref="V60:V75" si="31">O60/$D$3</f>
        <v>4.9208159238619932E-3</v>
      </c>
      <c r="W60" s="2">
        <f t="shared" ref="W60" si="32">N60/12.98</f>
        <v>5.042361090122292E-3</v>
      </c>
      <c r="X60" s="2">
        <f>W60*72</f>
        <v>0.36304999848880504</v>
      </c>
      <c r="Y60" s="2">
        <f t="shared" ref="Y60:Y75" si="33">X60+(U60*$D$5/$D$3)+(T60*$D$5/$D$3)</f>
        <v>0.4205834375586206</v>
      </c>
    </row>
    <row r="61" spans="12:25" x14ac:dyDescent="0.35">
      <c r="L61" s="1">
        <v>1</v>
      </c>
      <c r="M61" s="2">
        <f t="shared" ref="M61:M75" si="34">4*PI()*POWER((L61/2),2)</f>
        <v>3.1415926535897931</v>
      </c>
      <c r="N61" s="2">
        <f t="shared" ref="N61:N75" si="35">(4/3)*PI()*POWER((L61/2),3)</f>
        <v>0.52359877559829882</v>
      </c>
      <c r="O61" s="2">
        <f t="shared" si="26"/>
        <v>0.349181097957247</v>
      </c>
      <c r="P61" s="2">
        <f t="shared" si="27"/>
        <v>4.0405593914145115</v>
      </c>
      <c r="Q61" s="2">
        <f t="shared" si="28"/>
        <v>3.6913782934572645</v>
      </c>
      <c r="R61" s="2">
        <f t="shared" si="29"/>
        <v>0.41616440737962401</v>
      </c>
      <c r="S61" s="2">
        <f t="shared" si="30"/>
        <v>0.16275229357798165</v>
      </c>
      <c r="T61" s="2">
        <f t="shared" ref="T61:T75" si="36">(S61*M61)*(100/70)</f>
        <v>0.73043058551353779</v>
      </c>
      <c r="U61" s="2">
        <f t="shared" ref="U61:U75" si="37">R61-T61</f>
        <v>-0.31426617813391378</v>
      </c>
      <c r="V61" s="2">
        <f t="shared" si="31"/>
        <v>3.9366527390895946E-2</v>
      </c>
      <c r="W61" s="2">
        <f t="shared" ref="W61:W75" si="38">N61/12.98</f>
        <v>4.0338888720978336E-2</v>
      </c>
      <c r="X61" s="2">
        <f t="shared" ref="X61:X75" si="39">W61*72</f>
        <v>2.9043999879104403</v>
      </c>
      <c r="Y61" s="2">
        <f t="shared" si="33"/>
        <v>3.3646675004689648</v>
      </c>
    </row>
    <row r="62" spans="12:25" x14ac:dyDescent="0.35">
      <c r="L62" s="1">
        <v>1.5</v>
      </c>
      <c r="M62" s="2">
        <f t="shared" si="34"/>
        <v>7.0685834705770345</v>
      </c>
      <c r="N62" s="2">
        <f t="shared" si="35"/>
        <v>1.7671458676442584</v>
      </c>
      <c r="O62" s="2">
        <f t="shared" si="26"/>
        <v>1.1784862056057086</v>
      </c>
      <c r="P62" s="2">
        <f t="shared" si="27"/>
        <v>13.636887946023977</v>
      </c>
      <c r="Q62" s="2">
        <f t="shared" si="28"/>
        <v>12.458401740418267</v>
      </c>
      <c r="R62" s="2">
        <f t="shared" si="29"/>
        <v>1.4045548749062309</v>
      </c>
      <c r="S62" s="2">
        <f t="shared" si="30"/>
        <v>0.16275229357798165</v>
      </c>
      <c r="T62" s="2">
        <f t="shared" si="36"/>
        <v>1.6434688174054599</v>
      </c>
      <c r="U62" s="2">
        <f t="shared" si="37"/>
        <v>-0.23891394249922904</v>
      </c>
      <c r="V62" s="2">
        <f t="shared" si="31"/>
        <v>0.13286202994427382</v>
      </c>
      <c r="W62" s="2">
        <f t="shared" si="38"/>
        <v>0.13614374943330187</v>
      </c>
      <c r="X62" s="2">
        <f t="shared" si="39"/>
        <v>9.8023499591977341</v>
      </c>
      <c r="Y62" s="2">
        <f t="shared" si="33"/>
        <v>11.355752814082754</v>
      </c>
    </row>
    <row r="63" spans="12:25" x14ac:dyDescent="0.35">
      <c r="L63" s="1">
        <v>2</v>
      </c>
      <c r="M63" s="2">
        <f t="shared" si="34"/>
        <v>12.566370614359172</v>
      </c>
      <c r="N63" s="2">
        <f t="shared" si="35"/>
        <v>4.1887902047863905</v>
      </c>
      <c r="O63" s="2">
        <f t="shared" si="26"/>
        <v>2.793448783657976</v>
      </c>
      <c r="P63" s="2">
        <f t="shared" si="27"/>
        <v>32.324475131316092</v>
      </c>
      <c r="Q63" s="2">
        <f t="shared" si="28"/>
        <v>29.531026347658116</v>
      </c>
      <c r="R63" s="2">
        <f t="shared" si="29"/>
        <v>3.3293152590369921</v>
      </c>
      <c r="S63" s="2">
        <f t="shared" si="30"/>
        <v>0.16275229357798165</v>
      </c>
      <c r="T63" s="2">
        <f t="shared" si="36"/>
        <v>2.9217223420541512</v>
      </c>
      <c r="U63" s="2">
        <f t="shared" si="37"/>
        <v>0.40759291698284095</v>
      </c>
      <c r="V63" s="2">
        <f t="shared" si="31"/>
        <v>0.31493221912716757</v>
      </c>
      <c r="W63" s="2">
        <f t="shared" si="38"/>
        <v>0.32271110976782669</v>
      </c>
      <c r="X63" s="2">
        <f t="shared" si="39"/>
        <v>23.235199903283522</v>
      </c>
      <c r="Y63" s="2">
        <f t="shared" si="33"/>
        <v>26.917340003751718</v>
      </c>
    </row>
    <row r="64" spans="12:25" x14ac:dyDescent="0.35">
      <c r="L64" s="1">
        <v>2.5</v>
      </c>
      <c r="M64" s="2">
        <f t="shared" si="34"/>
        <v>19.634954084936208</v>
      </c>
      <c r="N64" s="2">
        <f t="shared" si="35"/>
        <v>8.1812308687234196</v>
      </c>
      <c r="O64" s="2">
        <f t="shared" si="26"/>
        <v>5.4559546555819844</v>
      </c>
      <c r="P64" s="2">
        <f t="shared" si="27"/>
        <v>63.13374049085175</v>
      </c>
      <c r="Q64" s="2">
        <f t="shared" si="28"/>
        <v>57.677785835269766</v>
      </c>
      <c r="R64" s="2">
        <f t="shared" si="29"/>
        <v>6.5025688653066256</v>
      </c>
      <c r="S64" s="2">
        <f t="shared" si="30"/>
        <v>0.16275229357798165</v>
      </c>
      <c r="T64" s="2">
        <f t="shared" si="36"/>
        <v>4.5651911594596113</v>
      </c>
      <c r="U64" s="2">
        <f t="shared" si="37"/>
        <v>1.9373777058470143</v>
      </c>
      <c r="V64" s="2">
        <f t="shared" si="31"/>
        <v>0.61510199048274916</v>
      </c>
      <c r="W64" s="2">
        <f t="shared" si="38"/>
        <v>0.63029513626528655</v>
      </c>
      <c r="X64" s="2">
        <f t="shared" si="39"/>
        <v>45.381249811100631</v>
      </c>
      <c r="Y64" s="2">
        <f t="shared" si="33"/>
        <v>52.572929694827572</v>
      </c>
    </row>
    <row r="65" spans="12:25" x14ac:dyDescent="0.35">
      <c r="L65" s="1">
        <v>3</v>
      </c>
      <c r="M65" s="2">
        <f t="shared" si="34"/>
        <v>28.274333882308138</v>
      </c>
      <c r="N65" s="2">
        <f t="shared" si="35"/>
        <v>14.137166941154067</v>
      </c>
      <c r="O65" s="2">
        <f t="shared" si="26"/>
        <v>9.4278896448456688</v>
      </c>
      <c r="P65" s="2">
        <f t="shared" si="27"/>
        <v>109.09510356819182</v>
      </c>
      <c r="Q65" s="2">
        <f t="shared" si="28"/>
        <v>99.667213923346139</v>
      </c>
      <c r="R65" s="2">
        <f t="shared" si="29"/>
        <v>11.236438999249847</v>
      </c>
      <c r="S65" s="2">
        <f t="shared" si="30"/>
        <v>0.16275229357798165</v>
      </c>
      <c r="T65" s="2">
        <f t="shared" si="36"/>
        <v>6.5738752696218397</v>
      </c>
      <c r="U65" s="2">
        <f t="shared" si="37"/>
        <v>4.6625637296280074</v>
      </c>
      <c r="V65" s="2">
        <f t="shared" si="31"/>
        <v>1.0628962395541905</v>
      </c>
      <c r="W65" s="2">
        <f t="shared" si="38"/>
        <v>1.089149995466415</v>
      </c>
      <c r="X65" s="2">
        <f t="shared" si="39"/>
        <v>78.418799673581873</v>
      </c>
      <c r="Y65" s="2">
        <f t="shared" si="33"/>
        <v>90.846022512662032</v>
      </c>
    </row>
    <row r="66" spans="12:25" x14ac:dyDescent="0.35">
      <c r="L66" s="1">
        <v>3.5</v>
      </c>
      <c r="M66" s="2">
        <f t="shared" si="34"/>
        <v>38.484510006474963</v>
      </c>
      <c r="N66" s="2">
        <f t="shared" si="35"/>
        <v>22.449297503777061</v>
      </c>
      <c r="O66" s="2">
        <f t="shared" si="26"/>
        <v>14.971139574916963</v>
      </c>
      <c r="P66" s="2">
        <f t="shared" si="27"/>
        <v>173.23898390689718</v>
      </c>
      <c r="Q66" s="2">
        <f t="shared" si="28"/>
        <v>158.26784433198023</v>
      </c>
      <c r="R66" s="2">
        <f t="shared" si="29"/>
        <v>17.84304896640138</v>
      </c>
      <c r="S66" s="2">
        <f t="shared" si="30"/>
        <v>0.16275229357798165</v>
      </c>
      <c r="T66" s="2">
        <f t="shared" si="36"/>
        <v>8.9477746725408362</v>
      </c>
      <c r="U66" s="2">
        <f t="shared" si="37"/>
        <v>8.8952742938605436</v>
      </c>
      <c r="V66" s="2">
        <f t="shared" si="31"/>
        <v>1.6878398618846633</v>
      </c>
      <c r="W66" s="2">
        <f t="shared" si="38"/>
        <v>1.7295298539119461</v>
      </c>
      <c r="X66" s="2">
        <f t="shared" si="39"/>
        <v>124.52614948166013</v>
      </c>
      <c r="Y66" s="2">
        <f t="shared" si="33"/>
        <v>144.26011908260688</v>
      </c>
    </row>
    <row r="67" spans="12:25" x14ac:dyDescent="0.35">
      <c r="L67" s="1">
        <v>4</v>
      </c>
      <c r="M67" s="2">
        <f t="shared" si="34"/>
        <v>50.26548245743669</v>
      </c>
      <c r="N67" s="2">
        <f t="shared" si="35"/>
        <v>33.510321638291124</v>
      </c>
      <c r="O67" s="2">
        <f t="shared" si="26"/>
        <v>22.347590269263808</v>
      </c>
      <c r="P67" s="2">
        <f t="shared" si="27"/>
        <v>258.59580105052873</v>
      </c>
      <c r="Q67" s="2">
        <f t="shared" si="28"/>
        <v>236.24821078126493</v>
      </c>
      <c r="R67" s="2">
        <f t="shared" si="29"/>
        <v>26.634522072295937</v>
      </c>
      <c r="S67" s="2">
        <f t="shared" si="30"/>
        <v>0.16275229357798165</v>
      </c>
      <c r="T67" s="2">
        <f t="shared" si="36"/>
        <v>11.686889368216605</v>
      </c>
      <c r="U67" s="2">
        <f t="shared" si="37"/>
        <v>14.947632704079332</v>
      </c>
      <c r="V67" s="2">
        <f t="shared" si="31"/>
        <v>2.5194577530173405</v>
      </c>
      <c r="W67" s="2">
        <f t="shared" si="38"/>
        <v>2.5816888781426135</v>
      </c>
      <c r="X67" s="2">
        <f t="shared" si="39"/>
        <v>185.88159922626818</v>
      </c>
      <c r="Y67" s="2">
        <f t="shared" si="33"/>
        <v>215.33872003001375</v>
      </c>
    </row>
    <row r="68" spans="12:25" x14ac:dyDescent="0.35">
      <c r="L68" s="1">
        <v>4.5</v>
      </c>
      <c r="M68" s="2">
        <f t="shared" si="34"/>
        <v>63.617251235193308</v>
      </c>
      <c r="N68" s="2">
        <f t="shared" si="35"/>
        <v>47.712938426394977</v>
      </c>
      <c r="O68" s="2">
        <f t="shared" si="26"/>
        <v>31.819127551354129</v>
      </c>
      <c r="P68" s="2">
        <f t="shared" si="27"/>
        <v>368.19597454264738</v>
      </c>
      <c r="Q68" s="2">
        <f t="shared" si="28"/>
        <v>336.37684699129323</v>
      </c>
      <c r="R68" s="2">
        <f t="shared" si="29"/>
        <v>37.922981622468235</v>
      </c>
      <c r="S68" s="2">
        <f t="shared" si="30"/>
        <v>0.16275229357798165</v>
      </c>
      <c r="T68" s="2">
        <f t="shared" si="36"/>
        <v>14.79121935664914</v>
      </c>
      <c r="U68" s="2">
        <f t="shared" si="37"/>
        <v>23.131762265819095</v>
      </c>
      <c r="V68" s="2">
        <f t="shared" si="31"/>
        <v>3.5872748084953923</v>
      </c>
      <c r="W68" s="2">
        <f t="shared" si="38"/>
        <v>3.6758812346991507</v>
      </c>
      <c r="X68" s="2">
        <f t="shared" si="39"/>
        <v>264.66344889833886</v>
      </c>
      <c r="Y68" s="2">
        <f t="shared" si="33"/>
        <v>306.6053259802344</v>
      </c>
    </row>
    <row r="69" spans="12:25" x14ac:dyDescent="0.35">
      <c r="L69" s="1">
        <v>5</v>
      </c>
      <c r="M69" s="2">
        <f t="shared" si="34"/>
        <v>78.539816339744831</v>
      </c>
      <c r="N69" s="2">
        <f t="shared" si="35"/>
        <v>65.449846949787357</v>
      </c>
      <c r="O69" s="2">
        <f t="shared" si="26"/>
        <v>43.647637244655876</v>
      </c>
      <c r="P69" s="2">
        <f t="shared" si="27"/>
        <v>505.069923926814</v>
      </c>
      <c r="Q69" s="2">
        <f t="shared" si="28"/>
        <v>461.42228668215813</v>
      </c>
      <c r="R69" s="2">
        <f t="shared" si="29"/>
        <v>52.020550922453005</v>
      </c>
      <c r="S69" s="2">
        <f t="shared" si="30"/>
        <v>0.16275229357798165</v>
      </c>
      <c r="T69" s="2">
        <f t="shared" si="36"/>
        <v>18.260764637838445</v>
      </c>
      <c r="U69" s="2">
        <f t="shared" si="37"/>
        <v>33.759786284614563</v>
      </c>
      <c r="V69" s="2">
        <f t="shared" si="31"/>
        <v>4.9208159238619933</v>
      </c>
      <c r="W69" s="2">
        <f t="shared" si="38"/>
        <v>5.0423610901222924</v>
      </c>
      <c r="X69" s="2">
        <f t="shared" si="39"/>
        <v>363.04999848880504</v>
      </c>
      <c r="Y69" s="2">
        <f t="shared" si="33"/>
        <v>420.58343755862063</v>
      </c>
    </row>
    <row r="70" spans="12:25" x14ac:dyDescent="0.35">
      <c r="L70" s="12">
        <v>5.5</v>
      </c>
      <c r="M70" s="13">
        <f t="shared" si="34"/>
        <v>95.033177771091246</v>
      </c>
      <c r="N70" s="13">
        <f t="shared" si="35"/>
        <v>87.113746290166972</v>
      </c>
      <c r="O70" s="13">
        <f t="shared" si="26"/>
        <v>58.095005172636974</v>
      </c>
      <c r="P70" s="13">
        <f t="shared" si="27"/>
        <v>672.24806874658952</v>
      </c>
      <c r="Q70" s="13">
        <f t="shared" si="28"/>
        <v>614.15306357395241</v>
      </c>
      <c r="R70" s="13">
        <f t="shared" si="29"/>
        <v>69.239353277784943</v>
      </c>
      <c r="S70" s="13">
        <f t="shared" si="30"/>
        <v>0.16275229357798165</v>
      </c>
      <c r="T70" s="13">
        <f t="shared" si="36"/>
        <v>22.095525211784519</v>
      </c>
      <c r="U70" s="13">
        <f t="shared" si="37"/>
        <v>47.143828066000424</v>
      </c>
      <c r="V70" s="13">
        <f t="shared" si="31"/>
        <v>6.5496059946603129</v>
      </c>
      <c r="W70" s="13">
        <f t="shared" si="38"/>
        <v>6.7113826109527714</v>
      </c>
      <c r="X70" s="13">
        <f t="shared" si="39"/>
        <v>483.21954798859952</v>
      </c>
      <c r="Y70" s="13">
        <f t="shared" si="33"/>
        <v>559.79655539052408</v>
      </c>
    </row>
    <row r="71" spans="12:25" x14ac:dyDescent="0.35">
      <c r="L71" s="1">
        <v>6</v>
      </c>
      <c r="M71" s="2">
        <f t="shared" si="34"/>
        <v>113.09733552923255</v>
      </c>
      <c r="N71" s="2">
        <f t="shared" si="35"/>
        <v>113.09733552923254</v>
      </c>
      <c r="O71" s="2">
        <f t="shared" si="26"/>
        <v>75.423117158765351</v>
      </c>
      <c r="P71" s="2">
        <f t="shared" si="27"/>
        <v>872.76082854553454</v>
      </c>
      <c r="Q71" s="2">
        <f t="shared" si="28"/>
        <v>797.33771138676912</v>
      </c>
      <c r="R71" s="2">
        <f t="shared" si="29"/>
        <v>89.891511993998776</v>
      </c>
      <c r="S71" s="2">
        <f t="shared" si="30"/>
        <v>0.16275229357798165</v>
      </c>
      <c r="T71" s="2">
        <f t="shared" si="36"/>
        <v>26.295501078487359</v>
      </c>
      <c r="U71" s="2">
        <f t="shared" si="37"/>
        <v>63.596010915511414</v>
      </c>
      <c r="V71" s="2">
        <f t="shared" si="31"/>
        <v>8.5031699164335244</v>
      </c>
      <c r="W71" s="2">
        <f t="shared" si="38"/>
        <v>8.71319996373132</v>
      </c>
      <c r="X71" s="2">
        <f t="shared" si="39"/>
        <v>627.35039738865498</v>
      </c>
      <c r="Y71" s="2">
        <f t="shared" si="33"/>
        <v>726.76818010129625</v>
      </c>
    </row>
    <row r="72" spans="12:25" x14ac:dyDescent="0.35">
      <c r="L72" s="1">
        <v>6.5</v>
      </c>
      <c r="M72" s="2">
        <f t="shared" si="34"/>
        <v>132.73228961416876</v>
      </c>
      <c r="N72" s="2">
        <f t="shared" si="35"/>
        <v>143.79331374868281</v>
      </c>
      <c r="O72" s="2">
        <f t="shared" si="26"/>
        <v>95.893859026508949</v>
      </c>
      <c r="P72" s="2">
        <f t="shared" si="27"/>
        <v>1109.6386228672102</v>
      </c>
      <c r="Q72" s="2">
        <f t="shared" si="28"/>
        <v>1013.7447638407012</v>
      </c>
      <c r="R72" s="2">
        <f t="shared" si="29"/>
        <v>114.28915037662924</v>
      </c>
      <c r="S72" s="2">
        <f t="shared" si="30"/>
        <v>0.16275229357798165</v>
      </c>
      <c r="T72" s="2">
        <f t="shared" si="36"/>
        <v>30.860692237946971</v>
      </c>
      <c r="U72" s="2">
        <f t="shared" si="37"/>
        <v>83.428458138682259</v>
      </c>
      <c r="V72" s="2">
        <f t="shared" si="31"/>
        <v>10.811032584724797</v>
      </c>
      <c r="W72" s="2">
        <f t="shared" si="38"/>
        <v>11.078067314998675</v>
      </c>
      <c r="X72" s="2">
        <f t="shared" si="39"/>
        <v>797.62084667990462</v>
      </c>
      <c r="Y72" s="2">
        <f t="shared" si="33"/>
        <v>924.02181231628936</v>
      </c>
    </row>
    <row r="73" spans="12:25" x14ac:dyDescent="0.35">
      <c r="L73" s="1">
        <v>7</v>
      </c>
      <c r="M73" s="2">
        <f t="shared" si="34"/>
        <v>153.93804002589985</v>
      </c>
      <c r="N73" s="2">
        <f t="shared" si="35"/>
        <v>179.59438003021648</v>
      </c>
      <c r="O73" s="2">
        <f t="shared" si="26"/>
        <v>119.7691165993357</v>
      </c>
      <c r="P73" s="2">
        <f t="shared" si="27"/>
        <v>1385.9118712551774</v>
      </c>
      <c r="Q73" s="2">
        <f t="shared" si="28"/>
        <v>1266.1427546558418</v>
      </c>
      <c r="R73" s="2">
        <f t="shared" si="29"/>
        <v>142.74439173121104</v>
      </c>
      <c r="S73" s="2">
        <f t="shared" si="30"/>
        <v>0.16275229357798165</v>
      </c>
      <c r="T73" s="2">
        <f t="shared" si="36"/>
        <v>35.791098690163345</v>
      </c>
      <c r="U73" s="2">
        <f t="shared" si="37"/>
        <v>106.95329304104769</v>
      </c>
      <c r="V73" s="2">
        <f t="shared" si="31"/>
        <v>13.502718895077306</v>
      </c>
      <c r="W73" s="2">
        <f t="shared" si="38"/>
        <v>13.836238831295569</v>
      </c>
      <c r="X73" s="2">
        <f t="shared" si="39"/>
        <v>996.20919585328102</v>
      </c>
      <c r="Y73" s="2">
        <f t="shared" si="33"/>
        <v>1154.080952660855</v>
      </c>
    </row>
    <row r="74" spans="12:25" x14ac:dyDescent="0.35">
      <c r="L74" s="1">
        <v>7.5</v>
      </c>
      <c r="M74" s="2">
        <f t="shared" si="34"/>
        <v>176.71458676442586</v>
      </c>
      <c r="N74" s="2">
        <f t="shared" si="35"/>
        <v>220.89323345553231</v>
      </c>
      <c r="O74" s="2">
        <f t="shared" si="26"/>
        <v>147.31077570071358</v>
      </c>
      <c r="P74" s="2">
        <f t="shared" si="27"/>
        <v>1704.6109932529971</v>
      </c>
      <c r="Q74" s="2">
        <f t="shared" si="28"/>
        <v>1557.3002175522834</v>
      </c>
      <c r="R74" s="2">
        <f t="shared" si="29"/>
        <v>175.56935936327886</v>
      </c>
      <c r="S74" s="2">
        <f t="shared" si="30"/>
        <v>0.16275229357798165</v>
      </c>
      <c r="T74" s="2">
        <f t="shared" si="36"/>
        <v>41.086720435136499</v>
      </c>
      <c r="U74" s="2">
        <f t="shared" si="37"/>
        <v>134.48263892814236</v>
      </c>
      <c r="V74" s="2">
        <f t="shared" si="31"/>
        <v>16.607753743034227</v>
      </c>
      <c r="W74" s="2">
        <f t="shared" si="38"/>
        <v>17.017968679162735</v>
      </c>
      <c r="X74" s="2">
        <f t="shared" si="39"/>
        <v>1225.2937448997168</v>
      </c>
      <c r="Y74" s="2">
        <f t="shared" si="33"/>
        <v>1419.4691017603441</v>
      </c>
    </row>
    <row r="75" spans="12:25" x14ac:dyDescent="0.35">
      <c r="L75" s="1">
        <v>8</v>
      </c>
      <c r="M75" s="2">
        <f t="shared" si="34"/>
        <v>201.06192982974676</v>
      </c>
      <c r="N75" s="2">
        <f t="shared" si="35"/>
        <v>268.08257310632899</v>
      </c>
      <c r="O75" s="2">
        <f t="shared" si="26"/>
        <v>178.78072215411046</v>
      </c>
      <c r="P75" s="2">
        <f t="shared" si="27"/>
        <v>2068.7664084042299</v>
      </c>
      <c r="Q75" s="2">
        <f t="shared" si="28"/>
        <v>1889.9856862501194</v>
      </c>
      <c r="R75" s="2">
        <f t="shared" si="29"/>
        <v>213.07617657836749</v>
      </c>
      <c r="S75" s="2">
        <f t="shared" si="30"/>
        <v>0.16275229357798165</v>
      </c>
      <c r="T75" s="2">
        <f t="shared" si="36"/>
        <v>46.747557472866418</v>
      </c>
      <c r="U75" s="2">
        <f t="shared" si="37"/>
        <v>166.32861910550108</v>
      </c>
      <c r="V75" s="2">
        <f t="shared" si="31"/>
        <v>20.155662024138724</v>
      </c>
      <c r="W75" s="2">
        <f t="shared" si="38"/>
        <v>20.653511025140908</v>
      </c>
      <c r="X75" s="2">
        <f t="shared" si="39"/>
        <v>1487.0527938101454</v>
      </c>
      <c r="Y75" s="2">
        <f t="shared" si="33"/>
        <v>1722.70976024011</v>
      </c>
    </row>
    <row r="79" spans="12:25" x14ac:dyDescent="0.35">
      <c r="L79" t="s">
        <v>54</v>
      </c>
      <c r="M79" t="s">
        <v>52</v>
      </c>
      <c r="N79" t="s">
        <v>53</v>
      </c>
      <c r="O79" t="s">
        <v>75</v>
      </c>
    </row>
    <row r="80" spans="12:25" x14ac:dyDescent="0.35">
      <c r="L80" s="1">
        <v>0.5</v>
      </c>
      <c r="M80" s="9">
        <f t="shared" ref="M80:M95" si="40">IF(U14&lt;0,0,U14)</f>
        <v>0</v>
      </c>
      <c r="N80" s="9">
        <f t="shared" ref="N80:N95" si="41">IF(U37&lt;0,0,U37)</f>
        <v>0</v>
      </c>
      <c r="O80" s="9">
        <f t="shared" ref="O80:O95" si="42">IF(U60&lt;0,0,U60)</f>
        <v>0</v>
      </c>
    </row>
    <row r="81" spans="12:15" x14ac:dyDescent="0.35">
      <c r="L81" s="1">
        <v>1</v>
      </c>
      <c r="M81" s="9">
        <f t="shared" si="40"/>
        <v>0.20445108933984357</v>
      </c>
      <c r="N81" s="9">
        <f t="shared" si="41"/>
        <v>0</v>
      </c>
      <c r="O81" s="9">
        <f t="shared" si="42"/>
        <v>0</v>
      </c>
    </row>
    <row r="82" spans="12:15" x14ac:dyDescent="0.35">
      <c r="L82" s="1">
        <v>1.5</v>
      </c>
      <c r="M82" s="9">
        <f t="shared" si="40"/>
        <v>1.5117568352247022</v>
      </c>
      <c r="N82" s="9">
        <f t="shared" si="41"/>
        <v>0.70922123796292191</v>
      </c>
      <c r="O82" s="9">
        <f t="shared" si="42"/>
        <v>0</v>
      </c>
    </row>
    <row r="83" spans="12:15" x14ac:dyDescent="0.35">
      <c r="L83" s="1">
        <v>2</v>
      </c>
      <c r="M83" s="9">
        <f t="shared" si="40"/>
        <v>4.5573310567728997</v>
      </c>
      <c r="N83" s="9">
        <f t="shared" si="41"/>
        <v>2.6550244558560872</v>
      </c>
      <c r="O83" s="9">
        <f t="shared" si="42"/>
        <v>0.40759291698284095</v>
      </c>
    </row>
    <row r="84" spans="12:15" x14ac:dyDescent="0.35">
      <c r="L84" s="1">
        <v>2.5</v>
      </c>
      <c r="M84" s="9">
        <f t="shared" si="40"/>
        <v>10.042335010124475</v>
      </c>
      <c r="N84" s="9">
        <f t="shared" si="41"/>
        <v>6.326892430208825</v>
      </c>
      <c r="O84" s="9">
        <f t="shared" si="42"/>
        <v>1.9373777058470143</v>
      </c>
    </row>
    <row r="85" spans="12:15" x14ac:dyDescent="0.35">
      <c r="L85" s="1">
        <v>3</v>
      </c>
      <c r="M85" s="9">
        <f t="shared" si="40"/>
        <v>18.667929951419456</v>
      </c>
      <c r="N85" s="9">
        <f t="shared" si="41"/>
        <v>12.247645173325214</v>
      </c>
      <c r="O85" s="9">
        <f t="shared" si="42"/>
        <v>4.6625637296280074</v>
      </c>
    </row>
    <row r="86" spans="12:15" x14ac:dyDescent="0.35">
      <c r="L86" s="1">
        <v>3.5</v>
      </c>
      <c r="M86" s="9">
        <f t="shared" si="40"/>
        <v>31.135277136797889</v>
      </c>
      <c r="N86" s="9">
        <f t="shared" si="41"/>
        <v>20.940102697509346</v>
      </c>
      <c r="O86" s="9">
        <f t="shared" si="42"/>
        <v>8.8952742938605436</v>
      </c>
    </row>
    <row r="87" spans="12:15" x14ac:dyDescent="0.35">
      <c r="L87" s="1">
        <v>4</v>
      </c>
      <c r="M87" s="9">
        <f t="shared" si="40"/>
        <v>48.145537822399803</v>
      </c>
      <c r="N87" s="9">
        <f t="shared" si="41"/>
        <v>32.927085015065302</v>
      </c>
      <c r="O87" s="9">
        <f t="shared" si="42"/>
        <v>14.947632704079332</v>
      </c>
    </row>
    <row r="88" spans="12:15" x14ac:dyDescent="0.35">
      <c r="L88" s="1">
        <v>4.5</v>
      </c>
      <c r="M88" s="9">
        <f t="shared" si="40"/>
        <v>70.39987326436524</v>
      </c>
      <c r="N88" s="9">
        <f t="shared" si="41"/>
        <v>48.731412138297173</v>
      </c>
      <c r="O88" s="9">
        <f t="shared" si="42"/>
        <v>23.131762265819095</v>
      </c>
    </row>
    <row r="89" spans="12:15" x14ac:dyDescent="0.35">
      <c r="L89" s="1">
        <v>5</v>
      </c>
      <c r="M89" s="9">
        <f t="shared" si="40"/>
        <v>98.599444718834235</v>
      </c>
      <c r="N89" s="9">
        <f t="shared" si="41"/>
        <v>68.875904079509041</v>
      </c>
      <c r="O89" s="9">
        <f t="shared" si="42"/>
        <v>33.759786284614563</v>
      </c>
    </row>
    <row r="90" spans="12:15" x14ac:dyDescent="0.35">
      <c r="L90" s="1">
        <v>5.5</v>
      </c>
      <c r="M90" s="9">
        <f t="shared" si="40"/>
        <v>133.44541344194684</v>
      </c>
      <c r="N90" s="9">
        <f t="shared" si="41"/>
        <v>93.883380851004986</v>
      </c>
      <c r="O90" s="9">
        <f t="shared" si="42"/>
        <v>47.143828066000424</v>
      </c>
    </row>
    <row r="91" spans="12:15" x14ac:dyDescent="0.35">
      <c r="L91" s="1">
        <v>6</v>
      </c>
      <c r="M91" s="9">
        <f t="shared" si="40"/>
        <v>175.63894068984303</v>
      </c>
      <c r="N91" s="9">
        <f t="shared" si="41"/>
        <v>124.27666246508907</v>
      </c>
      <c r="O91" s="9">
        <f t="shared" si="42"/>
        <v>63.596010915511414</v>
      </c>
    </row>
    <row r="92" spans="12:15" x14ac:dyDescent="0.35">
      <c r="L92" s="1">
        <v>6.5</v>
      </c>
      <c r="M92" s="9">
        <f t="shared" si="40"/>
        <v>225.88118771866289</v>
      </c>
      <c r="N92" s="9">
        <f t="shared" si="41"/>
        <v>160.57856893406543</v>
      </c>
      <c r="O92" s="9">
        <f t="shared" si="42"/>
        <v>83.428458138682259</v>
      </c>
    </row>
    <row r="93" spans="12:15" x14ac:dyDescent="0.35">
      <c r="L93" s="1">
        <v>7</v>
      </c>
      <c r="M93" s="9">
        <f t="shared" si="40"/>
        <v>284.87331578454649</v>
      </c>
      <c r="N93" s="9">
        <f t="shared" si="41"/>
        <v>203.31192027023809</v>
      </c>
      <c r="O93" s="9">
        <f t="shared" si="42"/>
        <v>106.95329304104769</v>
      </c>
    </row>
    <row r="94" spans="12:15" x14ac:dyDescent="0.35">
      <c r="L94" s="1">
        <v>7.5</v>
      </c>
      <c r="M94" s="9">
        <f t="shared" si="40"/>
        <v>353.31648614363377</v>
      </c>
      <c r="N94" s="9">
        <f t="shared" si="41"/>
        <v>252.99953648591122</v>
      </c>
      <c r="O94" s="9">
        <f t="shared" si="42"/>
        <v>134.48263892814236</v>
      </c>
    </row>
    <row r="95" spans="12:15" x14ac:dyDescent="0.35">
      <c r="L95" s="1">
        <v>8</v>
      </c>
      <c r="M95" s="9">
        <f t="shared" si="40"/>
        <v>431.91186005206487</v>
      </c>
      <c r="N95" s="9">
        <f t="shared" si="41"/>
        <v>310.16423759338886</v>
      </c>
      <c r="O95" s="9">
        <f t="shared" si="42"/>
        <v>166.32861910550108</v>
      </c>
    </row>
  </sheetData>
  <mergeCells count="1">
    <mergeCell ref="D11:D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Aerostatics in Venus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Smith</dc:creator>
  <cp:lastModifiedBy>Stuart Smith</cp:lastModifiedBy>
  <dcterms:created xsi:type="dcterms:W3CDTF">2023-02-27T12:59:40Z</dcterms:created>
  <dcterms:modified xsi:type="dcterms:W3CDTF">2025-05-25T09:27:38Z</dcterms:modified>
</cp:coreProperties>
</file>