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5061b34a5b619dd/Open University/SXS841/Venus Spacecraft Specification/"/>
    </mc:Choice>
  </mc:AlternateContent>
  <xr:revisionPtr revIDLastSave="1711" documentId="8_{0ACBFF11-2DE3-4C14-AF5F-E1B3031992AD}" xr6:coauthVersionLast="47" xr6:coauthVersionMax="47" xr10:uidLastSave="{853F7E65-F82D-482C-9616-B82BB35AFE2D}"/>
  <bookViews>
    <workbookView xWindow="990" yWindow="230" windowWidth="33800" windowHeight="12670" activeTab="4" xr2:uid="{40587255-9BEA-404D-94BF-D98EB4004CBE}"/>
  </bookViews>
  <sheets>
    <sheet name="Delta-V" sheetId="1" r:id="rId1"/>
    <sheet name="Thermal Calculator" sheetId="4" r:id="rId2"/>
    <sheet name="Propulsion" sheetId="2" r:id="rId3"/>
    <sheet name="Communications" sheetId="3" r:id="rId4"/>
    <sheet name="VALO Space Craft PBS" sheetId="8" r:id="rId5"/>
    <sheet name="PSLV-Accelerations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3" l="1"/>
  <c r="M47" i="8"/>
  <c r="AM45" i="8" l="1"/>
  <c r="AM44" i="8"/>
  <c r="AM43" i="8"/>
  <c r="AM42" i="8"/>
  <c r="AM41" i="8"/>
  <c r="AM40" i="8"/>
  <c r="AM39" i="8"/>
  <c r="AM38" i="8"/>
  <c r="AM37" i="8"/>
  <c r="AM36" i="8"/>
  <c r="AM35" i="8"/>
  <c r="AM34" i="8"/>
  <c r="AM27" i="8"/>
  <c r="AM26" i="8"/>
  <c r="AM25" i="8"/>
  <c r="AM24" i="8"/>
  <c r="AM7" i="8"/>
  <c r="AM8" i="8"/>
  <c r="AM9" i="8"/>
  <c r="AM10" i="8"/>
  <c r="AM11" i="8"/>
  <c r="AM12" i="8"/>
  <c r="AM13" i="8"/>
  <c r="AM14" i="8"/>
  <c r="AM15" i="8"/>
  <c r="AM16" i="8"/>
  <c r="AM17" i="8"/>
  <c r="AM6" i="8"/>
  <c r="AG38" i="8"/>
  <c r="AH38" i="8"/>
  <c r="AI38" i="8"/>
  <c r="AJ38" i="8"/>
  <c r="AK38" i="8"/>
  <c r="AL38" i="8"/>
  <c r="AG39" i="8"/>
  <c r="AH39" i="8"/>
  <c r="AI39" i="8"/>
  <c r="AJ39" i="8"/>
  <c r="AK39" i="8"/>
  <c r="AL39" i="8"/>
  <c r="AG40" i="8"/>
  <c r="AH40" i="8"/>
  <c r="AI40" i="8"/>
  <c r="AJ40" i="8"/>
  <c r="AK40" i="8"/>
  <c r="AL40" i="8"/>
  <c r="AG41" i="8"/>
  <c r="AH41" i="8"/>
  <c r="AI41" i="8"/>
  <c r="AJ41" i="8"/>
  <c r="AK41" i="8"/>
  <c r="AL41" i="8"/>
  <c r="AG42" i="8"/>
  <c r="AH42" i="8"/>
  <c r="AI42" i="8"/>
  <c r="AJ42" i="8"/>
  <c r="AK42" i="8"/>
  <c r="AL42" i="8"/>
  <c r="AG43" i="8"/>
  <c r="AH43" i="8"/>
  <c r="AI43" i="8"/>
  <c r="AJ43" i="8"/>
  <c r="AK43" i="8"/>
  <c r="AL43" i="8"/>
  <c r="AG44" i="8"/>
  <c r="AH44" i="8"/>
  <c r="AI44" i="8"/>
  <c r="AJ44" i="8"/>
  <c r="AK44" i="8"/>
  <c r="AL44" i="8"/>
  <c r="AG45" i="8"/>
  <c r="AH45" i="8"/>
  <c r="AI45" i="8"/>
  <c r="AJ45" i="8"/>
  <c r="AK45" i="8"/>
  <c r="AL45" i="8"/>
  <c r="AH46" i="8"/>
  <c r="AI46" i="8"/>
  <c r="AJ46" i="8"/>
  <c r="AL37" i="8"/>
  <c r="AK37" i="8"/>
  <c r="AJ37" i="8"/>
  <c r="AI37" i="8"/>
  <c r="AH37" i="8"/>
  <c r="AG37" i="8"/>
  <c r="AL36" i="8"/>
  <c r="AK36" i="8"/>
  <c r="AJ36" i="8"/>
  <c r="AI36" i="8"/>
  <c r="AH36" i="8"/>
  <c r="AG36" i="8"/>
  <c r="AL35" i="8"/>
  <c r="AK35" i="8"/>
  <c r="AJ35" i="8"/>
  <c r="AI35" i="8"/>
  <c r="AH35" i="8"/>
  <c r="AG35" i="8"/>
  <c r="AL34" i="8"/>
  <c r="AK34" i="8"/>
  <c r="AJ34" i="8"/>
  <c r="AI34" i="8"/>
  <c r="AH34" i="8"/>
  <c r="AG34" i="8"/>
  <c r="AH28" i="8"/>
  <c r="AJ28" i="8"/>
  <c r="AI28" i="8"/>
  <c r="AL27" i="8"/>
  <c r="AK27" i="8"/>
  <c r="AJ27" i="8"/>
  <c r="AI27" i="8"/>
  <c r="AH27" i="8"/>
  <c r="AG27" i="8"/>
  <c r="AK26" i="8"/>
  <c r="AJ26" i="8"/>
  <c r="AI26" i="8"/>
  <c r="AH26" i="8"/>
  <c r="AG26" i="8"/>
  <c r="AL25" i="8"/>
  <c r="AK25" i="8"/>
  <c r="AJ25" i="8"/>
  <c r="AI25" i="8"/>
  <c r="AH25" i="8"/>
  <c r="AG25" i="8"/>
  <c r="AL24" i="8"/>
  <c r="AK24" i="8"/>
  <c r="AJ24" i="8"/>
  <c r="AI24" i="8"/>
  <c r="AH24" i="8"/>
  <c r="AG24" i="8"/>
  <c r="AG7" i="8"/>
  <c r="AG8" i="8"/>
  <c r="AG9" i="8"/>
  <c r="AG10" i="8"/>
  <c r="AG11" i="8"/>
  <c r="AG12" i="8"/>
  <c r="AG13" i="8"/>
  <c r="AG14" i="8"/>
  <c r="AG15" i="8"/>
  <c r="AG16" i="8"/>
  <c r="AG17" i="8"/>
  <c r="AG6" i="8"/>
  <c r="AH16" i="8"/>
  <c r="AI16" i="8"/>
  <c r="AL17" i="8"/>
  <c r="AK7" i="8"/>
  <c r="AK8" i="8"/>
  <c r="AK9" i="8"/>
  <c r="AK10" i="8"/>
  <c r="AK11" i="8"/>
  <c r="AK12" i="8"/>
  <c r="AK13" i="8"/>
  <c r="AK14" i="8"/>
  <c r="AK15" i="8"/>
  <c r="AK16" i="8"/>
  <c r="AK17" i="8"/>
  <c r="AK6" i="8"/>
  <c r="AE16" i="8"/>
  <c r="AD16" i="8"/>
  <c r="AC16" i="8"/>
  <c r="AB16" i="8"/>
  <c r="Z16" i="8"/>
  <c r="Y16" i="8"/>
  <c r="X16" i="8"/>
  <c r="W16" i="8"/>
  <c r="S16" i="8"/>
  <c r="R16" i="8"/>
  <c r="Q16" i="8"/>
  <c r="P16" i="8"/>
  <c r="O16" i="8"/>
  <c r="N16" i="8"/>
  <c r="M16" i="8"/>
  <c r="L16" i="8"/>
  <c r="K16" i="8"/>
  <c r="J16" i="8"/>
  <c r="AJ16" i="8" s="1"/>
  <c r="J24" i="8"/>
  <c r="J27" i="8"/>
  <c r="J43" i="8"/>
  <c r="M41" i="8"/>
  <c r="AD26" i="8"/>
  <c r="AC26" i="8"/>
  <c r="AB26" i="8"/>
  <c r="Z26" i="8"/>
  <c r="Y26" i="8"/>
  <c r="X26" i="8"/>
  <c r="W26" i="8"/>
  <c r="V26" i="8"/>
  <c r="Q26" i="8"/>
  <c r="M43" i="8"/>
  <c r="U46" i="8"/>
  <c r="U26" i="8" s="1"/>
  <c r="U28" i="8" s="1"/>
  <c r="U16" i="8" s="1"/>
  <c r="U18" i="8" s="1"/>
  <c r="T46" i="8"/>
  <c r="T26" i="8" s="1"/>
  <c r="T28" i="8" s="1"/>
  <c r="T16" i="8" s="1"/>
  <c r="S46" i="8"/>
  <c r="S26" i="8" s="1"/>
  <c r="S28" i="8" s="1"/>
  <c r="L46" i="8"/>
  <c r="L26" i="8" s="1"/>
  <c r="L28" i="8" s="1"/>
  <c r="P45" i="8"/>
  <c r="P46" i="8" s="1"/>
  <c r="P26" i="8" s="1"/>
  <c r="P28" i="8" s="1"/>
  <c r="M45" i="8"/>
  <c r="J45" i="8"/>
  <c r="O44" i="8"/>
  <c r="O46" i="8" s="1"/>
  <c r="O26" i="8" s="1"/>
  <c r="O28" i="8" s="1"/>
  <c r="K44" i="8"/>
  <c r="M44" i="8" s="1"/>
  <c r="I44" i="8"/>
  <c r="G44" i="8"/>
  <c r="F44" i="8"/>
  <c r="M42" i="8"/>
  <c r="J42" i="8"/>
  <c r="M40" i="8"/>
  <c r="J40" i="8"/>
  <c r="M39" i="8"/>
  <c r="J39" i="8"/>
  <c r="M38" i="8"/>
  <c r="J38" i="8"/>
  <c r="R46" i="8"/>
  <c r="R26" i="8" s="1"/>
  <c r="R28" i="8" s="1"/>
  <c r="M37" i="8"/>
  <c r="J37" i="8"/>
  <c r="K36" i="8"/>
  <c r="M36" i="8" s="1"/>
  <c r="J36" i="8"/>
  <c r="M35" i="8"/>
  <c r="J35" i="8"/>
  <c r="M34" i="8"/>
  <c r="J34" i="8"/>
  <c r="M27" i="8"/>
  <c r="M25" i="8"/>
  <c r="J25" i="8"/>
  <c r="M24" i="8"/>
  <c r="AL7" i="8"/>
  <c r="AL8" i="8"/>
  <c r="AL9" i="8"/>
  <c r="AL10" i="8"/>
  <c r="AL11" i="8"/>
  <c r="AL12" i="8"/>
  <c r="AL13" i="8"/>
  <c r="AL14" i="8"/>
  <c r="AL15" i="8"/>
  <c r="AL6" i="8"/>
  <c r="AI11" i="8"/>
  <c r="AI7" i="8"/>
  <c r="AI8" i="8"/>
  <c r="AI9" i="8"/>
  <c r="AI12" i="8"/>
  <c r="AI13" i="8"/>
  <c r="AI14" i="8"/>
  <c r="AI6" i="8"/>
  <c r="D28" i="1"/>
  <c r="T18" i="8" l="1"/>
  <c r="AL16" i="8"/>
  <c r="AL26" i="8"/>
  <c r="J44" i="8"/>
  <c r="J46" i="8" s="1"/>
  <c r="J26" i="8" s="1"/>
  <c r="M46" i="8"/>
  <c r="K46" i="8"/>
  <c r="K26" i="8" s="1"/>
  <c r="M26" i="8" s="1"/>
  <c r="M28" i="8" s="1"/>
  <c r="D35" i="1"/>
  <c r="D30" i="1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G5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6" i="13"/>
  <c r="E5" i="13"/>
  <c r="F2" i="13"/>
  <c r="F3" i="13"/>
  <c r="S18" i="8"/>
  <c r="L18" i="8"/>
  <c r="B58" i="2"/>
  <c r="B65" i="2"/>
  <c r="K14" i="8"/>
  <c r="M14" i="8" s="1"/>
  <c r="AH14" i="8" s="1"/>
  <c r="M13" i="8"/>
  <c r="AH13" i="8" s="1"/>
  <c r="J13" i="8"/>
  <c r="AJ13" i="8" s="1"/>
  <c r="J8" i="8"/>
  <c r="AJ8" i="8" s="1"/>
  <c r="R10" i="8"/>
  <c r="AI10" i="8" s="1"/>
  <c r="K10" i="8"/>
  <c r="M10" i="8" s="1"/>
  <c r="AH10" i="8" s="1"/>
  <c r="M9" i="8"/>
  <c r="AH9" i="8" s="1"/>
  <c r="J12" i="8"/>
  <c r="AJ12" i="8" s="1"/>
  <c r="M12" i="8"/>
  <c r="AH12" i="8" s="1"/>
  <c r="M11" i="8"/>
  <c r="AH11" i="8" s="1"/>
  <c r="J11" i="8"/>
  <c r="AJ11" i="8" s="1"/>
  <c r="J10" i="8"/>
  <c r="AJ10" i="8" s="1"/>
  <c r="D34" i="2"/>
  <c r="J9" i="8"/>
  <c r="AJ9" i="8" s="1"/>
  <c r="K8" i="8"/>
  <c r="M8" i="8" s="1"/>
  <c r="AH8" i="8" s="1"/>
  <c r="P17" i="8"/>
  <c r="AI17" i="8" s="1"/>
  <c r="O15" i="8"/>
  <c r="AI15" i="8" s="1"/>
  <c r="K15" i="8"/>
  <c r="M15" i="8" s="1"/>
  <c r="AH15" i="8" s="1"/>
  <c r="I15" i="8"/>
  <c r="G15" i="8"/>
  <c r="F15" i="8"/>
  <c r="M7" i="8"/>
  <c r="AH7" i="8" s="1"/>
  <c r="M17" i="8"/>
  <c r="AH17" i="8" s="1"/>
  <c r="M6" i="8"/>
  <c r="AH6" i="8" s="1"/>
  <c r="J14" i="8"/>
  <c r="AJ14" i="8" s="1"/>
  <c r="J17" i="8"/>
  <c r="AJ17" i="8" s="1"/>
  <c r="J7" i="8"/>
  <c r="AJ7" i="8" s="1"/>
  <c r="J6" i="8"/>
  <c r="AJ6" i="8" s="1"/>
  <c r="K28" i="8" l="1"/>
  <c r="R18" i="8"/>
  <c r="J28" i="8"/>
  <c r="M18" i="8"/>
  <c r="O18" i="8"/>
  <c r="K18" i="8"/>
  <c r="P18" i="8"/>
  <c r="J15" i="8"/>
  <c r="AH18" i="8" l="1"/>
  <c r="M19" i="8"/>
  <c r="AI18" i="8"/>
  <c r="AJ15" i="8"/>
  <c r="J18" i="8"/>
  <c r="AJ18" i="8" s="1"/>
  <c r="B73" i="4"/>
  <c r="B58" i="4"/>
  <c r="B57" i="4"/>
  <c r="B50" i="4"/>
  <c r="B70" i="4" s="1"/>
  <c r="B44" i="4"/>
  <c r="B36" i="4"/>
  <c r="B38" i="4" s="1"/>
  <c r="B34" i="4"/>
  <c r="B26" i="4"/>
  <c r="B28" i="4" s="1"/>
  <c r="B25" i="4"/>
  <c r="B24" i="4"/>
  <c r="I18" i="4"/>
  <c r="H18" i="4"/>
  <c r="G18" i="4"/>
  <c r="F18" i="4"/>
  <c r="B18" i="4"/>
  <c r="B65" i="4" s="1"/>
  <c r="B12" i="4"/>
  <c r="B11" i="4"/>
  <c r="B71" i="4" s="1"/>
  <c r="B10" i="4"/>
  <c r="B9" i="4"/>
  <c r="B69" i="4" s="1"/>
  <c r="B72" i="4" l="1"/>
  <c r="B63" i="4"/>
  <c r="B74" i="4"/>
  <c r="B75" i="4" s="1"/>
  <c r="B76" i="4" s="1"/>
  <c r="B62" i="4"/>
  <c r="B64" i="4"/>
  <c r="B66" i="4" l="1"/>
  <c r="B67" i="4" s="1"/>
  <c r="B5" i="3" l="1"/>
  <c r="B6" i="3" s="1"/>
  <c r="C5" i="3"/>
  <c r="C6" i="3"/>
  <c r="B8" i="3"/>
  <c r="C8" i="3"/>
  <c r="C9" i="3" s="1"/>
  <c r="C11" i="3" s="1"/>
  <c r="C12" i="3" s="1"/>
  <c r="G20" i="3"/>
  <c r="B21" i="3"/>
  <c r="C22" i="3"/>
  <c r="C23" i="3" s="1"/>
  <c r="C33" i="3"/>
  <c r="C35" i="3"/>
  <c r="C39" i="3"/>
  <c r="E39" i="3" s="1"/>
  <c r="B56" i="2"/>
  <c r="B66" i="2"/>
  <c r="B67" i="2" s="1"/>
  <c r="B68" i="2"/>
  <c r="B71" i="2"/>
  <c r="B73" i="2" s="1"/>
  <c r="B121" i="2" s="1"/>
  <c r="B72" i="2"/>
  <c r="F73" i="2"/>
  <c r="G73" i="2"/>
  <c r="B78" i="2"/>
  <c r="B79" i="2"/>
  <c r="B88" i="2"/>
  <c r="B90" i="2" s="1"/>
  <c r="D92" i="2"/>
  <c r="B94" i="2"/>
  <c r="B95" i="2"/>
  <c r="B97" i="2" s="1"/>
  <c r="B101" i="2"/>
  <c r="B102" i="2"/>
  <c r="B111" i="2"/>
  <c r="B112" i="2"/>
  <c r="D133" i="2"/>
  <c r="B22" i="3" l="1"/>
  <c r="B23" i="3" s="1"/>
  <c r="B9" i="3"/>
  <c r="B11" i="3" s="1"/>
  <c r="B12" i="3" s="1"/>
  <c r="C36" i="3"/>
  <c r="C38" i="3" s="1"/>
  <c r="E38" i="3" s="1"/>
  <c r="B80" i="2"/>
  <c r="B82" i="2" s="1"/>
  <c r="B114" i="2"/>
  <c r="B127" i="2" s="1"/>
  <c r="B91" i="2"/>
  <c r="B129" i="2"/>
  <c r="D58" i="2"/>
  <c r="B128" i="2"/>
  <c r="B119" i="2"/>
  <c r="C14" i="3"/>
  <c r="C16" i="3" s="1"/>
  <c r="C17" i="3" s="1"/>
  <c r="C19" i="3" s="1"/>
  <c r="B14" i="3"/>
  <c r="B16" i="3" s="1"/>
  <c r="B17" i="3" s="1"/>
  <c r="B19" i="3" s="1"/>
  <c r="B125" i="2"/>
  <c r="B103" i="2"/>
  <c r="B126" i="2" s="1"/>
  <c r="E11" i="1"/>
  <c r="E12" i="1" s="1"/>
  <c r="E9" i="1"/>
  <c r="E15" i="1" s="1"/>
  <c r="E18" i="1" s="1"/>
  <c r="E10" i="1"/>
  <c r="E13" i="1" s="1"/>
  <c r="D11" i="1"/>
  <c r="D15" i="1"/>
  <c r="D16" i="1" s="1"/>
  <c r="D17" i="1" s="1"/>
  <c r="D10" i="1"/>
  <c r="D13" i="1" s="1"/>
  <c r="B118" i="2" l="1"/>
  <c r="B130" i="2"/>
  <c r="B131" i="2" s="1"/>
  <c r="B132" i="2" s="1"/>
  <c r="D132" i="2" s="1"/>
  <c r="B120" i="2"/>
  <c r="B122" i="2" s="1"/>
  <c r="B123" i="2" s="1"/>
  <c r="D22" i="1"/>
  <c r="E16" i="1"/>
  <c r="E17" i="1" s="1"/>
  <c r="D12" i="1"/>
  <c r="D18" i="1"/>
  <c r="D23" i="1" l="1"/>
  <c r="D25" i="1" s="1"/>
  <c r="D26" i="1" s="1"/>
  <c r="D27" i="1" s="1"/>
  <c r="D24" i="1"/>
  <c r="D36" i="1" l="1"/>
  <c r="D37" i="1" s="1"/>
  <c r="D33" i="1"/>
  <c r="D34" i="1" s="1"/>
  <c r="D29" i="1" l="1"/>
  <c r="D31" i="1" s="1"/>
  <c r="E32" i="1" l="1"/>
  <c r="D32" i="1"/>
</calcChain>
</file>

<file path=xl/sharedStrings.xml><?xml version="1.0" encoding="utf-8"?>
<sst xmlns="http://schemas.openxmlformats.org/spreadsheetml/2006/main" count="965" uniqueCount="399">
  <si>
    <t>Earth</t>
  </si>
  <si>
    <t>Sun</t>
  </si>
  <si>
    <t>u</t>
  </si>
  <si>
    <t>Equatorial Radius</t>
  </si>
  <si>
    <t>Period</t>
  </si>
  <si>
    <t>AU</t>
  </si>
  <si>
    <t>a (semi-major axis)</t>
  </si>
  <si>
    <t>Satellite Altitude</t>
  </si>
  <si>
    <t>Satellite Orbit (centre of mass)</t>
  </si>
  <si>
    <t>m3/s2</t>
  </si>
  <si>
    <t xml:space="preserve">m  </t>
  </si>
  <si>
    <t>m</t>
  </si>
  <si>
    <t>s</t>
  </si>
  <si>
    <t>m/s</t>
  </si>
  <si>
    <t>Satellite Period</t>
  </si>
  <si>
    <t>Perigee - closest point in orbit to centre of mass</t>
  </si>
  <si>
    <t>Apogee - furthest point in orbit to centre of mass</t>
  </si>
  <si>
    <t>Satellite Period (mins)</t>
  </si>
  <si>
    <t>CIRCULAR Orbits - Hohmann Transfer Calculator</t>
  </si>
  <si>
    <t>mins</t>
  </si>
  <si>
    <t>Satellite Speed (at perigee/apogee*)</t>
  </si>
  <si>
    <t>*Circular Orbits Only</t>
  </si>
  <si>
    <t>Transfer Ellipse Vp</t>
  </si>
  <si>
    <t>Transfer Ellipse Period</t>
  </si>
  <si>
    <t>years</t>
  </si>
  <si>
    <t>Transfer Ellipse Period (years)</t>
  </si>
  <si>
    <t>Period (years)</t>
  </si>
  <si>
    <t>Transfer Semi-Major Axis (Ta)</t>
  </si>
  <si>
    <t>Transfer Time</t>
  </si>
  <si>
    <t>Destination (a)</t>
  </si>
  <si>
    <t>Transfer Ellipse Perihelion V (TVp)</t>
  </si>
  <si>
    <t>Vx (planet orbit velocity)</t>
  </si>
  <si>
    <t>Delta V1</t>
  </si>
  <si>
    <t>Transfer Ellipse Aphelion V (TVp)</t>
  </si>
  <si>
    <t>Delta V2</t>
  </si>
  <si>
    <t>Delta V1 - Earth Component</t>
  </si>
  <si>
    <t>Delta V2 - Destination Component</t>
  </si>
  <si>
    <t>Delta V1 - V (After Burn) Component</t>
  </si>
  <si>
    <t>(By calculation)</t>
  </si>
  <si>
    <t>(By analysis of Aphelion speed and speed of orbit of destination)</t>
  </si>
  <si>
    <t>Delta V2 - (Pre Burn) Component</t>
  </si>
  <si>
    <t>Arrival Burn Velocity</t>
  </si>
  <si>
    <t>Velocity of Insertion Burn</t>
  </si>
  <si>
    <t>*Co-planar Orbits</t>
  </si>
  <si>
    <t>*No consideration of start time (launch window)</t>
  </si>
  <si>
    <t>*Radius are equatorial</t>
  </si>
  <si>
    <t>Venus</t>
  </si>
  <si>
    <t>Earth - Venus</t>
  </si>
  <si>
    <t>K</t>
  </si>
  <si>
    <t xml:space="preserve">T </t>
  </si>
  <si>
    <t>T4 = AsolarJsα + AalbedoJaα + AplanetaryJpε + Q / Asurfaceσϵ</t>
  </si>
  <si>
    <t>AsolarJsα + AalbedoJaα + AplanetaryJpε + Q</t>
  </si>
  <si>
    <r>
      <t>Asurface</t>
    </r>
    <r>
      <rPr>
        <sz val="11"/>
        <color theme="1"/>
        <rFont val="Calibri"/>
        <family val="2"/>
      </rPr>
      <t>σϵ</t>
    </r>
  </si>
  <si>
    <t>W</t>
  </si>
  <si>
    <t>Q</t>
  </si>
  <si>
    <t>AplanetaryJpε</t>
  </si>
  <si>
    <t>AalbedoJaα</t>
  </si>
  <si>
    <t>AsolarJsα</t>
  </si>
  <si>
    <t>T4</t>
  </si>
  <si>
    <t>α/ε</t>
  </si>
  <si>
    <t>Solar and Albedo</t>
  </si>
  <si>
    <t>Internal</t>
  </si>
  <si>
    <t>Planetary</t>
  </si>
  <si>
    <t>Equilibrium Temperature (T)</t>
  </si>
  <si>
    <t>Perihelio - closesd to Sun</t>
  </si>
  <si>
    <t>Aphelion - furthest from Sun</t>
  </si>
  <si>
    <t>W/m2</t>
  </si>
  <si>
    <t>[Jp]</t>
  </si>
  <si>
    <t>Constant</t>
  </si>
  <si>
    <t>Rorb</t>
  </si>
  <si>
    <t>Ignore the Earth, when at Perihelion it is close to the Earth, .1 AU</t>
  </si>
  <si>
    <t>Rnea</t>
  </si>
  <si>
    <t>Jp [Calculation]</t>
  </si>
  <si>
    <r>
      <t>Planetary Emissivity (</t>
    </r>
    <r>
      <rPr>
        <sz val="11"/>
        <color theme="1"/>
        <rFont val="Calibri"/>
        <family val="2"/>
      </rPr>
      <t>ε)</t>
    </r>
  </si>
  <si>
    <t>Planetary Temperature</t>
  </si>
  <si>
    <t xml:space="preserve">Planetary Radiation </t>
  </si>
  <si>
    <t>[Ja]</t>
  </si>
  <si>
    <t>Planetary Albedo</t>
  </si>
  <si>
    <t>Visibility Factor [F]</t>
  </si>
  <si>
    <t>Albedo Effect</t>
  </si>
  <si>
    <t xml:space="preserve">From SSE </t>
  </si>
  <si>
    <t>Wm2</t>
  </si>
  <si>
    <t>Sun Heating Effect [Js]</t>
  </si>
  <si>
    <t>Sun Power Ouput [P]</t>
  </si>
  <si>
    <t>Distance from Sun</t>
  </si>
  <si>
    <t>[At 1 AU]</t>
  </si>
  <si>
    <t>Sun Heating at 1 AU</t>
  </si>
  <si>
    <t>Solar Heating Effect</t>
  </si>
  <si>
    <t>Watts</t>
  </si>
  <si>
    <t>Total [Q-Equipment]</t>
  </si>
  <si>
    <t>Number of Batteries / Power Units</t>
  </si>
  <si>
    <t>Total Power Output</t>
  </si>
  <si>
    <t>Mean Power Output</t>
  </si>
  <si>
    <t>Efficiency</t>
  </si>
  <si>
    <t>[Batteries / Solar Arrays]</t>
  </si>
  <si>
    <t>Heat from Equipment</t>
  </si>
  <si>
    <t>Total [Q-Crew]</t>
  </si>
  <si>
    <t>Number of Humans</t>
  </si>
  <si>
    <t>Joules to Watts</t>
  </si>
  <si>
    <t>Seconds</t>
  </si>
  <si>
    <t>Time Period (1 day)</t>
  </si>
  <si>
    <t xml:space="preserve">Joules </t>
  </si>
  <si>
    <t>Joules</t>
  </si>
  <si>
    <t>Joules/Calories</t>
  </si>
  <si>
    <t xml:space="preserve">Calories to Joules </t>
  </si>
  <si>
    <t>Calories Per Day</t>
  </si>
  <si>
    <t xml:space="preserve">Daily Calorific Intake </t>
  </si>
  <si>
    <t>Heat from Humans</t>
  </si>
  <si>
    <r>
      <t>Emittance (</t>
    </r>
    <r>
      <rPr>
        <sz val="11"/>
        <color theme="1"/>
        <rFont val="Calibri"/>
        <family val="2"/>
      </rPr>
      <t>ε)</t>
    </r>
  </si>
  <si>
    <t>Exercise B.15</t>
  </si>
  <si>
    <t>Absorptance (α)</t>
  </si>
  <si>
    <t>Metallic Paint</t>
  </si>
  <si>
    <t>White Paint</t>
  </si>
  <si>
    <t>Spacecraft Materials</t>
  </si>
  <si>
    <t>m2</t>
  </si>
  <si>
    <t>Total Surface Area [Asurface]</t>
  </si>
  <si>
    <t>Area of Planetary Heating [Aplanetary]</t>
  </si>
  <si>
    <t>Area of Albedo Heating [Aalbedo]</t>
  </si>
  <si>
    <t>Area of Solar Heating [Asolar]</t>
  </si>
  <si>
    <t>Spacecraft Dimensions</t>
  </si>
  <si>
    <t>HEATING</t>
  </si>
  <si>
    <t>kg</t>
  </si>
  <si>
    <t>Mass After Burn Mb</t>
  </si>
  <si>
    <t>Fuel Burnt</t>
  </si>
  <si>
    <t>Initial Mass Mo</t>
  </si>
  <si>
    <t>DeltaV [Equation B.8]</t>
  </si>
  <si>
    <t>Assumptions: drag effects, atmospheric, no mid-course corrections constant fuel rate burn etc..</t>
  </si>
  <si>
    <t>i)</t>
  </si>
  <si>
    <t>PROPULSION</t>
  </si>
  <si>
    <t>ms/2</t>
  </si>
  <si>
    <t>g0</t>
  </si>
  <si>
    <t>W m/2 K/4</t>
  </si>
  <si>
    <t>Stefan-Boltzmann constant</t>
  </si>
  <si>
    <t>dBJ/K</t>
  </si>
  <si>
    <t>Boltzmann constant</t>
  </si>
  <si>
    <t>W m/2</t>
  </si>
  <si>
    <t>Solar flux at r = 1 AU</t>
  </si>
  <si>
    <t xml:space="preserve">Constants </t>
  </si>
  <si>
    <t>Range at perihelion</t>
  </si>
  <si>
    <t>Range at aphelion</t>
  </si>
  <si>
    <t>db</t>
  </si>
  <si>
    <t>Atmosphere transmission loss</t>
  </si>
  <si>
    <t>Receiver system temperature</t>
  </si>
  <si>
    <t>Receiver aperture efficiency</t>
  </si>
  <si>
    <t>DSN 34 m antenna</t>
  </si>
  <si>
    <t>Ground station receiver</t>
  </si>
  <si>
    <t>Transmitter loss</t>
  </si>
  <si>
    <t>Transmitter aperture efficiency</t>
  </si>
  <si>
    <t>Transmitter power</t>
  </si>
  <si>
    <t>Ka-band (32 GHz)</t>
  </si>
  <si>
    <t>Frequency</t>
  </si>
  <si>
    <t>CONVERT TO METRES</t>
  </si>
  <si>
    <t>cm</t>
  </si>
  <si>
    <t>Spacecraft antenna diameter</t>
  </si>
  <si>
    <t xml:space="preserve">Communications </t>
  </si>
  <si>
    <t>Power requirement</t>
  </si>
  <si>
    <t>Visibility factor (for scattered sunlight), F</t>
  </si>
  <si>
    <t>km</t>
  </si>
  <si>
    <t>Emittance</t>
  </si>
  <si>
    <t>Absorptance</t>
  </si>
  <si>
    <t>Specific impulse</t>
  </si>
  <si>
    <t>Fuel mass</t>
  </si>
  <si>
    <t>Dry mass</t>
  </si>
  <si>
    <t>Cube, with sides of length 1.40 m.</t>
  </si>
  <si>
    <t>Cube Sides 1.4m</t>
  </si>
  <si>
    <t>Shape</t>
  </si>
  <si>
    <t xml:space="preserve">Probe (orbiter) </t>
  </si>
  <si>
    <t>Perihelion distance</t>
  </si>
  <si>
    <t>Aphelion distance</t>
  </si>
  <si>
    <t>Mean radius</t>
  </si>
  <si>
    <t>Albedo</t>
  </si>
  <si>
    <t>Asteroid</t>
  </si>
  <si>
    <t>Table 1 Characteristics of an NEA mission</t>
  </si>
  <si>
    <t>Propulsion Calculator</t>
  </si>
  <si>
    <t>MHz</t>
  </si>
  <si>
    <t>Reference 10MHz is 70dBHz</t>
  </si>
  <si>
    <t>dBHz</t>
  </si>
  <si>
    <t>C/No</t>
  </si>
  <si>
    <t>dBW</t>
  </si>
  <si>
    <t>Transmitter Power</t>
  </si>
  <si>
    <t>dBK</t>
  </si>
  <si>
    <t>Tsys</t>
  </si>
  <si>
    <t>dB (W/K/Hz)</t>
  </si>
  <si>
    <t>Boltzmann Constant</t>
  </si>
  <si>
    <t>C/No Telecommunications Link Budget Equation [SSE Equation 12.21]</t>
  </si>
  <si>
    <t>System Loss</t>
  </si>
  <si>
    <t>[From SSE Figure 12.10]</t>
  </si>
  <si>
    <t>La Atmospheric Loss</t>
  </si>
  <si>
    <t>69 dBHz</t>
  </si>
  <si>
    <t>Perihelion 0.1 AU</t>
  </si>
  <si>
    <t xml:space="preserve">Ls Convert to db </t>
  </si>
  <si>
    <t>44 dBHz</t>
  </si>
  <si>
    <t>Aphelion 1.7 AU</t>
  </si>
  <si>
    <t>Ls Free Space Loss [SSE Equation 12.22]</t>
  </si>
  <si>
    <t>Antenna Separation</t>
  </si>
  <si>
    <t>η Aperture Efficiency [SSE Equation 12.16]</t>
  </si>
  <si>
    <t>Ae Convert to db (10 log10)</t>
  </si>
  <si>
    <r>
      <rPr>
        <sz val="11"/>
        <color theme="1"/>
        <rFont val="Calibri"/>
        <family val="2"/>
        <scheme val="minor"/>
      </rPr>
      <t>Ae Directive Gain (corrected for efficiency)</t>
    </r>
  </si>
  <si>
    <t xml:space="preserve">Modified to include factor of efficiency η </t>
  </si>
  <si>
    <t>Ae (Effective Aperture) [SSE Equation 12.15]</t>
  </si>
  <si>
    <t>G Convert to db (10 log10)</t>
  </si>
  <si>
    <t>G Directive Gain (corrected for efficiency)</t>
  </si>
  <si>
    <t>G Directive Gain (Centre of main beam) [SSE Equation 12.14]</t>
  </si>
  <si>
    <t>A (Area of antenna)</t>
  </si>
  <si>
    <t>Degrees</t>
  </si>
  <si>
    <t>Beamwidth (at 3db) [SSE Equation 12.13]</t>
  </si>
  <si>
    <t xml:space="preserve">m </t>
  </si>
  <si>
    <t>λ (Wavelength)</t>
  </si>
  <si>
    <t>D (Diameter of Antenna - circular aperture type)</t>
  </si>
  <si>
    <t>X-Band 8.4 GHz; S-Band 2.3 GHz; Ka-band 32 GHz</t>
  </si>
  <si>
    <t>Hz</t>
  </si>
  <si>
    <t>f (Frequency)</t>
  </si>
  <si>
    <t>C (speed of radio wave in vacuum)</t>
  </si>
  <si>
    <t>Units</t>
  </si>
  <si>
    <t>Constants</t>
  </si>
  <si>
    <r>
      <t>Stefan-Boltzmann Constant (</t>
    </r>
    <r>
      <rPr>
        <sz val="11"/>
        <color theme="1"/>
        <rFont val="Calibri"/>
        <family val="2"/>
      </rPr>
      <t>σ)</t>
    </r>
  </si>
  <si>
    <t>Wm-2 K-4</t>
  </si>
  <si>
    <t>Radius of Orbit</t>
  </si>
  <si>
    <t>Surface Spacercaft (use real values for Orbiting Spacecraft)</t>
  </si>
  <si>
    <t>Radius of Planetary Body</t>
  </si>
  <si>
    <t>Black Paint</t>
  </si>
  <si>
    <t>Polished Aluminium</t>
  </si>
  <si>
    <t>[Batteries]</t>
  </si>
  <si>
    <t>Number of Batteries</t>
  </si>
  <si>
    <t>From Course Text</t>
  </si>
  <si>
    <t>Moon</t>
  </si>
  <si>
    <t>Is the solar area also a heat emitter? Should the ration be 5/6th emission and 1/6 heating?</t>
  </si>
  <si>
    <t>Transfer Stage</t>
  </si>
  <si>
    <t>Radius of closest approach about Venus</t>
  </si>
  <si>
    <t>Component</t>
  </si>
  <si>
    <t xml:space="preserve">Manufacturer </t>
  </si>
  <si>
    <t>Reference</t>
  </si>
  <si>
    <t xml:space="preserve">Thruster </t>
  </si>
  <si>
    <t xml:space="preserve">RF Antenna </t>
  </si>
  <si>
    <t>Part No.</t>
  </si>
  <si>
    <t>Total Mass 
(Kg)</t>
  </si>
  <si>
    <r>
      <t>Volume 
(m</t>
    </r>
    <r>
      <rPr>
        <b/>
        <vertAlign val="superscript"/>
        <sz val="9"/>
        <color theme="1"/>
        <rFont val="Calibri"/>
        <family val="2"/>
        <scheme val="minor"/>
      </rPr>
      <t>2</t>
    </r>
    <r>
      <rPr>
        <b/>
        <sz val="9"/>
        <color theme="1"/>
        <rFont val="Calibri"/>
        <family val="2"/>
        <scheme val="minor"/>
      </rPr>
      <t>)</t>
    </r>
  </si>
  <si>
    <t>Height 
(m)</t>
  </si>
  <si>
    <t>Width 
(m)</t>
  </si>
  <si>
    <t>Length 
(m)</t>
  </si>
  <si>
    <t>Power Demand - Sleep
(W)</t>
  </si>
  <si>
    <t>Power Demand - Active
(W)</t>
  </si>
  <si>
    <t>ISP
(s)</t>
  </si>
  <si>
    <t>Component Specific</t>
  </si>
  <si>
    <t>Communications (Transceiver)</t>
  </si>
  <si>
    <t>Product Name</t>
  </si>
  <si>
    <t xml:space="preserve">AstroDev </t>
  </si>
  <si>
    <t xml:space="preserve">Helium-100 Transceiver </t>
  </si>
  <si>
    <t>N/A</t>
  </si>
  <si>
    <t>Min Temp
(oC)</t>
  </si>
  <si>
    <t>Max Temp
(oC)</t>
  </si>
  <si>
    <t>Supply Voltage</t>
  </si>
  <si>
    <t>3.3 / 5-13V Tx</t>
  </si>
  <si>
    <t>Interface</t>
  </si>
  <si>
    <t>He-100</t>
  </si>
  <si>
    <t>Helical Communications Technologies</t>
  </si>
  <si>
    <t>RF Gain
(dBi)</t>
  </si>
  <si>
    <t>RF Power
(W)</t>
  </si>
  <si>
    <t>Requires 'surge' power to burn through retention lines</t>
  </si>
  <si>
    <t>Coaxial (to Transceiver)</t>
  </si>
  <si>
    <t>Serial UART (Coaxial to Antenna)</t>
  </si>
  <si>
    <t>(-)3dB Beamwidth
(Degrees)</t>
  </si>
  <si>
    <t>5 v</t>
  </si>
  <si>
    <t>Integrated Attitude Determination and Control System</t>
  </si>
  <si>
    <t>AAC Clyde Space</t>
  </si>
  <si>
    <t>iADCS400</t>
  </si>
  <si>
    <t>Serial UART / CANBus</t>
  </si>
  <si>
    <t>IMU, StarMapper, Magnetometer, Reaction Wheels</t>
  </si>
  <si>
    <t>CP400.85</t>
  </si>
  <si>
    <t>As optional integration with the ADCS</t>
  </si>
  <si>
    <t>TRL</t>
  </si>
  <si>
    <t>Utilises ADCS Interfaces</t>
  </si>
  <si>
    <t>UHF Band (AES 128 or 256 encryption available)</t>
  </si>
  <si>
    <t>6U</t>
  </si>
  <si>
    <t>6U Platform</t>
  </si>
  <si>
    <t xml:space="preserve">3.3, 5.0, 9.9-12 V </t>
  </si>
  <si>
    <t>MAGIC</t>
  </si>
  <si>
    <t>Imperial College London</t>
  </si>
  <si>
    <t>3.3, 5, 12, 17V</t>
  </si>
  <si>
    <t>I2C and SPI</t>
  </si>
  <si>
    <t xml:space="preserve">90cm boom extends from card. </t>
  </si>
  <si>
    <t>Resolution</t>
  </si>
  <si>
    <t>1nT &lt; 2nT RMS</t>
  </si>
  <si>
    <t>Mass - Fuel 
(Kg)</t>
  </si>
  <si>
    <t>Solar Panels</t>
  </si>
  <si>
    <t>Battery</t>
  </si>
  <si>
    <t>Power Management &amp; Distribution</t>
  </si>
  <si>
    <t>CubeSat Structure</t>
  </si>
  <si>
    <t>PHOTON-TD</t>
  </si>
  <si>
    <t>PHOTON-Triple Panel (3U) x4 UNITS</t>
  </si>
  <si>
    <t>Data Storage</t>
  </si>
  <si>
    <t>Power Generation
(W) Max Sun Facing</t>
  </si>
  <si>
    <t>Optimus 80</t>
  </si>
  <si>
    <t>Power Supply
(W) Battery</t>
  </si>
  <si>
    <t>EPS</t>
  </si>
  <si>
    <t>STARBUCK-NANO-PLUS</t>
  </si>
  <si>
    <t xml:space="preserve">Radiation TID </t>
  </si>
  <si>
    <t>512 MB Flash (7.5GB if needed)</t>
  </si>
  <si>
    <t>Cabling, Heaters and Contingency Mass</t>
  </si>
  <si>
    <t xml:space="preserve">Payload &amp; Mission Processor </t>
  </si>
  <si>
    <t xml:space="preserve">MPS-130 </t>
  </si>
  <si>
    <t>MPS-130 (2U) X2</t>
  </si>
  <si>
    <t>Optimus 40</t>
  </si>
  <si>
    <t>Product Breakdown Structure &amp; Component Data Sheet</t>
  </si>
  <si>
    <t>Rocketdyne (L3-Harris)</t>
  </si>
  <si>
    <t>Mass - Dry
(Kg)</t>
  </si>
  <si>
    <t>DIMENSIONS</t>
  </si>
  <si>
    <t>MASS</t>
  </si>
  <si>
    <t>THRUST</t>
  </si>
  <si>
    <t>ENVIRONMENTAL</t>
  </si>
  <si>
    <t>COMMUNICATIONS RF</t>
  </si>
  <si>
    <t>DATA STORAGE</t>
  </si>
  <si>
    <t>HERITAGE</t>
  </si>
  <si>
    <t>RESOLUTION</t>
  </si>
  <si>
    <t xml:space="preserve">CONNECTIVTY </t>
  </si>
  <si>
    <t>NOTES</t>
  </si>
  <si>
    <t>PART DATA</t>
  </si>
  <si>
    <t>ELECTRICAL POWER</t>
  </si>
  <si>
    <t>Heritage QHA (Request UHF model)</t>
  </si>
  <si>
    <t>QHA (UHF)</t>
  </si>
  <si>
    <t>RCT Ignition</t>
  </si>
  <si>
    <t>PSI Ignition</t>
  </si>
  <si>
    <t>PSOM XL 1,2 (GL) Ignition</t>
  </si>
  <si>
    <t>PSOM XL 3.4 (GL) Ignition</t>
  </si>
  <si>
    <t>PSOM XL 5,6 (AL) Ignition</t>
  </si>
  <si>
    <t>PSOM XL 1,2 (GL) Separation</t>
  </si>
  <si>
    <t>PSOM XL 3.4 (GL) Separation</t>
  </si>
  <si>
    <t>PSOM XL 5,6 (AL) Separation</t>
  </si>
  <si>
    <t>PS1 Separation</t>
  </si>
  <si>
    <t>PS2 Ignition</t>
  </si>
  <si>
    <t>CLG Initiation</t>
  </si>
  <si>
    <t>Payload fairing Separation</t>
  </si>
  <si>
    <t>PS2 Separation</t>
  </si>
  <si>
    <t>PS3 Ignition</t>
  </si>
  <si>
    <t>PS3 Separation</t>
  </si>
  <si>
    <t>PS4 Ignition</t>
  </si>
  <si>
    <t>PS4 Cut-off</t>
  </si>
  <si>
    <t>Mars Orbiter Separation</t>
  </si>
  <si>
    <t>Event</t>
  </si>
  <si>
    <t>Time (s)</t>
  </si>
  <si>
    <t>Acceleration</t>
  </si>
  <si>
    <t>Change in Velocity</t>
  </si>
  <si>
    <t>Change in Time</t>
  </si>
  <si>
    <t>Inertial Velocity (m/s)</t>
  </si>
  <si>
    <t>Altitude (km)</t>
  </si>
  <si>
    <t>CT</t>
  </si>
  <si>
    <t>CV</t>
  </si>
  <si>
    <t>AV.A</t>
  </si>
  <si>
    <t>Report Formatting</t>
  </si>
  <si>
    <t xml:space="preserve">(Manufacturer)  </t>
  </si>
  <si>
    <t xml:space="preserve">Mass </t>
  </si>
  <si>
    <t>(kg)</t>
  </si>
  <si>
    <t xml:space="preserve">Power </t>
  </si>
  <si>
    <t>min/max (W)</t>
  </si>
  <si>
    <t>Volume</t>
  </si>
  <si>
    <t>Temp</t>
  </si>
  <si>
    <t>m3</t>
  </si>
  <si>
    <t xml:space="preserve">min/max </t>
  </si>
  <si>
    <t>Total</t>
  </si>
  <si>
    <t>`</t>
  </si>
  <si>
    <t>45 krad</t>
  </si>
  <si>
    <t>12v d.c.</t>
  </si>
  <si>
    <t>25 krad</t>
  </si>
  <si>
    <t>3-5 v d.c.</t>
  </si>
  <si>
    <t>10 krad</t>
  </si>
  <si>
    <t>VALO Spacecraft</t>
  </si>
  <si>
    <t>VALO Entry Module</t>
  </si>
  <si>
    <t>VALO Atmospheric Module</t>
  </si>
  <si>
    <t>Deployment Control System</t>
  </si>
  <si>
    <t>Biological Sensing Instrument (Science Payload)</t>
  </si>
  <si>
    <t>Synthetic Aperature Radar (SAR)</t>
  </si>
  <si>
    <t>Module Structure</t>
  </si>
  <si>
    <t>Balloon Inflation System</t>
  </si>
  <si>
    <t>Diameter
(m)</t>
  </si>
  <si>
    <t>Primary Inflation Canister(s)</t>
  </si>
  <si>
    <t xml:space="preserve">Balloon </t>
  </si>
  <si>
    <t>Airbus</t>
  </si>
  <si>
    <t>Astro-BATT</t>
  </si>
  <si>
    <t>Altitude Maintenance Canister - Helium (1)</t>
  </si>
  <si>
    <t>(1) Mass of 'fuel' not relevant - maximum value is required</t>
  </si>
  <si>
    <t>BOC</t>
  </si>
  <si>
    <t>72 kg XL Helium Canister</t>
  </si>
  <si>
    <t>VALO Mission Team</t>
  </si>
  <si>
    <t>Heritage</t>
  </si>
  <si>
    <t>Radiation</t>
  </si>
  <si>
    <t>Max Rads</t>
  </si>
  <si>
    <t>Min</t>
  </si>
  <si>
    <t>Max</t>
  </si>
  <si>
    <t>Max Launch Mass</t>
  </si>
  <si>
    <t>Remaining Budget</t>
  </si>
  <si>
    <t>Max Static Lift Mass</t>
  </si>
  <si>
    <t>[7.0m diameter He balloon]</t>
  </si>
  <si>
    <t>Orbital Science Payload</t>
  </si>
  <si>
    <t>VALO Entry Module [See separate table]</t>
  </si>
  <si>
    <t>VALO Atmospheric Module [See separate table]</t>
  </si>
  <si>
    <t>Property and Equation</t>
  </si>
  <si>
    <t>DSN Receiver</t>
  </si>
  <si>
    <t>VALOS Transmitter</t>
  </si>
  <si>
    <t>Aeroshell (including heat shield and back shell)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</si>
</sst>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E+00"/>
    <numFmt numFmtId="165" formatCode="0.0"/>
    <numFmt numFmtId="166" formatCode="0.000"/>
    <numFmt numFmtId="167" formatCode="0.0000"/>
    <numFmt numFmtId="168" formatCode="0.00000"/>
    <numFmt numFmtId="169" formatCode="_-* #,##0.000_-;\-* #,##0.0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vertAlign val="superscript"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thin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/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/>
      <top/>
      <bottom style="thin">
        <color theme="1" tint="0.34998626667073579"/>
      </bottom>
      <diagonal/>
    </border>
    <border>
      <left style="medium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theme="1" tint="0.34998626667073579"/>
      </left>
      <right/>
      <top style="thin">
        <color theme="1" tint="0.34998626667073579"/>
      </top>
      <bottom style="medium">
        <color theme="1" tint="0.34998626667073579"/>
      </bottom>
      <diagonal/>
    </border>
    <border>
      <left/>
      <right/>
      <top style="medium">
        <color theme="1" tint="0.34998626667073579"/>
      </top>
      <bottom style="medium">
        <color theme="1" tint="0.34998626667073579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/>
      <diagonal/>
    </border>
    <border>
      <left style="medium">
        <color theme="1" tint="0.34998626667073579"/>
      </left>
      <right style="medium">
        <color theme="1" tint="0.34998626667073579"/>
      </right>
      <top/>
      <bottom style="thin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theme="1" tint="0.34998626667073579"/>
      </left>
      <right/>
      <top style="thin">
        <color theme="1" tint="0.34998626667073579"/>
      </top>
      <bottom/>
      <diagonal/>
    </border>
    <border>
      <left style="medium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medium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theme="1" tint="0.34998626667073579"/>
      </top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3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2" fillId="0" borderId="0" xfId="0" applyFont="1"/>
    <xf numFmtId="165" fontId="0" fillId="0" borderId="0" xfId="0" applyNumberForma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0" applyNumberFormat="1"/>
    <xf numFmtId="164" fontId="0" fillId="0" borderId="0" xfId="0" applyNumberFormat="1" applyAlignment="1">
      <alignment horizontal="right"/>
    </xf>
    <xf numFmtId="2" fontId="0" fillId="3" borderId="0" xfId="0" applyNumberFormat="1" applyFill="1" applyAlignment="1">
      <alignment horizontal="right"/>
    </xf>
    <xf numFmtId="166" fontId="0" fillId="0" borderId="0" xfId="0" applyNumberFormat="1" applyAlignment="1">
      <alignment horizontal="right"/>
    </xf>
    <xf numFmtId="167" fontId="0" fillId="3" borderId="0" xfId="0" applyNumberFormat="1" applyFill="1" applyAlignment="1">
      <alignment horizontal="right"/>
    </xf>
    <xf numFmtId="11" fontId="0" fillId="0" borderId="0" xfId="0" applyNumberFormat="1"/>
    <xf numFmtId="9" fontId="0" fillId="0" borderId="0" xfId="1" applyFont="1" applyAlignment="1">
      <alignment horizontal="right"/>
    </xf>
    <xf numFmtId="0" fontId="5" fillId="0" borderId="0" xfId="0" applyFont="1"/>
    <xf numFmtId="0" fontId="1" fillId="0" borderId="0" xfId="0" applyFont="1"/>
    <xf numFmtId="167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0" fontId="4" fillId="0" borderId="0" xfId="0" applyFont="1"/>
    <xf numFmtId="2" fontId="0" fillId="3" borderId="0" xfId="0" applyNumberFormat="1" applyFill="1"/>
    <xf numFmtId="11" fontId="0" fillId="3" borderId="0" xfId="0" applyNumberFormat="1" applyFill="1"/>
    <xf numFmtId="9" fontId="0" fillId="0" borderId="0" xfId="1" applyFont="1"/>
    <xf numFmtId="165" fontId="0" fillId="0" borderId="0" xfId="0" applyNumberFormat="1" applyAlignment="1">
      <alignment horizontal="right"/>
    </xf>
    <xf numFmtId="0" fontId="0" fillId="0" borderId="0" xfId="0" applyAlignment="1">
      <alignment horizontal="left" vertical="top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11" fillId="0" borderId="14" xfId="2" applyFont="1" applyBorder="1"/>
    <xf numFmtId="168" fontId="7" fillId="0" borderId="7" xfId="0" applyNumberFormat="1" applyFont="1" applyBorder="1" applyAlignment="1">
      <alignment horizontal="right" vertical="top" wrapText="1"/>
    </xf>
    <xf numFmtId="168" fontId="7" fillId="0" borderId="2" xfId="0" applyNumberFormat="1" applyFont="1" applyBorder="1" applyAlignment="1">
      <alignment horizontal="right" vertical="top" wrapText="1"/>
    </xf>
    <xf numFmtId="168" fontId="7" fillId="0" borderId="4" xfId="0" applyNumberFormat="1" applyFont="1" applyBorder="1" applyAlignment="1">
      <alignment horizontal="right" vertical="top" wrapText="1"/>
    </xf>
    <xf numFmtId="0" fontId="7" fillId="0" borderId="7" xfId="0" applyFont="1" applyBorder="1" applyAlignment="1">
      <alignment horizontal="right" vertical="top" wrapText="1"/>
    </xf>
    <xf numFmtId="166" fontId="7" fillId="0" borderId="7" xfId="0" applyNumberFormat="1" applyFont="1" applyBorder="1" applyAlignment="1">
      <alignment horizontal="right" vertical="top" wrapText="1"/>
    </xf>
    <xf numFmtId="0" fontId="7" fillId="0" borderId="2" xfId="0" applyFont="1" applyBorder="1" applyAlignment="1">
      <alignment horizontal="right" vertical="top" wrapText="1"/>
    </xf>
    <xf numFmtId="166" fontId="7" fillId="0" borderId="2" xfId="0" applyNumberFormat="1" applyFont="1" applyBorder="1" applyAlignment="1">
      <alignment horizontal="right" vertical="top" wrapText="1"/>
    </xf>
    <xf numFmtId="0" fontId="7" fillId="0" borderId="4" xfId="0" applyFont="1" applyBorder="1" applyAlignment="1">
      <alignment horizontal="right" vertical="top" wrapText="1"/>
    </xf>
    <xf numFmtId="166" fontId="7" fillId="0" borderId="4" xfId="0" applyNumberFormat="1" applyFont="1" applyBorder="1" applyAlignment="1">
      <alignment horizontal="right" vertical="top" wrapText="1"/>
    </xf>
    <xf numFmtId="0" fontId="6" fillId="0" borderId="16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168" fontId="7" fillId="0" borderId="6" xfId="0" applyNumberFormat="1" applyFont="1" applyBorder="1" applyAlignment="1">
      <alignment horizontal="right" vertical="top" wrapText="1"/>
    </xf>
    <xf numFmtId="168" fontId="7" fillId="0" borderId="1" xfId="0" applyNumberFormat="1" applyFont="1" applyBorder="1" applyAlignment="1">
      <alignment horizontal="right" vertical="top" wrapText="1"/>
    </xf>
    <xf numFmtId="168" fontId="7" fillId="0" borderId="12" xfId="0" applyNumberFormat="1" applyFont="1" applyBorder="1" applyAlignment="1">
      <alignment horizontal="right" vertical="top" wrapText="1"/>
    </xf>
    <xf numFmtId="0" fontId="6" fillId="0" borderId="22" xfId="0" applyFont="1" applyBorder="1" applyAlignment="1">
      <alignment horizontal="left" vertical="top"/>
    </xf>
    <xf numFmtId="0" fontId="6" fillId="0" borderId="1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right" vertical="top" wrapText="1"/>
    </xf>
    <xf numFmtId="0" fontId="7" fillId="0" borderId="24" xfId="0" applyFont="1" applyBorder="1" applyAlignment="1">
      <alignment horizontal="right" vertical="top" wrapText="1"/>
    </xf>
    <xf numFmtId="0" fontId="7" fillId="0" borderId="13" xfId="0" applyFont="1" applyBorder="1" applyAlignment="1">
      <alignment horizontal="right" vertical="top" wrapText="1"/>
    </xf>
    <xf numFmtId="166" fontId="7" fillId="0" borderId="6" xfId="0" applyNumberFormat="1" applyFont="1" applyBorder="1" applyAlignment="1">
      <alignment horizontal="right" vertical="top" wrapText="1"/>
    </xf>
    <xf numFmtId="0" fontId="7" fillId="0" borderId="8" xfId="0" applyFont="1" applyBorder="1" applyAlignment="1">
      <alignment horizontal="right" vertical="top" wrapText="1"/>
    </xf>
    <xf numFmtId="166" fontId="7" fillId="0" borderId="1" xfId="0" applyNumberFormat="1" applyFont="1" applyBorder="1" applyAlignment="1">
      <alignment horizontal="right" vertical="top" wrapText="1"/>
    </xf>
    <xf numFmtId="0" fontId="7" fillId="0" borderId="3" xfId="0" applyFont="1" applyBorder="1" applyAlignment="1">
      <alignment horizontal="right" vertical="top" wrapText="1"/>
    </xf>
    <xf numFmtId="166" fontId="7" fillId="0" borderId="12" xfId="0" applyNumberFormat="1" applyFont="1" applyBorder="1" applyAlignment="1">
      <alignment horizontal="right" vertical="top" wrapText="1"/>
    </xf>
    <xf numFmtId="0" fontId="7" fillId="0" borderId="5" xfId="0" applyFont="1" applyBorder="1" applyAlignment="1">
      <alignment horizontal="right" vertical="top" wrapText="1"/>
    </xf>
    <xf numFmtId="0" fontId="7" fillId="0" borderId="6" xfId="0" applyFont="1" applyBorder="1" applyAlignment="1">
      <alignment horizontal="right" vertical="top" wrapText="1"/>
    </xf>
    <xf numFmtId="0" fontId="7" fillId="0" borderId="1" xfId="0" applyFont="1" applyBorder="1" applyAlignment="1">
      <alignment horizontal="right" vertical="top" wrapText="1"/>
    </xf>
    <xf numFmtId="0" fontId="7" fillId="0" borderId="12" xfId="0" applyFont="1" applyBorder="1" applyAlignment="1">
      <alignment horizontal="right" vertical="top" wrapText="1"/>
    </xf>
    <xf numFmtId="0" fontId="1" fillId="0" borderId="0" xfId="0" applyFont="1" applyAlignment="1">
      <alignment horizontal="left" vertical="top"/>
    </xf>
    <xf numFmtId="169" fontId="9" fillId="0" borderId="0" xfId="3" applyNumberFormat="1" applyFont="1" applyAlignment="1">
      <alignment horizontal="right" vertical="top"/>
    </xf>
    <xf numFmtId="165" fontId="9" fillId="0" borderId="0" xfId="0" applyNumberFormat="1" applyFont="1" applyAlignment="1">
      <alignment horizontal="right" vertical="top"/>
    </xf>
    <xf numFmtId="0" fontId="9" fillId="0" borderId="0" xfId="0" applyFont="1" applyAlignment="1">
      <alignment horizontal="right" vertical="top"/>
    </xf>
    <xf numFmtId="0" fontId="0" fillId="0" borderId="0" xfId="0" applyAlignment="1">
      <alignment horizontal="right" vertical="top"/>
    </xf>
    <xf numFmtId="0" fontId="7" fillId="0" borderId="0" xfId="0" applyFont="1" applyAlignment="1">
      <alignment horizontal="right" vertical="top"/>
    </xf>
    <xf numFmtId="2" fontId="6" fillId="0" borderId="4" xfId="0" applyNumberFormat="1" applyFont="1" applyBorder="1" applyAlignment="1">
      <alignment horizontal="right" vertical="top" wrapText="1"/>
    </xf>
    <xf numFmtId="2" fontId="6" fillId="0" borderId="12" xfId="0" applyNumberFormat="1" applyFont="1" applyBorder="1" applyAlignment="1">
      <alignment horizontal="right" vertical="top" wrapText="1"/>
    </xf>
    <xf numFmtId="2" fontId="6" fillId="0" borderId="5" xfId="0" applyNumberFormat="1" applyFont="1" applyBorder="1" applyAlignment="1">
      <alignment horizontal="right" vertical="top" wrapText="1"/>
    </xf>
    <xf numFmtId="2" fontId="7" fillId="0" borderId="13" xfId="0" applyNumberFormat="1" applyFont="1" applyBorder="1" applyAlignment="1">
      <alignment horizontal="right" vertical="top" wrapText="1"/>
    </xf>
    <xf numFmtId="2" fontId="7" fillId="0" borderId="4" xfId="0" applyNumberFormat="1" applyFont="1" applyBorder="1" applyAlignment="1">
      <alignment horizontal="right" vertical="top" wrapText="1"/>
    </xf>
    <xf numFmtId="0" fontId="7" fillId="0" borderId="23" xfId="0" applyFont="1" applyBorder="1" applyAlignment="1">
      <alignment horizontal="left" vertical="top" wrapText="1"/>
    </xf>
    <xf numFmtId="0" fontId="7" fillId="0" borderId="24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0" xfId="0" applyFont="1"/>
    <xf numFmtId="2" fontId="0" fillId="2" borderId="0" xfId="0" applyNumberFormat="1" applyFill="1"/>
    <xf numFmtId="0" fontId="7" fillId="0" borderId="25" xfId="0" applyFont="1" applyBorder="1" applyAlignment="1">
      <alignment horizontal="left" vertical="top" wrapText="1"/>
    </xf>
    <xf numFmtId="0" fontId="7" fillId="0" borderId="26" xfId="0" applyFont="1" applyBorder="1" applyAlignment="1">
      <alignment horizontal="left" vertical="top" wrapText="1"/>
    </xf>
    <xf numFmtId="0" fontId="7" fillId="0" borderId="27" xfId="0" applyFont="1" applyBorder="1" applyAlignment="1">
      <alignment horizontal="left" vertical="top" wrapText="1"/>
    </xf>
    <xf numFmtId="0" fontId="7" fillId="0" borderId="28" xfId="0" applyFont="1" applyBorder="1" applyAlignment="1">
      <alignment horizontal="left" vertical="top" wrapText="1"/>
    </xf>
    <xf numFmtId="168" fontId="7" fillId="0" borderId="26" xfId="0" applyNumberFormat="1" applyFont="1" applyBorder="1" applyAlignment="1">
      <alignment horizontal="right" vertical="top" wrapText="1"/>
    </xf>
    <xf numFmtId="168" fontId="7" fillId="0" borderId="27" xfId="0" applyNumberFormat="1" applyFont="1" applyBorder="1" applyAlignment="1">
      <alignment horizontal="right" vertical="top" wrapText="1"/>
    </xf>
    <xf numFmtId="168" fontId="7" fillId="0" borderId="29" xfId="0" applyNumberFormat="1" applyFont="1" applyBorder="1" applyAlignment="1">
      <alignment horizontal="right" vertical="top" wrapText="1"/>
    </xf>
    <xf numFmtId="0" fontId="7" fillId="0" borderId="30" xfId="0" applyFont="1" applyBorder="1" applyAlignment="1">
      <alignment horizontal="right" vertical="top" wrapText="1"/>
    </xf>
    <xf numFmtId="166" fontId="7" fillId="0" borderId="26" xfId="0" applyNumberFormat="1" applyFont="1" applyBorder="1" applyAlignment="1">
      <alignment horizontal="right" vertical="top" wrapText="1"/>
    </xf>
    <xf numFmtId="166" fontId="7" fillId="0" borderId="27" xfId="0" applyNumberFormat="1" applyFont="1" applyBorder="1" applyAlignment="1">
      <alignment horizontal="right" vertical="top" wrapText="1"/>
    </xf>
    <xf numFmtId="0" fontId="7" fillId="0" borderId="27" xfId="0" applyFont="1" applyBorder="1" applyAlignment="1">
      <alignment horizontal="right" vertical="top" wrapText="1"/>
    </xf>
    <xf numFmtId="0" fontId="7" fillId="0" borderId="28" xfId="0" applyFont="1" applyBorder="1" applyAlignment="1">
      <alignment horizontal="right" vertical="top" wrapText="1"/>
    </xf>
    <xf numFmtId="0" fontId="7" fillId="0" borderId="26" xfId="0" applyFont="1" applyBorder="1" applyAlignment="1">
      <alignment horizontal="right" vertical="top" wrapText="1"/>
    </xf>
    <xf numFmtId="0" fontId="7" fillId="0" borderId="30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168" fontId="7" fillId="0" borderId="9" xfId="0" applyNumberFormat="1" applyFont="1" applyBorder="1" applyAlignment="1">
      <alignment horizontal="right" vertical="top" wrapText="1"/>
    </xf>
    <xf numFmtId="168" fontId="7" fillId="0" borderId="10" xfId="0" applyNumberFormat="1" applyFont="1" applyBorder="1" applyAlignment="1">
      <alignment horizontal="right" vertical="top" wrapText="1"/>
    </xf>
    <xf numFmtId="2" fontId="6" fillId="0" borderId="10" xfId="0" applyNumberFormat="1" applyFont="1" applyBorder="1" applyAlignment="1">
      <alignment horizontal="right" vertical="top" wrapText="1"/>
    </xf>
    <xf numFmtId="2" fontId="6" fillId="0" borderId="9" xfId="0" applyNumberFormat="1" applyFont="1" applyBorder="1" applyAlignment="1">
      <alignment horizontal="right" vertical="top" wrapText="1"/>
    </xf>
    <xf numFmtId="2" fontId="6" fillId="0" borderId="11" xfId="0" applyNumberFormat="1" applyFont="1" applyBorder="1" applyAlignment="1">
      <alignment horizontal="right" vertical="top" wrapText="1"/>
    </xf>
    <xf numFmtId="2" fontId="7" fillId="0" borderId="15" xfId="0" applyNumberFormat="1" applyFont="1" applyBorder="1" applyAlignment="1">
      <alignment horizontal="right" vertical="top" wrapText="1"/>
    </xf>
    <xf numFmtId="2" fontId="7" fillId="0" borderId="10" xfId="0" applyNumberFormat="1" applyFont="1" applyBorder="1" applyAlignment="1">
      <alignment horizontal="right" vertical="top" wrapText="1"/>
    </xf>
    <xf numFmtId="0" fontId="7" fillId="0" borderId="9" xfId="0" applyFont="1" applyBorder="1" applyAlignment="1">
      <alignment horizontal="right" vertical="top" wrapText="1"/>
    </xf>
    <xf numFmtId="0" fontId="7" fillId="0" borderId="10" xfId="0" applyFont="1" applyBorder="1" applyAlignment="1">
      <alignment horizontal="right" vertical="top" wrapText="1"/>
    </xf>
    <xf numFmtId="0" fontId="7" fillId="0" borderId="11" xfId="0" applyFont="1" applyBorder="1" applyAlignment="1">
      <alignment horizontal="right" vertical="top" wrapText="1"/>
    </xf>
    <xf numFmtId="0" fontId="7" fillId="0" borderId="15" xfId="0" applyFont="1" applyBorder="1" applyAlignment="1">
      <alignment horizontal="right" vertical="top" wrapText="1"/>
    </xf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8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8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66" fontId="7" fillId="0" borderId="8" xfId="0" applyNumberFormat="1" applyFont="1" applyBorder="1" applyAlignment="1">
      <alignment horizontal="right" vertical="top" wrapText="1"/>
    </xf>
    <xf numFmtId="166" fontId="7" fillId="0" borderId="3" xfId="0" applyNumberFormat="1" applyFont="1" applyBorder="1" applyAlignment="1">
      <alignment horizontal="right" vertical="top" wrapText="1"/>
    </xf>
    <xf numFmtId="166" fontId="7" fillId="0" borderId="28" xfId="0" applyNumberFormat="1" applyFont="1" applyBorder="1" applyAlignment="1">
      <alignment horizontal="right" vertical="top" wrapText="1"/>
    </xf>
    <xf numFmtId="166" fontId="7" fillId="0" borderId="5" xfId="0" applyNumberFormat="1" applyFont="1" applyBorder="1" applyAlignment="1">
      <alignment horizontal="right" vertical="top" wrapText="1"/>
    </xf>
    <xf numFmtId="0" fontId="7" fillId="0" borderId="0" xfId="0" applyFont="1" applyAlignment="1">
      <alignment horizontal="left" vertical="center"/>
    </xf>
    <xf numFmtId="2" fontId="7" fillId="0" borderId="0" xfId="0" applyNumberFormat="1" applyFont="1" applyAlignment="1">
      <alignment horizontal="right" vertical="center"/>
    </xf>
    <xf numFmtId="2" fontId="7" fillId="0" borderId="0" xfId="0" applyNumberFormat="1" applyFont="1" applyAlignment="1">
      <alignment horizontal="left" vertical="center"/>
    </xf>
    <xf numFmtId="3" fontId="0" fillId="0" borderId="0" xfId="0" applyNumberFormat="1"/>
    <xf numFmtId="0" fontId="6" fillId="0" borderId="16" xfId="0" applyFont="1" applyBorder="1" applyAlignment="1">
      <alignment horizontal="left" vertical="top"/>
    </xf>
    <xf numFmtId="0" fontId="6" fillId="0" borderId="21" xfId="0" applyFont="1" applyBorder="1" applyAlignment="1">
      <alignment horizontal="left" vertical="top"/>
    </xf>
    <xf numFmtId="0" fontId="6" fillId="0" borderId="20" xfId="0" applyFont="1" applyBorder="1" applyAlignment="1">
      <alignment horizontal="left" vertical="top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'PSLV-Accelerations'!$G$1</c:f>
              <c:strCache>
                <c:ptCount val="1"/>
                <c:pt idx="0">
                  <c:v>Acceleration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'PSLV-Accelerations'!$B$2:$B$19</c:f>
              <c:numCache>
                <c:formatCode>General</c:formatCode>
                <c:ptCount val="18"/>
                <c:pt idx="0">
                  <c:v>-3</c:v>
                </c:pt>
                <c:pt idx="1">
                  <c:v>0</c:v>
                </c:pt>
                <c:pt idx="2">
                  <c:v>0.46</c:v>
                </c:pt>
                <c:pt idx="3">
                  <c:v>0.66</c:v>
                </c:pt>
                <c:pt idx="4">
                  <c:v>25.04</c:v>
                </c:pt>
                <c:pt idx="5">
                  <c:v>69.94</c:v>
                </c:pt>
                <c:pt idx="6">
                  <c:v>70.14</c:v>
                </c:pt>
                <c:pt idx="7">
                  <c:v>92.04</c:v>
                </c:pt>
                <c:pt idx="8">
                  <c:v>112.75</c:v>
                </c:pt>
                <c:pt idx="9">
                  <c:v>112.95</c:v>
                </c:pt>
                <c:pt idx="10">
                  <c:v>117.95</c:v>
                </c:pt>
                <c:pt idx="11">
                  <c:v>201.75</c:v>
                </c:pt>
                <c:pt idx="12">
                  <c:v>264.74</c:v>
                </c:pt>
                <c:pt idx="13">
                  <c:v>265.94</c:v>
                </c:pt>
                <c:pt idx="14">
                  <c:v>583.6</c:v>
                </c:pt>
                <c:pt idx="15">
                  <c:v>2100.5</c:v>
                </c:pt>
                <c:pt idx="16">
                  <c:v>2619.7199999999998</c:v>
                </c:pt>
                <c:pt idx="17">
                  <c:v>2656.72</c:v>
                </c:pt>
              </c:numCache>
            </c:numRef>
          </c:xVal>
          <c:yVal>
            <c:numRef>
              <c:f>'PSLV-Accelerations'!$G$2:$G$19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684.68181818181813</c:v>
                </c:pt>
                <c:pt idx="4">
                  <c:v>6.547579983593109</c:v>
                </c:pt>
                <c:pt idx="5">
                  <c:v>18.269042316258354</c:v>
                </c:pt>
                <c:pt idx="6">
                  <c:v>23.699999999999708</c:v>
                </c:pt>
                <c:pt idx="7">
                  <c:v>26.841095890410948</c:v>
                </c:pt>
                <c:pt idx="8">
                  <c:v>17.542732979237098</c:v>
                </c:pt>
                <c:pt idx="9">
                  <c:v>-2.550000000001055</c:v>
                </c:pt>
                <c:pt idx="10">
                  <c:v>5.6600000000000366</c:v>
                </c:pt>
                <c:pt idx="11">
                  <c:v>14.429952267303104</c:v>
                </c:pt>
                <c:pt idx="12">
                  <c:v>27.855850134942049</c:v>
                </c:pt>
                <c:pt idx="13">
                  <c:v>-0.3250000000002759</c:v>
                </c:pt>
                <c:pt idx="14">
                  <c:v>7.4039539129887313</c:v>
                </c:pt>
                <c:pt idx="15">
                  <c:v>-5.8566813896763228E-2</c:v>
                </c:pt>
                <c:pt idx="16">
                  <c:v>4.2206579099418375</c:v>
                </c:pt>
                <c:pt idx="17">
                  <c:v>-0.79675675675674495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7E-4851-BECB-4CB95544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644783"/>
        <c:axId val="2129973055"/>
      </c:scatterChart>
      <c:valAx>
        <c:axId val="153264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973055"/>
        <c:crosses val="autoZero"/>
        <c:crossBetween val="midCat"/>
      </c:valAx>
      <c:valAx>
        <c:axId val="212997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64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977900</xdr:colOff>
      <xdr:row>21</xdr:row>
      <xdr:rowOff>79375</xdr:rowOff>
    </xdr:from>
    <xdr:to>
      <xdr:col>4</xdr:col>
      <xdr:colOff>1530350</xdr:colOff>
      <xdr:row>36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17ECFD-A416-8122-DEBF-F16631018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mperial.ac.uk/space-and-atmospheric-physics/research/missions-and-projects/space-missions/trio-cinema/magic_stein/" TargetMode="External"/><Relationship Id="rId2" Type="http://schemas.openxmlformats.org/officeDocument/2006/relationships/hyperlink" Target="https://www.imperial.ac.uk/space-and-atmospheric-physics/research/missions-and-projects/space-missions/trio-cinema/magic_stein/" TargetMode="External"/><Relationship Id="rId1" Type="http://schemas.openxmlformats.org/officeDocument/2006/relationships/hyperlink" Target="https://www.imperial.ac.uk/space-and-atmospheric-physics/research/missions-and-projects/space-missions/trio-cinema/magic_stein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6F7F6-FBC0-40B1-B0CE-0FD8094AA3E7}">
  <dimension ref="A1:G42"/>
  <sheetViews>
    <sheetView topLeftCell="A6" workbookViewId="0">
      <selection activeCell="C43" sqref="C43"/>
    </sheetView>
  </sheetViews>
  <sheetFormatPr defaultRowHeight="14.5" x14ac:dyDescent="0.35"/>
  <cols>
    <col min="1" max="1" width="34.54296875" customWidth="1"/>
    <col min="2" max="2" width="26.36328125" customWidth="1"/>
    <col min="3" max="4" width="20.6328125" customWidth="1"/>
    <col min="5" max="5" width="21.453125" customWidth="1"/>
    <col min="6" max="6" width="17.08984375" customWidth="1"/>
    <col min="7" max="7" width="16.453125" bestFit="1" customWidth="1"/>
    <col min="8" max="8" width="9.36328125" bestFit="1" customWidth="1"/>
  </cols>
  <sheetData>
    <row r="1" spans="1:7" ht="15.5" x14ac:dyDescent="0.35">
      <c r="A1" s="3" t="s">
        <v>18</v>
      </c>
    </row>
    <row r="3" spans="1:7" x14ac:dyDescent="0.35">
      <c r="A3" t="s">
        <v>15</v>
      </c>
    </row>
    <row r="4" spans="1:7" x14ac:dyDescent="0.35">
      <c r="A4" t="s">
        <v>16</v>
      </c>
    </row>
    <row r="5" spans="1:7" x14ac:dyDescent="0.35">
      <c r="C5" t="s">
        <v>5</v>
      </c>
      <c r="D5" s="1">
        <v>149600000000</v>
      </c>
    </row>
    <row r="7" spans="1:7" x14ac:dyDescent="0.35">
      <c r="C7" s="5" t="s">
        <v>1</v>
      </c>
      <c r="D7" s="5" t="s">
        <v>0</v>
      </c>
      <c r="E7" s="5" t="s">
        <v>46</v>
      </c>
      <c r="F7" s="5"/>
    </row>
    <row r="8" spans="1:7" x14ac:dyDescent="0.35">
      <c r="A8" t="s">
        <v>2</v>
      </c>
      <c r="B8" t="s">
        <v>9</v>
      </c>
      <c r="C8" s="1">
        <v>1.327E+20</v>
      </c>
      <c r="D8" s="1">
        <v>398600000000000</v>
      </c>
      <c r="E8" s="1">
        <v>324859000000000</v>
      </c>
      <c r="F8" s="1"/>
    </row>
    <row r="9" spans="1:7" x14ac:dyDescent="0.35">
      <c r="A9" t="s">
        <v>3</v>
      </c>
      <c r="B9" t="s">
        <v>10</v>
      </c>
      <c r="C9" s="1">
        <v>696000000</v>
      </c>
      <c r="D9" s="1">
        <v>6380000</v>
      </c>
      <c r="E9" s="1">
        <f>0.9499*D9</f>
        <v>6060362</v>
      </c>
      <c r="F9" s="1"/>
    </row>
    <row r="10" spans="1:7" x14ac:dyDescent="0.35">
      <c r="A10" t="s">
        <v>6</v>
      </c>
      <c r="B10" t="s">
        <v>11</v>
      </c>
      <c r="C10" s="1">
        <v>0</v>
      </c>
      <c r="D10" s="1">
        <f>D5</f>
        <v>149600000000</v>
      </c>
      <c r="E10" s="1">
        <f>0.723332*D5</f>
        <v>108210467200</v>
      </c>
      <c r="F10" s="1"/>
    </row>
    <row r="11" spans="1:7" x14ac:dyDescent="0.35">
      <c r="A11" t="s">
        <v>4</v>
      </c>
      <c r="B11" t="s">
        <v>12</v>
      </c>
      <c r="C11" s="1">
        <v>0</v>
      </c>
      <c r="D11" s="1">
        <f>365*24*60*60</f>
        <v>31536000</v>
      </c>
      <c r="E11" s="1">
        <f>224.701*24*60*60</f>
        <v>19414166.399999999</v>
      </c>
      <c r="F11" s="1"/>
    </row>
    <row r="12" spans="1:7" x14ac:dyDescent="0.35">
      <c r="A12" t="s">
        <v>26</v>
      </c>
      <c r="B12" t="s">
        <v>24</v>
      </c>
      <c r="C12" s="1"/>
      <c r="D12" s="7">
        <f>D11/60/60/24/365</f>
        <v>1</v>
      </c>
      <c r="E12" s="7">
        <f>E11/60/60/24/365</f>
        <v>0.6156191780821918</v>
      </c>
      <c r="F12" s="7"/>
    </row>
    <row r="13" spans="1:7" x14ac:dyDescent="0.35">
      <c r="A13" t="s">
        <v>31</v>
      </c>
      <c r="B13" t="s">
        <v>13</v>
      </c>
      <c r="C13" s="1">
        <v>0</v>
      </c>
      <c r="D13" s="1">
        <f>SQRT($C$8/D10)</f>
        <v>29783.083882658917</v>
      </c>
      <c r="E13" s="1">
        <f>SQRT($C$8/E10)</f>
        <v>35018.764962681969</v>
      </c>
      <c r="F13" s="1"/>
    </row>
    <row r="14" spans="1:7" x14ac:dyDescent="0.35">
      <c r="A14" t="s">
        <v>7</v>
      </c>
      <c r="B14" t="s">
        <v>11</v>
      </c>
      <c r="C14" s="1">
        <v>0</v>
      </c>
      <c r="D14" s="1">
        <v>300000</v>
      </c>
      <c r="E14" s="1">
        <v>9000</v>
      </c>
      <c r="F14" s="1"/>
      <c r="G14" s="2"/>
    </row>
    <row r="15" spans="1:7" x14ac:dyDescent="0.35">
      <c r="A15" t="s">
        <v>8</v>
      </c>
      <c r="B15" t="s">
        <v>11</v>
      </c>
      <c r="C15" s="1">
        <v>0</v>
      </c>
      <c r="D15" s="1">
        <f>D14+D9</f>
        <v>6680000</v>
      </c>
      <c r="E15" s="1">
        <f>E14+E9</f>
        <v>6069362</v>
      </c>
      <c r="F15" s="1"/>
    </row>
    <row r="16" spans="1:7" x14ac:dyDescent="0.35">
      <c r="A16" t="s">
        <v>14</v>
      </c>
      <c r="B16" t="s">
        <v>12</v>
      </c>
      <c r="C16" s="1">
        <v>0</v>
      </c>
      <c r="D16" s="1">
        <f>2*PI()*SQRT(POWER(D15,3)/D8)</f>
        <v>5433.4530021781738</v>
      </c>
      <c r="E16" s="1">
        <f>2*PI()*SQRT(POWER(E15,3)/E8)</f>
        <v>5212.5109304185426</v>
      </c>
      <c r="F16" s="1"/>
    </row>
    <row r="17" spans="1:6" x14ac:dyDescent="0.35">
      <c r="A17" t="s">
        <v>17</v>
      </c>
      <c r="B17" t="s">
        <v>19</v>
      </c>
      <c r="C17" s="2"/>
      <c r="D17" s="2">
        <f>D16/60</f>
        <v>90.557550036302899</v>
      </c>
      <c r="E17" s="2">
        <f>E16/60</f>
        <v>86.875182173642372</v>
      </c>
      <c r="F17" s="2"/>
    </row>
    <row r="18" spans="1:6" x14ac:dyDescent="0.35">
      <c r="A18" t="s">
        <v>20</v>
      </c>
      <c r="B18" t="s">
        <v>13</v>
      </c>
      <c r="C18" s="4"/>
      <c r="D18" s="4">
        <f>SQRT(D8/D15)</f>
        <v>7724.6785488222577</v>
      </c>
      <c r="E18" s="4">
        <f>SQRT(E8/E15)</f>
        <v>7316.0376354917371</v>
      </c>
      <c r="F18" s="4"/>
    </row>
    <row r="19" spans="1:6" x14ac:dyDescent="0.35">
      <c r="C19" s="4"/>
      <c r="D19" s="7"/>
    </row>
    <row r="20" spans="1:6" x14ac:dyDescent="0.35">
      <c r="C20" s="4"/>
      <c r="D20" s="4"/>
    </row>
    <row r="21" spans="1:6" x14ac:dyDescent="0.35">
      <c r="C21" s="4"/>
      <c r="D21" s="6" t="s">
        <v>47</v>
      </c>
    </row>
    <row r="22" spans="1:6" x14ac:dyDescent="0.35">
      <c r="A22" t="s">
        <v>29</v>
      </c>
      <c r="B22" t="s">
        <v>11</v>
      </c>
      <c r="C22" s="1"/>
      <c r="D22" s="1">
        <f>E10</f>
        <v>108210467200</v>
      </c>
    </row>
    <row r="23" spans="1:6" x14ac:dyDescent="0.35">
      <c r="A23" t="s">
        <v>27</v>
      </c>
      <c r="B23" t="s">
        <v>11</v>
      </c>
      <c r="C23" s="1"/>
      <c r="D23" s="1">
        <f>(D22+$D$10)/2</f>
        <v>128905233600</v>
      </c>
    </row>
    <row r="24" spans="1:6" x14ac:dyDescent="0.35">
      <c r="A24" t="s">
        <v>22</v>
      </c>
      <c r="B24" t="s">
        <v>13</v>
      </c>
      <c r="C24" s="4"/>
      <c r="D24" s="4">
        <f>SQRT(2*$C$8*((1/D10)-(1/(D10+D22))))</f>
        <v>27287.831558711991</v>
      </c>
    </row>
    <row r="25" spans="1:6" x14ac:dyDescent="0.35">
      <c r="A25" t="s">
        <v>23</v>
      </c>
      <c r="B25" t="s">
        <v>12</v>
      </c>
      <c r="D25" s="1">
        <f>2*PI()*SQRT(POWER(D23,3)/$C$8)</f>
        <v>25243538.524565142</v>
      </c>
    </row>
    <row r="26" spans="1:6" x14ac:dyDescent="0.35">
      <c r="A26" t="s">
        <v>25</v>
      </c>
      <c r="B26" t="s">
        <v>24</v>
      </c>
      <c r="C26" s="2"/>
      <c r="D26" s="9">
        <f>D25/60/60/24/365</f>
        <v>0.80046735554810811</v>
      </c>
    </row>
    <row r="27" spans="1:6" x14ac:dyDescent="0.35">
      <c r="A27" t="s">
        <v>28</v>
      </c>
      <c r="B27" t="s">
        <v>24</v>
      </c>
      <c r="C27" s="2"/>
      <c r="D27" s="9">
        <f>D26/2</f>
        <v>0.40023367777405405</v>
      </c>
    </row>
    <row r="28" spans="1:6" x14ac:dyDescent="0.35">
      <c r="A28" t="s">
        <v>33</v>
      </c>
      <c r="B28" t="s">
        <v>13</v>
      </c>
      <c r="C28" s="2"/>
      <c r="D28" s="9">
        <f>((2*PI()*D23)/D25)*(1-SQRT(((2*D23)/$D$10)))</f>
        <v>-10034.778370932383</v>
      </c>
      <c r="E28" s="4" t="s">
        <v>42</v>
      </c>
    </row>
    <row r="29" spans="1:6" x14ac:dyDescent="0.35">
      <c r="A29" t="s">
        <v>35</v>
      </c>
      <c r="B29" t="s">
        <v>13</v>
      </c>
      <c r="D29" s="9">
        <f>D28-$D$13</f>
        <v>-39817.862253591302</v>
      </c>
      <c r="E29" t="s">
        <v>39</v>
      </c>
    </row>
    <row r="30" spans="1:6" x14ac:dyDescent="0.35">
      <c r="A30" t="s">
        <v>35</v>
      </c>
      <c r="B30" t="s">
        <v>13</v>
      </c>
      <c r="D30" s="9">
        <f>SQRT($C$8/$D$10)*(1-SQRT((2*D22)/(D22+$D$10)))</f>
        <v>2495.2523239469274</v>
      </c>
      <c r="E30" t="s">
        <v>38</v>
      </c>
    </row>
    <row r="31" spans="1:6" x14ac:dyDescent="0.35">
      <c r="A31" t="s">
        <v>37</v>
      </c>
      <c r="B31" t="s">
        <v>13</v>
      </c>
      <c r="D31" s="9">
        <f>SQRT(2*(0.5*POWER(D29,2) + (D8/(D15))))</f>
        <v>41289.265818263717</v>
      </c>
      <c r="E31">
        <v>10598</v>
      </c>
    </row>
    <row r="32" spans="1:6" x14ac:dyDescent="0.35">
      <c r="A32" t="s">
        <v>32</v>
      </c>
      <c r="B32" t="s">
        <v>13</v>
      </c>
      <c r="D32" s="86">
        <f>D31-D18</f>
        <v>33564.587269441457</v>
      </c>
      <c r="E32" s="4">
        <f>D31-E31</f>
        <v>30691.265818263717</v>
      </c>
    </row>
    <row r="33" spans="1:5" x14ac:dyDescent="0.35">
      <c r="A33" t="s">
        <v>30</v>
      </c>
      <c r="B33" t="s">
        <v>13</v>
      </c>
      <c r="C33" s="2"/>
      <c r="D33" s="9">
        <f>((2*PI()*D23)/D25)*SQRT(((2*D23)/D22)-1)</f>
        <v>37725.182293486243</v>
      </c>
      <c r="E33" s="4" t="s">
        <v>41</v>
      </c>
    </row>
    <row r="34" spans="1:5" x14ac:dyDescent="0.35">
      <c r="A34" t="s">
        <v>36</v>
      </c>
      <c r="B34" t="s">
        <v>13</v>
      </c>
      <c r="D34" s="9">
        <f>D33-$E$13</f>
        <v>2706.4173308042737</v>
      </c>
      <c r="E34" t="s">
        <v>39</v>
      </c>
    </row>
    <row r="35" spans="1:5" x14ac:dyDescent="0.35">
      <c r="A35" t="s">
        <v>36</v>
      </c>
      <c r="B35" t="s">
        <v>13</v>
      </c>
      <c r="D35" s="9">
        <f>SQRT($C$8/D22)*(SQRT((2*D10)/(D22+$D$10))-1)</f>
        <v>2706.4173308042723</v>
      </c>
      <c r="E35" t="s">
        <v>38</v>
      </c>
    </row>
    <row r="36" spans="1:5" x14ac:dyDescent="0.35">
      <c r="A36" t="s">
        <v>40</v>
      </c>
      <c r="B36" t="s">
        <v>13</v>
      </c>
      <c r="D36" s="9">
        <f>SQRT(2*(0.5*POWER(D35,2) + (E8/(E15))))</f>
        <v>10694.555069582875</v>
      </c>
    </row>
    <row r="37" spans="1:5" x14ac:dyDescent="0.35">
      <c r="A37" t="s">
        <v>34</v>
      </c>
      <c r="B37" t="s">
        <v>13</v>
      </c>
      <c r="D37" s="86">
        <f>D36-E18</f>
        <v>3378.5174340911381</v>
      </c>
    </row>
    <row r="38" spans="1:5" x14ac:dyDescent="0.35">
      <c r="D38" s="4"/>
    </row>
    <row r="39" spans="1:5" x14ac:dyDescent="0.35">
      <c r="A39" t="s">
        <v>21</v>
      </c>
    </row>
    <row r="40" spans="1:5" x14ac:dyDescent="0.35">
      <c r="A40" t="s">
        <v>43</v>
      </c>
    </row>
    <row r="41" spans="1:5" x14ac:dyDescent="0.35">
      <c r="A41" t="s">
        <v>44</v>
      </c>
    </row>
    <row r="42" spans="1:5" x14ac:dyDescent="0.35">
      <c r="A42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73DE9-760E-43D0-A2AA-3F96B3DF9611}">
  <dimension ref="A2:I76"/>
  <sheetViews>
    <sheetView workbookViewId="0">
      <selection activeCell="D64" sqref="D64"/>
    </sheetView>
  </sheetViews>
  <sheetFormatPr defaultRowHeight="14.5" x14ac:dyDescent="0.35"/>
  <cols>
    <col min="1" max="1" width="52.90625" bestFit="1" customWidth="1"/>
    <col min="2" max="2" width="13.54296875" style="9" customWidth="1"/>
    <col min="3" max="3" width="21" customWidth="1"/>
    <col min="4" max="4" width="15.54296875" bestFit="1" customWidth="1"/>
    <col min="6" max="10" width="19.08984375" customWidth="1"/>
  </cols>
  <sheetData>
    <row r="2" spans="1:9" x14ac:dyDescent="0.35">
      <c r="A2" t="s">
        <v>214</v>
      </c>
    </row>
    <row r="3" spans="1:9" x14ac:dyDescent="0.35">
      <c r="A3" t="s">
        <v>215</v>
      </c>
      <c r="B3" s="1">
        <v>5.6699999999999998E-8</v>
      </c>
      <c r="C3" t="s">
        <v>216</v>
      </c>
    </row>
    <row r="6" spans="1:9" x14ac:dyDescent="0.35">
      <c r="A6" t="s">
        <v>119</v>
      </c>
    </row>
    <row r="7" spans="1:9" x14ac:dyDescent="0.35">
      <c r="A7" t="s">
        <v>217</v>
      </c>
      <c r="B7" s="9">
        <v>1</v>
      </c>
      <c r="C7" t="s">
        <v>218</v>
      </c>
    </row>
    <row r="8" spans="1:9" x14ac:dyDescent="0.35">
      <c r="A8" t="s">
        <v>219</v>
      </c>
      <c r="B8" s="9">
        <v>1</v>
      </c>
    </row>
    <row r="9" spans="1:9" x14ac:dyDescent="0.35">
      <c r="A9" t="s">
        <v>118</v>
      </c>
      <c r="B9" s="9">
        <f>PI()*(2.1*2.1)</f>
        <v>13.854423602330987</v>
      </c>
      <c r="C9" t="s">
        <v>114</v>
      </c>
    </row>
    <row r="10" spans="1:9" x14ac:dyDescent="0.35">
      <c r="A10" t="s">
        <v>117</v>
      </c>
      <c r="B10" s="9">
        <f>PI()*(2.1*2.1)</f>
        <v>13.854423602330987</v>
      </c>
      <c r="C10" t="s">
        <v>114</v>
      </c>
    </row>
    <row r="11" spans="1:9" x14ac:dyDescent="0.35">
      <c r="A11" t="s">
        <v>116</v>
      </c>
      <c r="B11" s="9">
        <f>PI()*(2.1*2.1)</f>
        <v>13.854423602330987</v>
      </c>
      <c r="C11" t="s">
        <v>114</v>
      </c>
    </row>
    <row r="12" spans="1:9" x14ac:dyDescent="0.35">
      <c r="A12" t="s">
        <v>115</v>
      </c>
      <c r="B12" s="9">
        <f>4*PI()*(2.1*2.1)</f>
        <v>55.41769440932395</v>
      </c>
      <c r="C12" t="s">
        <v>114</v>
      </c>
    </row>
    <row r="15" spans="1:9" x14ac:dyDescent="0.35">
      <c r="A15" t="s">
        <v>113</v>
      </c>
      <c r="F15" t="s">
        <v>112</v>
      </c>
      <c r="G15" t="s">
        <v>111</v>
      </c>
      <c r="H15" t="s">
        <v>220</v>
      </c>
      <c r="I15" t="s">
        <v>221</v>
      </c>
    </row>
    <row r="16" spans="1:9" x14ac:dyDescent="0.35">
      <c r="A16" t="s">
        <v>110</v>
      </c>
      <c r="B16" s="9">
        <v>0.2</v>
      </c>
      <c r="C16" t="s">
        <v>109</v>
      </c>
      <c r="F16">
        <v>0.2</v>
      </c>
      <c r="G16">
        <v>0.3</v>
      </c>
      <c r="H16">
        <v>0.95</v>
      </c>
      <c r="I16">
        <v>0.24</v>
      </c>
    </row>
    <row r="17" spans="1:9" x14ac:dyDescent="0.35">
      <c r="A17" t="s">
        <v>108</v>
      </c>
      <c r="B17" s="9">
        <v>0.3</v>
      </c>
      <c r="F17">
        <v>0.9</v>
      </c>
      <c r="G17">
        <v>0.35</v>
      </c>
      <c r="H17">
        <v>0.9</v>
      </c>
      <c r="I17">
        <v>0.08</v>
      </c>
    </row>
    <row r="18" spans="1:9" x14ac:dyDescent="0.35">
      <c r="A18" t="s">
        <v>59</v>
      </c>
      <c r="B18" s="9">
        <f>B16/B17</f>
        <v>0.66666666666666674</v>
      </c>
      <c r="F18" s="9">
        <f t="shared" ref="F18:I18" si="0">F16/F17</f>
        <v>0.22222222222222224</v>
      </c>
      <c r="G18" s="9">
        <f t="shared" si="0"/>
        <v>0.85714285714285721</v>
      </c>
      <c r="H18" s="9">
        <f t="shared" si="0"/>
        <v>1.0555555555555556</v>
      </c>
      <c r="I18" s="9">
        <f t="shared" si="0"/>
        <v>3</v>
      </c>
    </row>
    <row r="21" spans="1:9" x14ac:dyDescent="0.35">
      <c r="A21" t="s">
        <v>107</v>
      </c>
    </row>
    <row r="22" spans="1:9" x14ac:dyDescent="0.35">
      <c r="A22" t="s">
        <v>106</v>
      </c>
      <c r="B22" s="9">
        <v>2500000</v>
      </c>
      <c r="C22" t="s">
        <v>105</v>
      </c>
    </row>
    <row r="23" spans="1:9" x14ac:dyDescent="0.35">
      <c r="A23" t="s">
        <v>104</v>
      </c>
      <c r="B23" s="9">
        <v>4.2</v>
      </c>
      <c r="C23" t="s">
        <v>103</v>
      </c>
    </row>
    <row r="24" spans="1:9" x14ac:dyDescent="0.35">
      <c r="A24" t="s">
        <v>102</v>
      </c>
      <c r="B24" s="9">
        <f>B23*B22</f>
        <v>10500000</v>
      </c>
      <c r="C24" t="s">
        <v>101</v>
      </c>
    </row>
    <row r="25" spans="1:9" x14ac:dyDescent="0.35">
      <c r="A25" t="s">
        <v>100</v>
      </c>
      <c r="B25" s="9">
        <f>24*60*60</f>
        <v>86400</v>
      </c>
      <c r="C25" t="s">
        <v>99</v>
      </c>
    </row>
    <row r="26" spans="1:9" x14ac:dyDescent="0.35">
      <c r="A26" t="s">
        <v>98</v>
      </c>
      <c r="B26" s="9">
        <f>B24/B25</f>
        <v>121.52777777777777</v>
      </c>
      <c r="C26" t="s">
        <v>88</v>
      </c>
    </row>
    <row r="27" spans="1:9" x14ac:dyDescent="0.35">
      <c r="A27" t="s">
        <v>97</v>
      </c>
      <c r="B27" s="9">
        <v>2</v>
      </c>
    </row>
    <row r="28" spans="1:9" x14ac:dyDescent="0.35">
      <c r="A28" t="s">
        <v>96</v>
      </c>
      <c r="B28" s="9">
        <f>B27*B26</f>
        <v>243.05555555555554</v>
      </c>
      <c r="C28" t="s">
        <v>88</v>
      </c>
    </row>
    <row r="30" spans="1:9" x14ac:dyDescent="0.35">
      <c r="A30" t="s">
        <v>95</v>
      </c>
    </row>
    <row r="31" spans="1:9" x14ac:dyDescent="0.35">
      <c r="A31" t="s">
        <v>222</v>
      </c>
    </row>
    <row r="32" spans="1:9" x14ac:dyDescent="0.35">
      <c r="A32" t="s">
        <v>93</v>
      </c>
      <c r="B32" s="24">
        <v>1</v>
      </c>
    </row>
    <row r="33" spans="1:4" x14ac:dyDescent="0.35">
      <c r="A33" t="s">
        <v>92</v>
      </c>
      <c r="B33" s="9">
        <v>1400</v>
      </c>
      <c r="C33" t="s">
        <v>88</v>
      </c>
    </row>
    <row r="34" spans="1:4" x14ac:dyDescent="0.35">
      <c r="A34" t="s">
        <v>91</v>
      </c>
      <c r="B34" s="9">
        <f>B33/B32</f>
        <v>1400</v>
      </c>
      <c r="C34" t="s">
        <v>88</v>
      </c>
    </row>
    <row r="35" spans="1:4" x14ac:dyDescent="0.35">
      <c r="A35" t="s">
        <v>223</v>
      </c>
      <c r="B35" s="9">
        <v>1</v>
      </c>
    </row>
    <row r="36" spans="1:4" x14ac:dyDescent="0.35">
      <c r="A36" t="s">
        <v>89</v>
      </c>
      <c r="B36" s="9">
        <f>B35*B34</f>
        <v>1400</v>
      </c>
      <c r="C36" t="s">
        <v>88</v>
      </c>
    </row>
    <row r="38" spans="1:4" x14ac:dyDescent="0.35">
      <c r="A38" t="s">
        <v>54</v>
      </c>
      <c r="B38" s="9">
        <f>B36+B28</f>
        <v>1643.0555555555557</v>
      </c>
    </row>
    <row r="40" spans="1:4" x14ac:dyDescent="0.35">
      <c r="A40" t="s">
        <v>87</v>
      </c>
      <c r="C40">
        <v>1371</v>
      </c>
    </row>
    <row r="41" spans="1:4" x14ac:dyDescent="0.35">
      <c r="A41" t="s">
        <v>86</v>
      </c>
      <c r="B41" s="22">
        <v>0</v>
      </c>
      <c r="C41" t="s">
        <v>81</v>
      </c>
      <c r="D41" t="s">
        <v>224</v>
      </c>
    </row>
    <row r="42" spans="1:4" x14ac:dyDescent="0.35">
      <c r="A42" t="s">
        <v>84</v>
      </c>
      <c r="B42" s="1">
        <v>150000000000</v>
      </c>
      <c r="C42" t="s">
        <v>11</v>
      </c>
    </row>
    <row r="43" spans="1:4" x14ac:dyDescent="0.35">
      <c r="A43" t="s">
        <v>83</v>
      </c>
      <c r="B43" s="1">
        <v>3.856E+26</v>
      </c>
      <c r="C43" t="s">
        <v>53</v>
      </c>
    </row>
    <row r="44" spans="1:4" x14ac:dyDescent="0.35">
      <c r="A44" t="s">
        <v>82</v>
      </c>
      <c r="B44" s="9">
        <f>B43/(4*PI()*POWER(B42,2))</f>
        <v>1363.7810234718854</v>
      </c>
      <c r="C44" t="s">
        <v>81</v>
      </c>
      <c r="D44" t="s">
        <v>80</v>
      </c>
    </row>
    <row r="47" spans="1:4" x14ac:dyDescent="0.35">
      <c r="A47" t="s">
        <v>79</v>
      </c>
    </row>
    <row r="48" spans="1:4" x14ac:dyDescent="0.35">
      <c r="A48" t="s">
        <v>78</v>
      </c>
      <c r="B48" s="22">
        <v>0</v>
      </c>
      <c r="C48">
        <v>3.14</v>
      </c>
      <c r="D48" t="s">
        <v>225</v>
      </c>
    </row>
    <row r="49" spans="1:4" x14ac:dyDescent="0.35">
      <c r="A49" t="s">
        <v>77</v>
      </c>
      <c r="B49" s="9">
        <v>7.0000000000000007E-2</v>
      </c>
      <c r="D49" t="s">
        <v>225</v>
      </c>
    </row>
    <row r="50" spans="1:4" x14ac:dyDescent="0.35">
      <c r="A50" t="s">
        <v>76</v>
      </c>
      <c r="B50" s="9">
        <f>B49*B48*B41</f>
        <v>0</v>
      </c>
      <c r="D50" t="s">
        <v>225</v>
      </c>
    </row>
    <row r="53" spans="1:4" x14ac:dyDescent="0.35">
      <c r="A53" t="s">
        <v>75</v>
      </c>
    </row>
    <row r="54" spans="1:4" x14ac:dyDescent="0.35">
      <c r="A54" t="s">
        <v>74</v>
      </c>
      <c r="B54" s="22">
        <v>100</v>
      </c>
      <c r="C54" t="s">
        <v>48</v>
      </c>
    </row>
    <row r="55" spans="1:4" x14ac:dyDescent="0.35">
      <c r="A55" t="s">
        <v>73</v>
      </c>
      <c r="B55" s="9">
        <v>0.9</v>
      </c>
    </row>
    <row r="57" spans="1:4" x14ac:dyDescent="0.35">
      <c r="A57" t="s">
        <v>72</v>
      </c>
      <c r="B57" s="9">
        <f>B56*POWER((B8/B7),2)</f>
        <v>0</v>
      </c>
    </row>
    <row r="58" spans="1:4" x14ac:dyDescent="0.35">
      <c r="A58" t="s">
        <v>67</v>
      </c>
      <c r="B58" s="9">
        <f>B55*B3*POWER(B54,4)</f>
        <v>5.1029999999999998</v>
      </c>
      <c r="C58" t="s">
        <v>66</v>
      </c>
      <c r="D58" t="s">
        <v>225</v>
      </c>
    </row>
    <row r="61" spans="1:4" x14ac:dyDescent="0.35">
      <c r="A61" t="s">
        <v>63</v>
      </c>
    </row>
    <row r="62" spans="1:4" x14ac:dyDescent="0.35">
      <c r="A62" t="s">
        <v>62</v>
      </c>
      <c r="B62" s="9">
        <f>(B11*B58)/(B12*B3)</f>
        <v>22500000</v>
      </c>
    </row>
    <row r="63" spans="1:4" x14ac:dyDescent="0.35">
      <c r="A63" t="s">
        <v>61</v>
      </c>
      <c r="B63" s="9">
        <f>B38/(B12*B3)</f>
        <v>522902521.2085467</v>
      </c>
      <c r="D63" t="s">
        <v>226</v>
      </c>
    </row>
    <row r="64" spans="1:4" x14ac:dyDescent="0.35">
      <c r="A64" t="s">
        <v>60</v>
      </c>
      <c r="B64" s="9">
        <f>((B9*B41)+(B10*B50))/(B12*B3)</f>
        <v>0</v>
      </c>
    </row>
    <row r="65" spans="1:3" x14ac:dyDescent="0.35">
      <c r="A65" t="s">
        <v>59</v>
      </c>
      <c r="B65" s="9">
        <f>B18</f>
        <v>0.66666666666666674</v>
      </c>
    </row>
    <row r="66" spans="1:3" x14ac:dyDescent="0.35">
      <c r="A66" t="s">
        <v>58</v>
      </c>
      <c r="B66" s="1">
        <f>B62+B63+B64*B65</f>
        <v>545402521.20854664</v>
      </c>
    </row>
    <row r="67" spans="1:3" x14ac:dyDescent="0.35">
      <c r="A67" t="s">
        <v>49</v>
      </c>
      <c r="B67" s="9">
        <f>POWER(B66,0.25)</f>
        <v>152.81967977234197</v>
      </c>
    </row>
    <row r="69" spans="1:3" x14ac:dyDescent="0.35">
      <c r="A69" t="s">
        <v>57</v>
      </c>
      <c r="B69" s="9">
        <f>B9*B41*B16</f>
        <v>0</v>
      </c>
      <c r="C69" t="s">
        <v>53</v>
      </c>
    </row>
    <row r="70" spans="1:3" x14ac:dyDescent="0.35">
      <c r="A70" t="s">
        <v>56</v>
      </c>
      <c r="B70" s="9">
        <f>B50*B10*B16</f>
        <v>0</v>
      </c>
      <c r="C70" t="s">
        <v>53</v>
      </c>
    </row>
    <row r="71" spans="1:3" x14ac:dyDescent="0.35">
      <c r="A71" t="s">
        <v>55</v>
      </c>
      <c r="B71" s="9">
        <f>B11*B58*B17</f>
        <v>21.209737092808506</v>
      </c>
      <c r="C71" t="s">
        <v>53</v>
      </c>
    </row>
    <row r="72" spans="1:3" x14ac:dyDescent="0.35">
      <c r="A72" t="s">
        <v>54</v>
      </c>
      <c r="B72" s="9">
        <f>B38</f>
        <v>1643.0555555555557</v>
      </c>
      <c r="C72" t="s">
        <v>53</v>
      </c>
    </row>
    <row r="73" spans="1:3" x14ac:dyDescent="0.35">
      <c r="A73" t="s">
        <v>52</v>
      </c>
      <c r="B73" s="1">
        <f>B3*B12*B17</f>
        <v>9.4265498190260038E-7</v>
      </c>
    </row>
    <row r="74" spans="1:3" x14ac:dyDescent="0.35">
      <c r="A74" t="s">
        <v>51</v>
      </c>
      <c r="B74" s="9">
        <f>SUM(B69:B72)</f>
        <v>1664.2652926483643</v>
      </c>
    </row>
    <row r="75" spans="1:3" x14ac:dyDescent="0.35">
      <c r="A75" t="s">
        <v>50</v>
      </c>
      <c r="B75" s="1">
        <f>B74/B73</f>
        <v>1765508404.0284891</v>
      </c>
    </row>
    <row r="76" spans="1:3" x14ac:dyDescent="0.35">
      <c r="A76" t="s">
        <v>49</v>
      </c>
      <c r="B76" s="9">
        <f>POWER(B75,0.25)</f>
        <v>204.9828123371272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9D2A4-60A2-499B-A71C-C0B06EC4D022}">
  <dimension ref="A1:L133"/>
  <sheetViews>
    <sheetView topLeftCell="A42" zoomScaleNormal="100" workbookViewId="0">
      <selection activeCell="A123" sqref="A123"/>
    </sheetView>
  </sheetViews>
  <sheetFormatPr defaultRowHeight="14.5" x14ac:dyDescent="0.35"/>
  <cols>
    <col min="1" max="1" width="52.90625" bestFit="1" customWidth="1"/>
    <col min="2" max="2" width="26.36328125" style="8" customWidth="1"/>
    <col min="3" max="5" width="20.6328125" customWidth="1"/>
    <col min="6" max="7" width="20.6328125" hidden="1" customWidth="1"/>
    <col min="8" max="9" width="9.36328125" bestFit="1" customWidth="1"/>
    <col min="10" max="10" width="16.453125" bestFit="1" customWidth="1"/>
    <col min="11" max="11" width="9.36328125" bestFit="1" customWidth="1"/>
    <col min="13" max="13" width="25.81640625" customWidth="1"/>
    <col min="14" max="14" width="12.36328125" bestFit="1" customWidth="1"/>
  </cols>
  <sheetData>
    <row r="1" spans="1:6" ht="15.5" x14ac:dyDescent="0.35">
      <c r="A1" s="3" t="s">
        <v>173</v>
      </c>
    </row>
    <row r="3" spans="1:6" x14ac:dyDescent="0.35">
      <c r="A3" t="s">
        <v>172</v>
      </c>
    </row>
    <row r="5" spans="1:6" x14ac:dyDescent="0.35">
      <c r="A5" s="17" t="s">
        <v>171</v>
      </c>
    </row>
    <row r="7" spans="1:6" x14ac:dyDescent="0.35">
      <c r="A7" t="s">
        <v>170</v>
      </c>
      <c r="B7" s="8">
        <v>0.25</v>
      </c>
      <c r="F7">
        <v>0.25</v>
      </c>
    </row>
    <row r="8" spans="1:6" x14ac:dyDescent="0.35">
      <c r="A8" t="s">
        <v>169</v>
      </c>
      <c r="B8" s="8">
        <v>1</v>
      </c>
      <c r="C8" t="s">
        <v>157</v>
      </c>
      <c r="D8" t="s">
        <v>151</v>
      </c>
    </row>
    <row r="9" spans="1:6" x14ac:dyDescent="0.35">
      <c r="A9" t="s">
        <v>168</v>
      </c>
      <c r="B9" s="8">
        <v>1.5</v>
      </c>
      <c r="C9" t="s">
        <v>5</v>
      </c>
      <c r="D9" t="s">
        <v>151</v>
      </c>
    </row>
    <row r="10" spans="1:6" x14ac:dyDescent="0.35">
      <c r="A10" t="s">
        <v>167</v>
      </c>
      <c r="B10" s="8">
        <v>1</v>
      </c>
      <c r="C10" t="s">
        <v>5</v>
      </c>
      <c r="D10" t="s">
        <v>151</v>
      </c>
    </row>
    <row r="12" spans="1:6" x14ac:dyDescent="0.35">
      <c r="A12" s="17" t="s">
        <v>227</v>
      </c>
    </row>
    <row r="13" spans="1:6" x14ac:dyDescent="0.35">
      <c r="A13" t="s">
        <v>162</v>
      </c>
      <c r="C13" t="s">
        <v>121</v>
      </c>
    </row>
    <row r="14" spans="1:6" x14ac:dyDescent="0.35">
      <c r="A14" t="s">
        <v>161</v>
      </c>
      <c r="C14" t="s">
        <v>121</v>
      </c>
    </row>
    <row r="15" spans="1:6" x14ac:dyDescent="0.35">
      <c r="A15" t="s">
        <v>160</v>
      </c>
      <c r="B15" s="8">
        <v>235</v>
      </c>
      <c r="C15" t="s">
        <v>12</v>
      </c>
    </row>
    <row r="17" spans="1:6" x14ac:dyDescent="0.35">
      <c r="A17" s="17" t="s">
        <v>166</v>
      </c>
    </row>
    <row r="18" spans="1:6" x14ac:dyDescent="0.35">
      <c r="A18" t="s">
        <v>165</v>
      </c>
      <c r="B18" s="8" t="s">
        <v>164</v>
      </c>
      <c r="F18" t="s">
        <v>163</v>
      </c>
    </row>
    <row r="19" spans="1:6" x14ac:dyDescent="0.35">
      <c r="A19" t="s">
        <v>162</v>
      </c>
      <c r="B19" s="8">
        <v>11.69</v>
      </c>
      <c r="C19" t="s">
        <v>121</v>
      </c>
    </row>
    <row r="20" spans="1:6" x14ac:dyDescent="0.35">
      <c r="A20" t="s">
        <v>161</v>
      </c>
      <c r="B20" s="8">
        <v>0.31</v>
      </c>
      <c r="C20" t="s">
        <v>121</v>
      </c>
    </row>
    <row r="21" spans="1:6" x14ac:dyDescent="0.35">
      <c r="A21" t="s">
        <v>160</v>
      </c>
      <c r="B21" s="8">
        <v>235</v>
      </c>
      <c r="C21" t="s">
        <v>12</v>
      </c>
    </row>
    <row r="23" spans="1:6" x14ac:dyDescent="0.35">
      <c r="A23" t="s">
        <v>159</v>
      </c>
      <c r="B23" s="8">
        <v>0.55000000000000004</v>
      </c>
    </row>
    <row r="24" spans="1:6" x14ac:dyDescent="0.35">
      <c r="A24" t="s">
        <v>158</v>
      </c>
      <c r="B24" s="8">
        <v>0.35</v>
      </c>
    </row>
    <row r="25" spans="1:6" x14ac:dyDescent="0.35">
      <c r="A25" t="s">
        <v>228</v>
      </c>
      <c r="B25" s="8">
        <v>5</v>
      </c>
      <c r="C25" t="s">
        <v>157</v>
      </c>
    </row>
    <row r="26" spans="1:6" x14ac:dyDescent="0.35">
      <c r="A26" t="s">
        <v>156</v>
      </c>
      <c r="B26" s="18">
        <v>3.0000000000000001E-3</v>
      </c>
    </row>
    <row r="27" spans="1:6" x14ac:dyDescent="0.35">
      <c r="A27" t="s">
        <v>155</v>
      </c>
      <c r="B27" s="8">
        <v>220</v>
      </c>
      <c r="C27" t="s">
        <v>53</v>
      </c>
    </row>
    <row r="29" spans="1:6" x14ac:dyDescent="0.35">
      <c r="A29" s="17" t="s">
        <v>154</v>
      </c>
    </row>
    <row r="30" spans="1:6" x14ac:dyDescent="0.35">
      <c r="A30" t="s">
        <v>153</v>
      </c>
      <c r="B30" s="8">
        <v>50</v>
      </c>
      <c r="C30" t="s">
        <v>152</v>
      </c>
      <c r="D30" t="s">
        <v>151</v>
      </c>
    </row>
    <row r="31" spans="1:6" x14ac:dyDescent="0.35">
      <c r="A31" t="s">
        <v>150</v>
      </c>
      <c r="B31" s="8" t="s">
        <v>149</v>
      </c>
    </row>
    <row r="32" spans="1:6" x14ac:dyDescent="0.35">
      <c r="A32" t="s">
        <v>148</v>
      </c>
      <c r="B32" s="8">
        <v>1.1000000000000001</v>
      </c>
      <c r="C32" t="s">
        <v>53</v>
      </c>
    </row>
    <row r="33" spans="1:4" x14ac:dyDescent="0.35">
      <c r="A33" t="s">
        <v>147</v>
      </c>
      <c r="B33" s="8">
        <v>0.6</v>
      </c>
    </row>
    <row r="34" spans="1:4" x14ac:dyDescent="0.35">
      <c r="A34" t="s">
        <v>146</v>
      </c>
      <c r="B34" s="8">
        <v>2</v>
      </c>
      <c r="C34" t="s">
        <v>140</v>
      </c>
      <c r="D34">
        <f>2720/2.8</f>
        <v>971.42857142857144</v>
      </c>
    </row>
    <row r="35" spans="1:4" x14ac:dyDescent="0.35">
      <c r="A35" t="s">
        <v>145</v>
      </c>
      <c r="B35" s="8" t="s">
        <v>144</v>
      </c>
    </row>
    <row r="36" spans="1:4" x14ac:dyDescent="0.35">
      <c r="A36" t="s">
        <v>143</v>
      </c>
      <c r="B36" s="8">
        <v>0.7</v>
      </c>
    </row>
    <row r="37" spans="1:4" x14ac:dyDescent="0.35">
      <c r="A37" t="s">
        <v>142</v>
      </c>
      <c r="B37" s="8">
        <v>35</v>
      </c>
      <c r="C37" t="s">
        <v>48</v>
      </c>
    </row>
    <row r="38" spans="1:4" x14ac:dyDescent="0.35">
      <c r="A38" t="s">
        <v>141</v>
      </c>
      <c r="B38" s="8">
        <v>0.6</v>
      </c>
      <c r="C38" t="s">
        <v>140</v>
      </c>
    </row>
    <row r="39" spans="1:4" x14ac:dyDescent="0.35">
      <c r="A39" t="s">
        <v>139</v>
      </c>
      <c r="B39" s="8">
        <v>253000000000</v>
      </c>
      <c r="C39" t="s">
        <v>11</v>
      </c>
    </row>
    <row r="40" spans="1:4" x14ac:dyDescent="0.35">
      <c r="A40" t="s">
        <v>138</v>
      </c>
      <c r="B40" s="8">
        <v>15000000000</v>
      </c>
      <c r="C40" t="s">
        <v>11</v>
      </c>
    </row>
    <row r="42" spans="1:4" x14ac:dyDescent="0.35">
      <c r="A42" s="17" t="s">
        <v>137</v>
      </c>
    </row>
    <row r="43" spans="1:4" x14ac:dyDescent="0.35">
      <c r="A43" t="s">
        <v>136</v>
      </c>
      <c r="B43" s="8">
        <v>1371</v>
      </c>
      <c r="C43" t="s">
        <v>135</v>
      </c>
    </row>
    <row r="44" spans="1:4" x14ac:dyDescent="0.35">
      <c r="A44" t="s">
        <v>134</v>
      </c>
      <c r="B44" s="8">
        <v>-228.6</v>
      </c>
      <c r="C44" t="s">
        <v>133</v>
      </c>
    </row>
    <row r="45" spans="1:4" x14ac:dyDescent="0.35">
      <c r="A45" t="s">
        <v>132</v>
      </c>
      <c r="B45" s="10">
        <v>5.6699999999999998E-8</v>
      </c>
      <c r="C45" t="s">
        <v>131</v>
      </c>
    </row>
    <row r="47" spans="1:4" x14ac:dyDescent="0.35">
      <c r="A47" t="s">
        <v>130</v>
      </c>
      <c r="B47" s="8">
        <v>9.81</v>
      </c>
      <c r="C47" t="s">
        <v>129</v>
      </c>
    </row>
    <row r="49" spans="1:4" x14ac:dyDescent="0.35">
      <c r="A49" s="16" t="s">
        <v>128</v>
      </c>
    </row>
    <row r="50" spans="1:4" x14ac:dyDescent="0.35">
      <c r="A50" s="16"/>
    </row>
    <row r="51" spans="1:4" x14ac:dyDescent="0.35">
      <c r="A51" t="s">
        <v>127</v>
      </c>
    </row>
    <row r="52" spans="1:4" x14ac:dyDescent="0.35">
      <c r="A52" t="s">
        <v>130</v>
      </c>
      <c r="B52" s="8">
        <v>9.81</v>
      </c>
      <c r="C52" t="s">
        <v>129</v>
      </c>
    </row>
    <row r="53" spans="1:4" x14ac:dyDescent="0.35">
      <c r="A53" t="s">
        <v>160</v>
      </c>
      <c r="B53" s="8">
        <v>235</v>
      </c>
      <c r="C53" t="s">
        <v>12</v>
      </c>
    </row>
    <row r="54" spans="1:4" x14ac:dyDescent="0.35">
      <c r="A54" t="s">
        <v>124</v>
      </c>
      <c r="B54" s="8">
        <v>9.7620000000000005</v>
      </c>
      <c r="C54" t="s">
        <v>121</v>
      </c>
      <c r="D54" t="s">
        <v>126</v>
      </c>
    </row>
    <row r="55" spans="1:4" x14ac:dyDescent="0.35">
      <c r="A55" t="s">
        <v>123</v>
      </c>
      <c r="B55" s="8">
        <v>2.8</v>
      </c>
      <c r="C55" t="s">
        <v>121</v>
      </c>
    </row>
    <row r="56" spans="1:4" x14ac:dyDescent="0.35">
      <c r="A56" t="s">
        <v>122</v>
      </c>
      <c r="B56" s="8">
        <f>B54-B55</f>
        <v>6.9620000000000006</v>
      </c>
      <c r="C56" t="s">
        <v>121</v>
      </c>
    </row>
    <row r="58" spans="1:4" x14ac:dyDescent="0.35">
      <c r="A58" t="s">
        <v>125</v>
      </c>
      <c r="B58" s="25">
        <f>B53*B52*LN(B54/B56)</f>
        <v>779.27863179233475</v>
      </c>
      <c r="C58" t="s">
        <v>13</v>
      </c>
      <c r="D58" s="9">
        <f>B58/1000</f>
        <v>0.7792786317923347</v>
      </c>
    </row>
    <row r="62" spans="1:4" x14ac:dyDescent="0.35">
      <c r="A62" s="16" t="s">
        <v>120</v>
      </c>
    </row>
    <row r="64" spans="1:4" x14ac:dyDescent="0.35">
      <c r="A64" t="s">
        <v>119</v>
      </c>
    </row>
    <row r="65" spans="1:9" x14ac:dyDescent="0.35">
      <c r="A65" t="s">
        <v>118</v>
      </c>
      <c r="B65" s="8">
        <f>10*6*10*3</f>
        <v>1800</v>
      </c>
      <c r="C65" t="s">
        <v>114</v>
      </c>
    </row>
    <row r="66" spans="1:9" x14ac:dyDescent="0.35">
      <c r="A66" t="s">
        <v>117</v>
      </c>
      <c r="B66" s="8">
        <f>B65</f>
        <v>1800</v>
      </c>
      <c r="C66" t="s">
        <v>114</v>
      </c>
    </row>
    <row r="67" spans="1:9" x14ac:dyDescent="0.35">
      <c r="A67" t="s">
        <v>116</v>
      </c>
      <c r="B67" s="8">
        <f>B66</f>
        <v>1800</v>
      </c>
      <c r="C67" t="s">
        <v>114</v>
      </c>
    </row>
    <row r="68" spans="1:9" x14ac:dyDescent="0.35">
      <c r="A68" t="s">
        <v>115</v>
      </c>
      <c r="B68" s="8">
        <f>1.4*1.4*6</f>
        <v>11.759999999999998</v>
      </c>
      <c r="C68" t="s">
        <v>114</v>
      </c>
    </row>
    <row r="70" spans="1:9" x14ac:dyDescent="0.35">
      <c r="A70" t="s">
        <v>113</v>
      </c>
      <c r="F70" t="s">
        <v>112</v>
      </c>
      <c r="G70" t="s">
        <v>111</v>
      </c>
    </row>
    <row r="71" spans="1:9" x14ac:dyDescent="0.35">
      <c r="A71" t="s">
        <v>110</v>
      </c>
      <c r="B71" s="8">
        <f>B23</f>
        <v>0.55000000000000004</v>
      </c>
      <c r="C71" t="s">
        <v>109</v>
      </c>
      <c r="F71">
        <v>0.2</v>
      </c>
      <c r="G71">
        <v>0.3</v>
      </c>
    </row>
    <row r="72" spans="1:9" x14ac:dyDescent="0.35">
      <c r="A72" t="s">
        <v>108</v>
      </c>
      <c r="B72" s="8">
        <f>B24</f>
        <v>0.35</v>
      </c>
      <c r="F72">
        <v>0.9</v>
      </c>
      <c r="G72">
        <v>0.35</v>
      </c>
    </row>
    <row r="73" spans="1:9" x14ac:dyDescent="0.35">
      <c r="A73" t="s">
        <v>59</v>
      </c>
      <c r="B73" s="8">
        <f>B71/B72</f>
        <v>1.5714285714285716</v>
      </c>
      <c r="F73" s="9">
        <f>F71/F72</f>
        <v>0.22222222222222224</v>
      </c>
      <c r="G73" s="9">
        <f>G71/G72</f>
        <v>0.85714285714285721</v>
      </c>
      <c r="H73" s="9"/>
      <c r="I73" s="9"/>
    </row>
    <row r="75" spans="1:9" x14ac:dyDescent="0.35">
      <c r="A75" t="s">
        <v>107</v>
      </c>
    </row>
    <row r="76" spans="1:9" x14ac:dyDescent="0.35">
      <c r="A76" t="s">
        <v>106</v>
      </c>
      <c r="B76" s="8">
        <v>2500000</v>
      </c>
      <c r="C76" t="s">
        <v>105</v>
      </c>
    </row>
    <row r="77" spans="1:9" x14ac:dyDescent="0.35">
      <c r="A77" t="s">
        <v>104</v>
      </c>
      <c r="B77" s="8">
        <v>4.2</v>
      </c>
      <c r="C77" t="s">
        <v>103</v>
      </c>
    </row>
    <row r="78" spans="1:9" x14ac:dyDescent="0.35">
      <c r="A78" t="s">
        <v>102</v>
      </c>
      <c r="B78" s="8">
        <f>B77*B76</f>
        <v>10500000</v>
      </c>
      <c r="C78" t="s">
        <v>101</v>
      </c>
    </row>
    <row r="79" spans="1:9" x14ac:dyDescent="0.35">
      <c r="A79" t="s">
        <v>100</v>
      </c>
      <c r="B79" s="8">
        <f>24*60*60</f>
        <v>86400</v>
      </c>
      <c r="C79" t="s">
        <v>99</v>
      </c>
    </row>
    <row r="80" spans="1:9" x14ac:dyDescent="0.35">
      <c r="A80" t="s">
        <v>98</v>
      </c>
      <c r="B80" s="8">
        <f>B78/B79</f>
        <v>121.52777777777777</v>
      </c>
      <c r="C80" t="s">
        <v>88</v>
      </c>
    </row>
    <row r="81" spans="1:5" x14ac:dyDescent="0.35">
      <c r="A81" t="s">
        <v>97</v>
      </c>
      <c r="B81" s="8">
        <v>0</v>
      </c>
    </row>
    <row r="82" spans="1:5" x14ac:dyDescent="0.35">
      <c r="A82" t="s">
        <v>96</v>
      </c>
      <c r="B82" s="8">
        <f>B81*B80</f>
        <v>0</v>
      </c>
      <c r="C82" t="s">
        <v>88</v>
      </c>
    </row>
    <row r="84" spans="1:5" x14ac:dyDescent="0.35">
      <c r="A84" t="s">
        <v>95</v>
      </c>
    </row>
    <row r="85" spans="1:5" x14ac:dyDescent="0.35">
      <c r="A85" t="s">
        <v>94</v>
      </c>
    </row>
    <row r="86" spans="1:5" x14ac:dyDescent="0.35">
      <c r="A86" t="s">
        <v>93</v>
      </c>
      <c r="B86" s="15">
        <v>1</v>
      </c>
    </row>
    <row r="87" spans="1:5" x14ac:dyDescent="0.35">
      <c r="A87" t="s">
        <v>92</v>
      </c>
      <c r="B87" s="8">
        <v>220</v>
      </c>
      <c r="C87" t="s">
        <v>88</v>
      </c>
    </row>
    <row r="88" spans="1:5" x14ac:dyDescent="0.35">
      <c r="A88" t="s">
        <v>91</v>
      </c>
      <c r="B88" s="8">
        <f>B87/B86</f>
        <v>220</v>
      </c>
      <c r="C88" t="s">
        <v>88</v>
      </c>
    </row>
    <row r="89" spans="1:5" x14ac:dyDescent="0.35">
      <c r="A89" t="s">
        <v>90</v>
      </c>
      <c r="B89" s="8">
        <v>1</v>
      </c>
    </row>
    <row r="90" spans="1:5" x14ac:dyDescent="0.35">
      <c r="A90" t="s">
        <v>89</v>
      </c>
      <c r="B90" s="8">
        <f>B89*B88</f>
        <v>220</v>
      </c>
      <c r="C90" t="s">
        <v>88</v>
      </c>
    </row>
    <row r="91" spans="1:5" x14ac:dyDescent="0.35">
      <c r="A91" t="s">
        <v>54</v>
      </c>
      <c r="B91" s="8">
        <f>B90+B82</f>
        <v>220</v>
      </c>
      <c r="C91" t="s">
        <v>88</v>
      </c>
    </row>
    <row r="92" spans="1:5" x14ac:dyDescent="0.35">
      <c r="D92">
        <f>149597871*1000</f>
        <v>149597871000</v>
      </c>
    </row>
    <row r="93" spans="1:5" x14ac:dyDescent="0.35">
      <c r="A93" t="s">
        <v>87</v>
      </c>
    </row>
    <row r="94" spans="1:5" x14ac:dyDescent="0.35">
      <c r="A94" t="s">
        <v>86</v>
      </c>
      <c r="B94" s="11">
        <f>B43</f>
        <v>1371</v>
      </c>
      <c r="C94" t="s">
        <v>81</v>
      </c>
      <c r="D94" t="s">
        <v>85</v>
      </c>
      <c r="E94" t="s">
        <v>5</v>
      </c>
    </row>
    <row r="95" spans="1:5" x14ac:dyDescent="0.35">
      <c r="A95" t="s">
        <v>84</v>
      </c>
      <c r="B95" s="10">
        <f>D95*E95</f>
        <v>225000000000</v>
      </c>
      <c r="C95" t="s">
        <v>11</v>
      </c>
      <c r="D95" s="14">
        <v>150000000000</v>
      </c>
      <c r="E95">
        <v>1.5</v>
      </c>
    </row>
    <row r="96" spans="1:5" x14ac:dyDescent="0.35">
      <c r="A96" t="s">
        <v>83</v>
      </c>
      <c r="B96" s="10">
        <v>3.856E+26</v>
      </c>
      <c r="C96" t="s">
        <v>53</v>
      </c>
      <c r="D96" t="s">
        <v>80</v>
      </c>
    </row>
    <row r="97" spans="1:10" x14ac:dyDescent="0.35">
      <c r="A97" t="s">
        <v>82</v>
      </c>
      <c r="B97" s="8">
        <f>B96/(4*PI()*POWER(B95,2))</f>
        <v>606.12489932083793</v>
      </c>
      <c r="C97" t="s">
        <v>81</v>
      </c>
      <c r="D97" t="s">
        <v>80</v>
      </c>
    </row>
    <row r="100" spans="1:10" x14ac:dyDescent="0.35">
      <c r="A100" t="s">
        <v>79</v>
      </c>
    </row>
    <row r="101" spans="1:10" x14ac:dyDescent="0.35">
      <c r="A101" t="s">
        <v>78</v>
      </c>
      <c r="B101" s="13">
        <f>B26</f>
        <v>3.0000000000000001E-3</v>
      </c>
    </row>
    <row r="102" spans="1:10" x14ac:dyDescent="0.35">
      <c r="A102" t="s">
        <v>77</v>
      </c>
      <c r="B102" s="8">
        <f>B7</f>
        <v>0.25</v>
      </c>
    </row>
    <row r="103" spans="1:10" x14ac:dyDescent="0.35">
      <c r="A103" t="s">
        <v>76</v>
      </c>
      <c r="B103" s="12">
        <f>B102*B101*B97</f>
        <v>0.45459367449062843</v>
      </c>
    </row>
    <row r="106" spans="1:10" x14ac:dyDescent="0.35">
      <c r="A106" t="s">
        <v>75</v>
      </c>
    </row>
    <row r="107" spans="1:10" x14ac:dyDescent="0.35">
      <c r="A107" t="s">
        <v>74</v>
      </c>
      <c r="B107" s="11">
        <v>0</v>
      </c>
      <c r="C107" t="s">
        <v>48</v>
      </c>
    </row>
    <row r="108" spans="1:10" x14ac:dyDescent="0.35">
      <c r="A108" t="s">
        <v>73</v>
      </c>
      <c r="B108" s="8">
        <v>0</v>
      </c>
    </row>
    <row r="110" spans="1:10" x14ac:dyDescent="0.35">
      <c r="A110" t="s">
        <v>72</v>
      </c>
    </row>
    <row r="111" spans="1:10" x14ac:dyDescent="0.35">
      <c r="A111" t="s">
        <v>71</v>
      </c>
      <c r="B111" s="8">
        <f>1000*B8</f>
        <v>1000</v>
      </c>
      <c r="C111" t="s">
        <v>11</v>
      </c>
      <c r="J111" t="s">
        <v>70</v>
      </c>
    </row>
    <row r="112" spans="1:10" x14ac:dyDescent="0.35">
      <c r="A112" t="s">
        <v>69</v>
      </c>
      <c r="B112" s="8">
        <f>1000*B25</f>
        <v>5000</v>
      </c>
      <c r="C112" t="s">
        <v>11</v>
      </c>
    </row>
    <row r="113" spans="1:12" x14ac:dyDescent="0.35">
      <c r="A113" t="s">
        <v>68</v>
      </c>
      <c r="B113" s="8">
        <v>100</v>
      </c>
      <c r="C113" t="s">
        <v>66</v>
      </c>
      <c r="D113">
        <v>225</v>
      </c>
    </row>
    <row r="114" spans="1:12" x14ac:dyDescent="0.35">
      <c r="A114" t="s">
        <v>67</v>
      </c>
      <c r="B114" s="8">
        <f>B113*POWER(B111/B112,2)</f>
        <v>4.0000000000000009</v>
      </c>
      <c r="C114" t="s">
        <v>66</v>
      </c>
      <c r="J114" t="s">
        <v>65</v>
      </c>
      <c r="L114">
        <v>50</v>
      </c>
    </row>
    <row r="115" spans="1:12" x14ac:dyDescent="0.35">
      <c r="J115" t="s">
        <v>64</v>
      </c>
      <c r="L115">
        <v>119</v>
      </c>
    </row>
    <row r="117" spans="1:12" x14ac:dyDescent="0.35">
      <c r="A117" t="s">
        <v>63</v>
      </c>
    </row>
    <row r="118" spans="1:12" x14ac:dyDescent="0.35">
      <c r="A118" t="s">
        <v>62</v>
      </c>
      <c r="B118" s="8">
        <f>(B67*B114)/(B68*B45)</f>
        <v>10797969981.643456</v>
      </c>
    </row>
    <row r="119" spans="1:12" x14ac:dyDescent="0.35">
      <c r="A119" t="s">
        <v>61</v>
      </c>
      <c r="B119" s="8">
        <f>B91/(B68*B45)</f>
        <v>329937971.66132772</v>
      </c>
    </row>
    <row r="120" spans="1:12" x14ac:dyDescent="0.35">
      <c r="A120" t="s">
        <v>60</v>
      </c>
      <c r="B120" s="8">
        <f>((B65*B97)+(B66*B103))/(B68*B45)</f>
        <v>1637456789211.0156</v>
      </c>
    </row>
    <row r="121" spans="1:12" x14ac:dyDescent="0.35">
      <c r="A121" t="s">
        <v>59</v>
      </c>
      <c r="B121" s="8">
        <f>B73</f>
        <v>1.5714285714285716</v>
      </c>
    </row>
    <row r="122" spans="1:12" x14ac:dyDescent="0.35">
      <c r="A122" t="s">
        <v>58</v>
      </c>
      <c r="B122" s="10">
        <f>B118+B119+B120*B121</f>
        <v>2584274290999.1865</v>
      </c>
    </row>
    <row r="123" spans="1:12" x14ac:dyDescent="0.35">
      <c r="A123" t="s">
        <v>49</v>
      </c>
      <c r="B123" s="8">
        <f>POWER(B122,0.25)</f>
        <v>1267.8989780246079</v>
      </c>
    </row>
    <row r="125" spans="1:12" x14ac:dyDescent="0.35">
      <c r="A125" t="s">
        <v>57</v>
      </c>
      <c r="B125" s="8">
        <f>B65*B97*B71</f>
        <v>600063.65032762964</v>
      </c>
      <c r="C125" t="s">
        <v>53</v>
      </c>
    </row>
    <row r="126" spans="1:12" x14ac:dyDescent="0.35">
      <c r="A126" t="s">
        <v>56</v>
      </c>
      <c r="B126" s="8">
        <f>B103*B66*B71</f>
        <v>450.0477377457222</v>
      </c>
      <c r="C126" t="s">
        <v>53</v>
      </c>
    </row>
    <row r="127" spans="1:12" x14ac:dyDescent="0.35">
      <c r="A127" t="s">
        <v>55</v>
      </c>
      <c r="B127" s="8">
        <f>B114*B67*B72</f>
        <v>2520.0000000000005</v>
      </c>
      <c r="C127" t="s">
        <v>53</v>
      </c>
    </row>
    <row r="128" spans="1:12" x14ac:dyDescent="0.35">
      <c r="A128" t="s">
        <v>54</v>
      </c>
      <c r="B128" s="8">
        <f>B91</f>
        <v>220</v>
      </c>
      <c r="C128" t="s">
        <v>53</v>
      </c>
    </row>
    <row r="129" spans="1:5" x14ac:dyDescent="0.35">
      <c r="A129" t="s">
        <v>52</v>
      </c>
      <c r="B129" s="10">
        <f>B45*B68*B72</f>
        <v>2.3337719999999994E-7</v>
      </c>
    </row>
    <row r="130" spans="1:5" x14ac:dyDescent="0.35">
      <c r="A130" t="s">
        <v>51</v>
      </c>
      <c r="B130" s="8">
        <f>SUM(B125:B128)</f>
        <v>603253.69806537533</v>
      </c>
    </row>
    <row r="131" spans="1:5" x14ac:dyDescent="0.35">
      <c r="A131" t="s">
        <v>50</v>
      </c>
      <c r="B131" s="10">
        <f>B130/B129</f>
        <v>2584887032946.5581</v>
      </c>
      <c r="E131">
        <v>273.14999999999998</v>
      </c>
    </row>
    <row r="132" spans="1:5" x14ac:dyDescent="0.35">
      <c r="A132" t="s">
        <v>49</v>
      </c>
      <c r="B132" s="8">
        <f>POWER(B131,0.25)</f>
        <v>1267.9741273445034</v>
      </c>
      <c r="C132" t="s">
        <v>48</v>
      </c>
      <c r="D132" s="9">
        <f>B132-E131</f>
        <v>994.82412734450338</v>
      </c>
      <c r="E132">
        <v>273.14999999999998</v>
      </c>
    </row>
    <row r="133" spans="1:5" x14ac:dyDescent="0.35">
      <c r="B133" s="8">
        <v>248</v>
      </c>
      <c r="D133" s="9">
        <f>B133-E132</f>
        <v>-25.149999999999977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0021B-C670-4B09-AD11-6AEC7CCBBA5B}">
  <dimension ref="A1:M39"/>
  <sheetViews>
    <sheetView workbookViewId="0">
      <selection sqref="A1:D27"/>
    </sheetView>
  </sheetViews>
  <sheetFormatPr defaultRowHeight="14.5" x14ac:dyDescent="0.35"/>
  <cols>
    <col min="1" max="1" width="59.6328125" bestFit="1" customWidth="1"/>
    <col min="2" max="3" width="17.6328125" customWidth="1"/>
    <col min="4" max="4" width="12.08984375" style="19" customWidth="1"/>
    <col min="10" max="10" width="10.7265625" bestFit="1" customWidth="1"/>
  </cols>
  <sheetData>
    <row r="1" spans="1:6" x14ac:dyDescent="0.35">
      <c r="A1" s="17" t="s">
        <v>395</v>
      </c>
      <c r="B1" s="5" t="s">
        <v>396</v>
      </c>
      <c r="C1" s="5" t="s">
        <v>397</v>
      </c>
      <c r="D1" s="5" t="s">
        <v>213</v>
      </c>
    </row>
    <row r="2" spans="1:6" x14ac:dyDescent="0.35">
      <c r="A2" t="s">
        <v>212</v>
      </c>
      <c r="B2" s="14">
        <v>299792458</v>
      </c>
      <c r="C2" s="14">
        <v>299792458</v>
      </c>
      <c r="D2" s="19" t="s">
        <v>13</v>
      </c>
    </row>
    <row r="3" spans="1:6" x14ac:dyDescent="0.35">
      <c r="A3" t="s">
        <v>211</v>
      </c>
      <c r="B3" s="23">
        <v>32000000000</v>
      </c>
      <c r="C3" s="23">
        <v>32000000000</v>
      </c>
      <c r="D3" s="19" t="s">
        <v>210</v>
      </c>
      <c r="F3" t="s">
        <v>209</v>
      </c>
    </row>
    <row r="4" spans="1:6" x14ac:dyDescent="0.35">
      <c r="A4" t="s">
        <v>208</v>
      </c>
      <c r="B4" s="23">
        <v>34</v>
      </c>
      <c r="C4" s="23">
        <v>0.5</v>
      </c>
      <c r="D4" s="19" t="s">
        <v>206</v>
      </c>
    </row>
    <row r="5" spans="1:6" x14ac:dyDescent="0.35">
      <c r="A5" s="21" t="s">
        <v>207</v>
      </c>
      <c r="B5" s="14">
        <f>B2/B3</f>
        <v>9.3685143124999995E-3</v>
      </c>
      <c r="C5" s="14">
        <f>C2/C3</f>
        <v>9.3685143124999995E-3</v>
      </c>
      <c r="D5" s="19" t="s">
        <v>206</v>
      </c>
    </row>
    <row r="6" spans="1:6" x14ac:dyDescent="0.35">
      <c r="A6" s="17" t="s">
        <v>205</v>
      </c>
      <c r="B6" s="14">
        <f>70*(B5/B4)</f>
        <v>1.9288117702205884E-2</v>
      </c>
      <c r="C6" s="14">
        <f>70*(C5/C4)</f>
        <v>1.31159200375</v>
      </c>
      <c r="D6" s="19" t="s">
        <v>204</v>
      </c>
    </row>
    <row r="7" spans="1:6" x14ac:dyDescent="0.35">
      <c r="B7" s="14"/>
      <c r="C7" s="14"/>
    </row>
    <row r="8" spans="1:6" x14ac:dyDescent="0.35">
      <c r="A8" t="s">
        <v>203</v>
      </c>
      <c r="B8" s="14">
        <f>PI()*POWER((B4/2),2)</f>
        <v>907.9202768874502</v>
      </c>
      <c r="C8" s="14">
        <f>PI()*POWER((C4/2),2)</f>
        <v>0.19634954084936207</v>
      </c>
      <c r="D8" s="20" t="s">
        <v>114</v>
      </c>
    </row>
    <row r="9" spans="1:6" x14ac:dyDescent="0.35">
      <c r="A9" t="s">
        <v>202</v>
      </c>
      <c r="B9" s="14">
        <f>(4*PI()*B8)/POWER(B5,2)</f>
        <v>129991851.71409485</v>
      </c>
      <c r="C9" s="14">
        <f>(4*PI()*C8)/POWER(C5,2)</f>
        <v>28112.424678653733</v>
      </c>
    </row>
    <row r="10" spans="1:6" x14ac:dyDescent="0.35">
      <c r="A10" t="s">
        <v>198</v>
      </c>
      <c r="B10" s="23">
        <v>0.7</v>
      </c>
      <c r="C10" s="23">
        <v>0.6</v>
      </c>
    </row>
    <row r="11" spans="1:6" x14ac:dyDescent="0.35">
      <c r="A11" t="s">
        <v>201</v>
      </c>
      <c r="B11" s="14">
        <f>B9*B10</f>
        <v>90994296.199866384</v>
      </c>
      <c r="C11" s="14">
        <f>C9*C10</f>
        <v>16867.45480719224</v>
      </c>
    </row>
    <row r="12" spans="1:6" x14ac:dyDescent="0.35">
      <c r="A12" s="17" t="s">
        <v>200</v>
      </c>
      <c r="B12" s="14">
        <f>10*LOG(B11)</f>
        <v>79.590141702709914</v>
      </c>
      <c r="C12" s="14">
        <f>10*LOG(C11)</f>
        <v>42.270495552279058</v>
      </c>
      <c r="D12" s="19" t="s">
        <v>140</v>
      </c>
    </row>
    <row r="13" spans="1:6" x14ac:dyDescent="0.35">
      <c r="B13" s="14"/>
      <c r="C13" s="14"/>
    </row>
    <row r="14" spans="1:6" x14ac:dyDescent="0.35">
      <c r="A14" t="s">
        <v>199</v>
      </c>
      <c r="B14" s="14">
        <f>(POWER(B5,2)*B9)/4*PI()</f>
        <v>8960.813960606647</v>
      </c>
      <c r="C14" s="14">
        <f>(POWER(C5,2)*C9)/4*PI()</f>
        <v>1.9378922925187385</v>
      </c>
    </row>
    <row r="15" spans="1:6" x14ac:dyDescent="0.35">
      <c r="A15" t="s">
        <v>198</v>
      </c>
      <c r="B15" s="23">
        <v>0.7</v>
      </c>
      <c r="C15" s="23">
        <v>0.6</v>
      </c>
    </row>
    <row r="16" spans="1:6" x14ac:dyDescent="0.35">
      <c r="A16" t="s">
        <v>197</v>
      </c>
      <c r="B16" s="14">
        <f>B14*B15</f>
        <v>6272.5697724246529</v>
      </c>
      <c r="C16" s="14">
        <f>C14*C15</f>
        <v>1.1627353755112431</v>
      </c>
    </row>
    <row r="17" spans="1:13" x14ac:dyDescent="0.35">
      <c r="A17" s="17" t="s">
        <v>196</v>
      </c>
      <c r="B17" s="14">
        <f>10*LOG(B16)</f>
        <v>37.974455008532061</v>
      </c>
      <c r="C17" s="14">
        <f>10*LOG(C16)</f>
        <v>0.65480885810120348</v>
      </c>
      <c r="D17" s="19" t="s">
        <v>140</v>
      </c>
    </row>
    <row r="18" spans="1:13" x14ac:dyDescent="0.35">
      <c r="A18" s="17"/>
      <c r="B18" s="14"/>
      <c r="C18" s="14"/>
    </row>
    <row r="19" spans="1:13" x14ac:dyDescent="0.35">
      <c r="A19" s="17" t="s">
        <v>195</v>
      </c>
      <c r="B19" s="14">
        <f>B17/B12</f>
        <v>0.47712510866454572</v>
      </c>
      <c r="C19" s="14">
        <f>C17/C12</f>
        <v>1.549091983772352E-2</v>
      </c>
    </row>
    <row r="20" spans="1:13" x14ac:dyDescent="0.35">
      <c r="B20" s="14"/>
      <c r="C20" s="14"/>
      <c r="G20">
        <f>149597871*1000</f>
        <v>149597871000</v>
      </c>
      <c r="J20" s="132">
        <v>261000000</v>
      </c>
      <c r="K20" t="s">
        <v>157</v>
      </c>
    </row>
    <row r="21" spans="1:13" x14ac:dyDescent="0.35">
      <c r="A21" t="s">
        <v>194</v>
      </c>
      <c r="B21" s="14">
        <f>C21</f>
        <v>26100000000</v>
      </c>
      <c r="C21" s="14">
        <f>J20*100</f>
        <v>26100000000</v>
      </c>
      <c r="D21" s="19" t="s">
        <v>11</v>
      </c>
      <c r="G21" t="s">
        <v>85</v>
      </c>
      <c r="H21" t="s">
        <v>5</v>
      </c>
    </row>
    <row r="22" spans="1:13" x14ac:dyDescent="0.35">
      <c r="A22" t="s">
        <v>193</v>
      </c>
      <c r="B22" s="14">
        <f>POWER((4*PI()*B21)/B5,2)</f>
        <v>1.2256297481821255E+27</v>
      </c>
      <c r="C22" s="14">
        <f>POWER((4*PI()*C21)/C5,2)</f>
        <v>1.2256297481821255E+27</v>
      </c>
      <c r="G22" s="14">
        <v>150000000000</v>
      </c>
      <c r="H22">
        <v>0.1</v>
      </c>
      <c r="J22" t="s">
        <v>192</v>
      </c>
      <c r="M22" t="s">
        <v>191</v>
      </c>
    </row>
    <row r="23" spans="1:13" x14ac:dyDescent="0.35">
      <c r="A23" s="17" t="s">
        <v>190</v>
      </c>
      <c r="B23" s="14">
        <f>10*LOG(B22)</f>
        <v>270.88359293504715</v>
      </c>
      <c r="C23" s="14">
        <f>10*LOG(C22)</f>
        <v>270.88359293504715</v>
      </c>
      <c r="D23" s="19" t="s">
        <v>140</v>
      </c>
      <c r="J23" t="s">
        <v>189</v>
      </c>
      <c r="M23" t="s">
        <v>188</v>
      </c>
    </row>
    <row r="24" spans="1:13" x14ac:dyDescent="0.35">
      <c r="B24" s="14"/>
      <c r="C24" s="14"/>
    </row>
    <row r="25" spans="1:13" x14ac:dyDescent="0.35">
      <c r="A25" s="17" t="s">
        <v>187</v>
      </c>
      <c r="B25" s="23">
        <v>0.6</v>
      </c>
      <c r="C25" s="23">
        <v>0.6</v>
      </c>
      <c r="D25" s="19" t="s">
        <v>140</v>
      </c>
      <c r="F25" t="s">
        <v>186</v>
      </c>
    </row>
    <row r="26" spans="1:13" x14ac:dyDescent="0.35">
      <c r="A26" s="17"/>
      <c r="B26" s="14"/>
      <c r="C26" s="14"/>
    </row>
    <row r="27" spans="1:13" x14ac:dyDescent="0.35">
      <c r="A27" s="17" t="s">
        <v>185</v>
      </c>
      <c r="B27" s="23">
        <v>0</v>
      </c>
      <c r="C27" s="23">
        <v>2</v>
      </c>
      <c r="D27" s="19" t="s">
        <v>140</v>
      </c>
    </row>
    <row r="28" spans="1:13" x14ac:dyDescent="0.35">
      <c r="B28" s="14"/>
      <c r="C28" s="14"/>
    </row>
    <row r="29" spans="1:13" x14ac:dyDescent="0.35">
      <c r="A29" s="17" t="s">
        <v>184</v>
      </c>
      <c r="B29" s="14"/>
      <c r="C29" s="14"/>
    </row>
    <row r="30" spans="1:13" x14ac:dyDescent="0.35">
      <c r="B30" s="14"/>
      <c r="C30" s="14"/>
    </row>
    <row r="31" spans="1:13" x14ac:dyDescent="0.35">
      <c r="A31" t="s">
        <v>183</v>
      </c>
      <c r="B31" s="14"/>
      <c r="C31" s="9">
        <v>-228.59916720000001</v>
      </c>
      <c r="D31" s="19" t="s">
        <v>182</v>
      </c>
    </row>
    <row r="32" spans="1:13" x14ac:dyDescent="0.35">
      <c r="A32" t="s">
        <v>181</v>
      </c>
      <c r="B32" s="14"/>
      <c r="C32" s="9">
        <v>35</v>
      </c>
      <c r="D32" s="19" t="s">
        <v>48</v>
      </c>
    </row>
    <row r="33" spans="1:6" x14ac:dyDescent="0.35">
      <c r="A33" t="s">
        <v>181</v>
      </c>
      <c r="B33" s="14"/>
      <c r="C33" s="9">
        <f>10*LOG(C32)</f>
        <v>15.440680443502757</v>
      </c>
      <c r="D33" s="19" t="s">
        <v>180</v>
      </c>
    </row>
    <row r="34" spans="1:6" x14ac:dyDescent="0.35">
      <c r="A34" t="s">
        <v>179</v>
      </c>
      <c r="B34" s="14"/>
      <c r="C34" s="9">
        <v>7.5</v>
      </c>
      <c r="D34" s="19" t="s">
        <v>53</v>
      </c>
    </row>
    <row r="35" spans="1:6" x14ac:dyDescent="0.35">
      <c r="A35" t="s">
        <v>179</v>
      </c>
      <c r="B35" s="14"/>
      <c r="C35" s="9">
        <f>10*LOG10(C34)</f>
        <v>8.7506126339170009</v>
      </c>
      <c r="D35" s="19" t="s">
        <v>178</v>
      </c>
    </row>
    <row r="36" spans="1:6" x14ac:dyDescent="0.35">
      <c r="A36" t="s">
        <v>177</v>
      </c>
      <c r="B36" s="14"/>
      <c r="C36" s="9">
        <f>C35+C12-C27-C23-C25+B12-C33-C31</f>
        <v>70.2861437103561</v>
      </c>
      <c r="D36" s="19" t="s">
        <v>176</v>
      </c>
    </row>
    <row r="37" spans="1:6" x14ac:dyDescent="0.35">
      <c r="B37" s="14"/>
      <c r="C37" s="9">
        <v>70</v>
      </c>
      <c r="E37" t="s">
        <v>175</v>
      </c>
    </row>
    <row r="38" spans="1:6" x14ac:dyDescent="0.35">
      <c r="B38" s="14"/>
      <c r="C38" s="9">
        <f>POWER(10,C36/10)</f>
        <v>10681060.402064094</v>
      </c>
      <c r="E38" s="9">
        <f>C38/1000000</f>
        <v>10.681060402064094</v>
      </c>
      <c r="F38" t="s">
        <v>174</v>
      </c>
    </row>
    <row r="39" spans="1:6" x14ac:dyDescent="0.35">
      <c r="B39" s="14"/>
      <c r="C39" s="9">
        <f>POWER(10,C37/10)</f>
        <v>10000000</v>
      </c>
      <c r="E39" s="9">
        <f>C39/1000000</f>
        <v>10</v>
      </c>
      <c r="F39" t="s">
        <v>174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A5270-054F-4D94-BE55-7187D3941419}">
  <dimension ref="A1:AP48"/>
  <sheetViews>
    <sheetView tabSelected="1" topLeftCell="A9" zoomScale="110" zoomScaleNormal="110" workbookViewId="0">
      <selection activeCell="B25" sqref="B25"/>
    </sheetView>
  </sheetViews>
  <sheetFormatPr defaultRowHeight="14.5" x14ac:dyDescent="0.35"/>
  <cols>
    <col min="1" max="1" width="8.7265625" style="26"/>
    <col min="2" max="2" width="46.453125" style="26" customWidth="1"/>
    <col min="3" max="3" width="36.08984375" style="26" bestFit="1" customWidth="1"/>
    <col min="4" max="4" width="27.453125" style="26" customWidth="1"/>
    <col min="5" max="5" width="17.1796875" style="26" customWidth="1"/>
    <col min="6" max="14" width="9" style="26" customWidth="1"/>
    <col min="15" max="19" width="18.1796875" style="26" customWidth="1"/>
    <col min="20" max="22" width="10.81640625" style="26" customWidth="1"/>
    <col min="23" max="25" width="14.6328125" style="26" customWidth="1"/>
    <col min="26" max="26" width="21.7265625" style="26" bestFit="1" customWidth="1"/>
    <col min="27" max="27" width="17.453125" style="26" bestFit="1" customWidth="1"/>
    <col min="28" max="28" width="10.6328125" style="26" bestFit="1" customWidth="1"/>
    <col min="29" max="29" width="22.90625" style="26" customWidth="1"/>
    <col min="30" max="30" width="40.26953125" style="26" customWidth="1"/>
    <col min="31" max="31" width="58.453125" style="26" customWidth="1"/>
    <col min="32" max="32" width="8.7265625" style="26"/>
    <col min="33" max="33" width="52.7265625" style="26" bestFit="1" customWidth="1"/>
    <col min="34" max="38" width="11.1796875" style="26" customWidth="1"/>
    <col min="39" max="16384" width="8.7265625" style="26"/>
  </cols>
  <sheetData>
    <row r="1" spans="1:42" x14ac:dyDescent="0.35">
      <c r="A1" s="71" t="s">
        <v>303</v>
      </c>
    </row>
    <row r="2" spans="1:42" x14ac:dyDescent="0.3">
      <c r="A2" s="71"/>
      <c r="AG2" s="85" t="s">
        <v>348</v>
      </c>
    </row>
    <row r="3" spans="1:42" ht="15" thickBot="1" x14ac:dyDescent="0.35">
      <c r="A3" s="71"/>
      <c r="B3" s="26" t="s">
        <v>365</v>
      </c>
      <c r="K3" s="129" t="s">
        <v>388</v>
      </c>
      <c r="L3" s="129"/>
      <c r="M3" s="130">
        <v>3600</v>
      </c>
      <c r="N3" s="131" t="s">
        <v>121</v>
      </c>
      <c r="AH3" s="85"/>
      <c r="AI3" s="85"/>
      <c r="AJ3" s="85"/>
      <c r="AK3" s="85"/>
      <c r="AL3" s="85"/>
      <c r="AM3" s="39"/>
    </row>
    <row r="4" spans="1:42" ht="15" thickBot="1" x14ac:dyDescent="0.35">
      <c r="C4" s="133" t="s">
        <v>316</v>
      </c>
      <c r="D4" s="135"/>
      <c r="E4" s="134"/>
      <c r="F4" s="133" t="s">
        <v>306</v>
      </c>
      <c r="G4" s="135"/>
      <c r="H4" s="135"/>
      <c r="I4" s="135"/>
      <c r="J4" s="135"/>
      <c r="K4" s="133" t="s">
        <v>307</v>
      </c>
      <c r="L4" s="135"/>
      <c r="M4" s="134"/>
      <c r="N4" s="57" t="s">
        <v>308</v>
      </c>
      <c r="O4" s="133" t="s">
        <v>317</v>
      </c>
      <c r="P4" s="135"/>
      <c r="Q4" s="135"/>
      <c r="R4" s="135"/>
      <c r="S4" s="134"/>
      <c r="T4" s="133" t="s">
        <v>309</v>
      </c>
      <c r="U4" s="135"/>
      <c r="V4" s="134"/>
      <c r="W4" s="133" t="s">
        <v>310</v>
      </c>
      <c r="X4" s="135"/>
      <c r="Y4" s="134"/>
      <c r="Z4" s="57" t="s">
        <v>311</v>
      </c>
      <c r="AA4" s="57" t="s">
        <v>312</v>
      </c>
      <c r="AB4" s="57" t="s">
        <v>313</v>
      </c>
      <c r="AC4" s="57" t="s">
        <v>314</v>
      </c>
      <c r="AD4" s="133" t="s">
        <v>315</v>
      </c>
      <c r="AE4" s="134"/>
      <c r="AG4" s="122" t="s">
        <v>229</v>
      </c>
      <c r="AH4" s="122" t="s">
        <v>350</v>
      </c>
      <c r="AI4" s="122" t="s">
        <v>352</v>
      </c>
      <c r="AJ4" s="122" t="s">
        <v>354</v>
      </c>
      <c r="AK4" s="122" t="s">
        <v>383</v>
      </c>
      <c r="AL4" s="122" t="s">
        <v>355</v>
      </c>
      <c r="AM4" s="122" t="s">
        <v>384</v>
      </c>
      <c r="AO4" s="26" t="s">
        <v>386</v>
      </c>
      <c r="AP4" s="26" t="s">
        <v>387</v>
      </c>
    </row>
    <row r="5" spans="1:42" ht="26" thickBot="1" x14ac:dyDescent="0.35">
      <c r="B5" s="50" t="s">
        <v>229</v>
      </c>
      <c r="C5" s="27" t="s">
        <v>230</v>
      </c>
      <c r="D5" s="28" t="s">
        <v>245</v>
      </c>
      <c r="E5" s="29" t="s">
        <v>234</v>
      </c>
      <c r="F5" s="27" t="s">
        <v>239</v>
      </c>
      <c r="G5" s="28" t="s">
        <v>238</v>
      </c>
      <c r="H5" s="28" t="s">
        <v>373</v>
      </c>
      <c r="I5" s="28" t="s">
        <v>237</v>
      </c>
      <c r="J5" s="28" t="s">
        <v>236</v>
      </c>
      <c r="K5" s="27" t="s">
        <v>305</v>
      </c>
      <c r="L5" s="28" t="s">
        <v>283</v>
      </c>
      <c r="M5" s="29" t="s">
        <v>235</v>
      </c>
      <c r="N5" s="58" t="s">
        <v>242</v>
      </c>
      <c r="O5" s="27" t="s">
        <v>240</v>
      </c>
      <c r="P5" s="28" t="s">
        <v>241</v>
      </c>
      <c r="Q5" s="28" t="s">
        <v>251</v>
      </c>
      <c r="R5" s="28" t="s">
        <v>291</v>
      </c>
      <c r="S5" s="29" t="s">
        <v>293</v>
      </c>
      <c r="T5" s="27" t="s">
        <v>249</v>
      </c>
      <c r="U5" s="28" t="s">
        <v>250</v>
      </c>
      <c r="V5" s="29" t="s">
        <v>296</v>
      </c>
      <c r="W5" s="27" t="s">
        <v>256</v>
      </c>
      <c r="X5" s="28" t="s">
        <v>257</v>
      </c>
      <c r="Y5" s="29" t="s">
        <v>261</v>
      </c>
      <c r="Z5" s="58" t="s">
        <v>290</v>
      </c>
      <c r="AA5" s="58" t="s">
        <v>270</v>
      </c>
      <c r="AB5" s="58" t="s">
        <v>281</v>
      </c>
      <c r="AC5" s="58" t="s">
        <v>253</v>
      </c>
      <c r="AD5" s="27" t="s">
        <v>243</v>
      </c>
      <c r="AE5" s="29" t="s">
        <v>231</v>
      </c>
      <c r="AG5" s="117" t="s">
        <v>349</v>
      </c>
      <c r="AH5" s="117" t="s">
        <v>351</v>
      </c>
      <c r="AI5" s="117" t="s">
        <v>353</v>
      </c>
      <c r="AJ5" s="117" t="s">
        <v>356</v>
      </c>
      <c r="AK5" s="117" t="s">
        <v>270</v>
      </c>
      <c r="AL5" s="117" t="s">
        <v>357</v>
      </c>
      <c r="AM5" s="117" t="s">
        <v>385</v>
      </c>
    </row>
    <row r="6" spans="1:42" ht="14.5" customHeight="1" x14ac:dyDescent="0.3">
      <c r="B6" s="51" t="s">
        <v>392</v>
      </c>
      <c r="C6" s="30"/>
      <c r="D6" s="31"/>
      <c r="E6" s="32" t="s">
        <v>248</v>
      </c>
      <c r="F6" s="54">
        <v>0.09</v>
      </c>
      <c r="G6" s="41">
        <v>9.6000000000000002E-2</v>
      </c>
      <c r="H6" s="41"/>
      <c r="I6" s="41">
        <v>0.02</v>
      </c>
      <c r="J6" s="41">
        <f>F6*G6*I6</f>
        <v>1.728E-4</v>
      </c>
      <c r="K6" s="62">
        <v>50</v>
      </c>
      <c r="L6" s="45">
        <v>0</v>
      </c>
      <c r="M6" s="125">
        <f>L6+K6</f>
        <v>50</v>
      </c>
      <c r="N6" s="59" t="s">
        <v>248</v>
      </c>
      <c r="O6" s="62">
        <v>0.17799999999999999</v>
      </c>
      <c r="P6" s="45">
        <v>0.33800000000000002</v>
      </c>
      <c r="Q6" s="44" t="s">
        <v>278</v>
      </c>
      <c r="R6" s="44"/>
      <c r="S6" s="63"/>
      <c r="T6" s="68" t="s">
        <v>248</v>
      </c>
      <c r="U6" s="44" t="s">
        <v>248</v>
      </c>
      <c r="V6" s="63" t="s">
        <v>248</v>
      </c>
      <c r="W6" s="68" t="s">
        <v>248</v>
      </c>
      <c r="X6" s="44" t="s">
        <v>248</v>
      </c>
      <c r="Y6" s="63" t="s">
        <v>248</v>
      </c>
      <c r="Z6" s="59" t="s">
        <v>248</v>
      </c>
      <c r="AA6" s="59">
        <v>9</v>
      </c>
      <c r="AB6" s="59" t="s">
        <v>282</v>
      </c>
      <c r="AC6" s="82" t="s">
        <v>279</v>
      </c>
      <c r="AD6" s="30" t="s">
        <v>280</v>
      </c>
      <c r="AE6" s="40" t="s">
        <v>359</v>
      </c>
      <c r="AF6" s="39"/>
      <c r="AG6" s="85" t="str">
        <f>_xlfn.CONCAT(B6,CHAR(10),CHAR(13)," (",C6,")")</f>
        <v>Orbital Science Payload
_x000D_ ()</v>
      </c>
      <c r="AH6" s="116">
        <f>M6</f>
        <v>50</v>
      </c>
      <c r="AI6" s="117" t="str">
        <f>_xlfn.CONCAT(O6,"/",P6)</f>
        <v>0.178/0.338</v>
      </c>
      <c r="AJ6" s="118">
        <f t="shared" ref="AJ6:AJ16" si="0">J6</f>
        <v>1.728E-4</v>
      </c>
      <c r="AK6" s="119">
        <f>AA6</f>
        <v>9</v>
      </c>
      <c r="AL6" s="117" t="str">
        <f>_xlfn.CONCAT(T6,"/",U6)</f>
        <v>N/A/N/A</v>
      </c>
      <c r="AM6" s="117" t="str">
        <f>V6</f>
        <v>N/A</v>
      </c>
    </row>
    <row r="7" spans="1:42" x14ac:dyDescent="0.3">
      <c r="B7" s="52" t="s">
        <v>263</v>
      </c>
      <c r="C7" s="33" t="s">
        <v>264</v>
      </c>
      <c r="D7" s="34" t="s">
        <v>265</v>
      </c>
      <c r="E7" s="35" t="s">
        <v>265</v>
      </c>
      <c r="F7" s="55">
        <v>9.5399999999999999E-2</v>
      </c>
      <c r="G7" s="42">
        <v>9.5899999999999999E-2</v>
      </c>
      <c r="H7" s="42"/>
      <c r="I7" s="42">
        <v>6.7299999999999999E-2</v>
      </c>
      <c r="J7" s="41">
        <f>F7*G7*I7</f>
        <v>6.1571827799999999E-4</v>
      </c>
      <c r="K7" s="64">
        <v>1.1499999999999999</v>
      </c>
      <c r="L7" s="47">
        <v>0</v>
      </c>
      <c r="M7" s="126">
        <f>L7+K7</f>
        <v>1.1499999999999999</v>
      </c>
      <c r="N7" s="60" t="s">
        <v>248</v>
      </c>
      <c r="O7" s="64">
        <v>0.9</v>
      </c>
      <c r="P7" s="47">
        <v>2</v>
      </c>
      <c r="Q7" s="46" t="s">
        <v>262</v>
      </c>
      <c r="R7" s="46"/>
      <c r="S7" s="65"/>
      <c r="T7" s="69">
        <v>-45</v>
      </c>
      <c r="U7" s="46">
        <v>85</v>
      </c>
      <c r="V7" s="65" t="s">
        <v>360</v>
      </c>
      <c r="W7" s="69" t="s">
        <v>248</v>
      </c>
      <c r="X7" s="46" t="s">
        <v>248</v>
      </c>
      <c r="Y7" s="65" t="s">
        <v>248</v>
      </c>
      <c r="Z7" s="60" t="s">
        <v>248</v>
      </c>
      <c r="AA7" s="60">
        <v>9</v>
      </c>
      <c r="AB7" s="60" t="s">
        <v>248</v>
      </c>
      <c r="AC7" s="83" t="s">
        <v>266</v>
      </c>
      <c r="AD7" s="33" t="s">
        <v>267</v>
      </c>
      <c r="AE7" s="35"/>
      <c r="AG7" s="85" t="str">
        <f t="shared" ref="AG7:AG17" si="1">_xlfn.CONCAT(B7,CHAR(10),CHAR(13)," (",C7,")")</f>
        <v>Integrated Attitude Determination and Control System
_x000D_ (AAC Clyde Space)</v>
      </c>
      <c r="AH7" s="116">
        <f t="shared" ref="AH7:AH18" si="2">M7</f>
        <v>1.1499999999999999</v>
      </c>
      <c r="AI7" s="117" t="str">
        <f t="shared" ref="AI7:AI18" si="3">_xlfn.CONCAT(O7,"/",P7)</f>
        <v>0.9/2</v>
      </c>
      <c r="AJ7" s="118">
        <f t="shared" si="0"/>
        <v>6.1571827799999999E-4</v>
      </c>
      <c r="AK7" s="119">
        <f t="shared" ref="AK7:AK17" si="4">AA7</f>
        <v>9</v>
      </c>
      <c r="AL7" s="117" t="str">
        <f t="shared" ref="AL7:AL17" si="5">_xlfn.CONCAT(T7,"/",U7)</f>
        <v>-45/85</v>
      </c>
      <c r="AM7" s="117" t="str">
        <f t="shared" ref="AM7:AM17" si="6">V7</f>
        <v>45 krad</v>
      </c>
    </row>
    <row r="8" spans="1:42" x14ac:dyDescent="0.3">
      <c r="B8" s="52" t="s">
        <v>299</v>
      </c>
      <c r="C8" s="33" t="s">
        <v>264</v>
      </c>
      <c r="D8" s="34" t="s">
        <v>268</v>
      </c>
      <c r="E8" s="35" t="s">
        <v>268</v>
      </c>
      <c r="F8" s="55">
        <v>0.05</v>
      </c>
      <c r="G8" s="42">
        <v>0.03</v>
      </c>
      <c r="H8" s="42"/>
      <c r="I8" s="42">
        <v>0.01</v>
      </c>
      <c r="J8" s="41">
        <f>F8*G8*I8</f>
        <v>1.5E-5</v>
      </c>
      <c r="K8" s="64">
        <f>7/1000</f>
        <v>7.0000000000000001E-3</v>
      </c>
      <c r="L8" s="47">
        <v>0</v>
      </c>
      <c r="M8" s="126">
        <f t="shared" ref="M8:M15" si="7">L8+K8</f>
        <v>7.0000000000000001E-3</v>
      </c>
      <c r="N8" s="60" t="s">
        <v>248</v>
      </c>
      <c r="O8" s="64">
        <v>0</v>
      </c>
      <c r="P8" s="47">
        <v>0.55000000000000004</v>
      </c>
      <c r="Q8" s="46" t="s">
        <v>262</v>
      </c>
      <c r="R8" s="46"/>
      <c r="S8" s="65"/>
      <c r="T8" s="69">
        <v>-45</v>
      </c>
      <c r="U8" s="46">
        <v>85</v>
      </c>
      <c r="V8" s="65" t="s">
        <v>362</v>
      </c>
      <c r="W8" s="69" t="s">
        <v>248</v>
      </c>
      <c r="X8" s="46" t="s">
        <v>248</v>
      </c>
      <c r="Y8" s="65" t="s">
        <v>248</v>
      </c>
      <c r="Z8" s="60" t="s">
        <v>297</v>
      </c>
      <c r="AA8" s="60">
        <v>9</v>
      </c>
      <c r="AB8" s="60" t="s">
        <v>248</v>
      </c>
      <c r="AC8" s="83" t="s">
        <v>271</v>
      </c>
      <c r="AD8" s="33" t="s">
        <v>269</v>
      </c>
      <c r="AE8" s="35"/>
      <c r="AG8" s="85" t="str">
        <f t="shared" si="1"/>
        <v>Payload &amp; Mission Processor 
_x000D_ (AAC Clyde Space)</v>
      </c>
      <c r="AH8" s="116">
        <f t="shared" si="2"/>
        <v>7.0000000000000001E-3</v>
      </c>
      <c r="AI8" s="117" t="str">
        <f t="shared" si="3"/>
        <v>0/0.55</v>
      </c>
      <c r="AJ8" s="118">
        <f t="shared" si="0"/>
        <v>1.5E-5</v>
      </c>
      <c r="AK8" s="119">
        <f t="shared" si="4"/>
        <v>9</v>
      </c>
      <c r="AL8" s="117" t="str">
        <f t="shared" si="5"/>
        <v>-45/85</v>
      </c>
      <c r="AM8" s="117" t="str">
        <f t="shared" si="6"/>
        <v>25 krad</v>
      </c>
    </row>
    <row r="9" spans="1:42" x14ac:dyDescent="0.3">
      <c r="B9" s="52" t="s">
        <v>287</v>
      </c>
      <c r="C9" s="33" t="s">
        <v>264</v>
      </c>
      <c r="D9" s="34" t="s">
        <v>274</v>
      </c>
      <c r="E9" s="35" t="s">
        <v>273</v>
      </c>
      <c r="F9" s="55">
        <v>0.34050000000000002</v>
      </c>
      <c r="G9" s="42">
        <v>0.2263</v>
      </c>
      <c r="H9" s="42"/>
      <c r="I9" s="42">
        <v>0.1</v>
      </c>
      <c r="J9" s="41">
        <f t="shared" ref="J9:J15" si="8">F9*G9*I9</f>
        <v>7.7055150000000005E-3</v>
      </c>
      <c r="K9" s="64">
        <v>0.33500000000000002</v>
      </c>
      <c r="L9" s="47">
        <v>0</v>
      </c>
      <c r="M9" s="126">
        <f t="shared" si="7"/>
        <v>0.33500000000000002</v>
      </c>
      <c r="N9" s="60" t="s">
        <v>248</v>
      </c>
      <c r="O9" s="64">
        <v>0</v>
      </c>
      <c r="P9" s="47">
        <v>0</v>
      </c>
      <c r="Q9" s="46" t="s">
        <v>248</v>
      </c>
      <c r="R9" s="46"/>
      <c r="S9" s="65"/>
      <c r="T9" s="69">
        <v>-40</v>
      </c>
      <c r="U9" s="46">
        <v>80</v>
      </c>
      <c r="V9" s="65" t="s">
        <v>248</v>
      </c>
      <c r="W9" s="69" t="s">
        <v>248</v>
      </c>
      <c r="X9" s="46" t="s">
        <v>248</v>
      </c>
      <c r="Y9" s="65" t="s">
        <v>248</v>
      </c>
      <c r="Z9" s="60" t="s">
        <v>248</v>
      </c>
      <c r="AA9" s="60">
        <v>9</v>
      </c>
      <c r="AB9" s="60" t="s">
        <v>248</v>
      </c>
      <c r="AC9" s="83" t="s">
        <v>248</v>
      </c>
      <c r="AD9" s="33"/>
      <c r="AE9" s="35"/>
      <c r="AG9" s="85" t="str">
        <f t="shared" si="1"/>
        <v>CubeSat Structure
_x000D_ (AAC Clyde Space)</v>
      </c>
      <c r="AH9" s="116">
        <f t="shared" si="2"/>
        <v>0.33500000000000002</v>
      </c>
      <c r="AI9" s="117" t="str">
        <f t="shared" si="3"/>
        <v>0/0</v>
      </c>
      <c r="AJ9" s="118">
        <f t="shared" si="0"/>
        <v>7.7055150000000005E-3</v>
      </c>
      <c r="AK9" s="119">
        <f t="shared" si="4"/>
        <v>9</v>
      </c>
      <c r="AL9" s="117" t="str">
        <f t="shared" si="5"/>
        <v>-40/80</v>
      </c>
      <c r="AM9" s="117" t="str">
        <f t="shared" si="6"/>
        <v>N/A</v>
      </c>
    </row>
    <row r="10" spans="1:42" x14ac:dyDescent="0.3">
      <c r="B10" s="52" t="s">
        <v>284</v>
      </c>
      <c r="C10" s="33" t="s">
        <v>264</v>
      </c>
      <c r="D10" s="34" t="s">
        <v>289</v>
      </c>
      <c r="E10" s="35" t="s">
        <v>288</v>
      </c>
      <c r="F10" s="55">
        <v>0.34050000000000002</v>
      </c>
      <c r="G10" s="42">
        <v>0.1</v>
      </c>
      <c r="H10" s="42"/>
      <c r="I10" s="42">
        <v>9.4999999999999998E-3</v>
      </c>
      <c r="J10" s="41">
        <f t="shared" ref="J10:J11" si="9">F10*G10*I10</f>
        <v>3.2347500000000004E-4</v>
      </c>
      <c r="K10" s="64">
        <f>0.33*4</f>
        <v>1.32</v>
      </c>
      <c r="L10" s="47">
        <v>0</v>
      </c>
      <c r="M10" s="126">
        <f t="shared" ref="M10:M11" si="10">L10+K10</f>
        <v>1.32</v>
      </c>
      <c r="N10" s="60" t="s">
        <v>248</v>
      </c>
      <c r="O10" s="64">
        <v>0</v>
      </c>
      <c r="P10" s="47">
        <v>0</v>
      </c>
      <c r="Q10" s="46" t="s">
        <v>248</v>
      </c>
      <c r="R10" s="46">
        <f>6*9</f>
        <v>54</v>
      </c>
      <c r="S10" s="65"/>
      <c r="T10" s="69">
        <v>-40</v>
      </c>
      <c r="U10" s="46">
        <v>80</v>
      </c>
      <c r="V10" s="65" t="s">
        <v>248</v>
      </c>
      <c r="W10" s="69" t="s">
        <v>248</v>
      </c>
      <c r="X10" s="46" t="s">
        <v>248</v>
      </c>
      <c r="Y10" s="65" t="s">
        <v>248</v>
      </c>
      <c r="Z10" s="60" t="s">
        <v>248</v>
      </c>
      <c r="AA10" s="60">
        <v>9</v>
      </c>
      <c r="AB10" s="60" t="s">
        <v>248</v>
      </c>
      <c r="AC10" s="83" t="s">
        <v>248</v>
      </c>
      <c r="AD10" s="33"/>
      <c r="AE10" s="35"/>
      <c r="AG10" s="85" t="str">
        <f t="shared" si="1"/>
        <v>Solar Panels
_x000D_ (AAC Clyde Space)</v>
      </c>
      <c r="AH10" s="116">
        <f t="shared" si="2"/>
        <v>1.32</v>
      </c>
      <c r="AI10" s="117" t="str">
        <f>_xlfn.CONCAT(R10,"/",R10)</f>
        <v>54/54</v>
      </c>
      <c r="AJ10" s="118">
        <f t="shared" si="0"/>
        <v>3.2347500000000004E-4</v>
      </c>
      <c r="AK10" s="119">
        <f t="shared" si="4"/>
        <v>9</v>
      </c>
      <c r="AL10" s="117" t="str">
        <f t="shared" si="5"/>
        <v>-40/80</v>
      </c>
      <c r="AM10" s="117" t="str">
        <f t="shared" si="6"/>
        <v>N/A</v>
      </c>
    </row>
    <row r="11" spans="1:42" x14ac:dyDescent="0.3">
      <c r="B11" s="52" t="s">
        <v>285</v>
      </c>
      <c r="C11" s="33" t="s">
        <v>264</v>
      </c>
      <c r="D11" s="34" t="s">
        <v>292</v>
      </c>
      <c r="E11" s="35" t="s">
        <v>302</v>
      </c>
      <c r="F11" s="55">
        <v>9.5890000000000003E-2</v>
      </c>
      <c r="G11" s="42">
        <v>9.017E-2</v>
      </c>
      <c r="H11" s="42"/>
      <c r="I11" s="42">
        <v>2.7349999999999999E-2</v>
      </c>
      <c r="J11" s="41">
        <f t="shared" si="9"/>
        <v>2.36479075555E-4</v>
      </c>
      <c r="K11" s="64">
        <v>0.67</v>
      </c>
      <c r="L11" s="47">
        <v>0</v>
      </c>
      <c r="M11" s="126">
        <f t="shared" si="10"/>
        <v>0.67</v>
      </c>
      <c r="N11" s="60" t="s">
        <v>248</v>
      </c>
      <c r="O11" s="64">
        <v>0</v>
      </c>
      <c r="P11" s="47">
        <v>0</v>
      </c>
      <c r="Q11" s="46" t="s">
        <v>363</v>
      </c>
      <c r="R11" s="46"/>
      <c r="S11" s="65">
        <v>40</v>
      </c>
      <c r="T11" s="69">
        <v>-10</v>
      </c>
      <c r="U11" s="46">
        <v>50</v>
      </c>
      <c r="V11" s="65" t="s">
        <v>248</v>
      </c>
      <c r="W11" s="69" t="s">
        <v>248</v>
      </c>
      <c r="X11" s="46" t="s">
        <v>248</v>
      </c>
      <c r="Y11" s="65" t="s">
        <v>248</v>
      </c>
      <c r="Z11" s="60" t="s">
        <v>248</v>
      </c>
      <c r="AA11" s="60">
        <v>9</v>
      </c>
      <c r="AB11" s="60" t="s">
        <v>248</v>
      </c>
      <c r="AC11" s="83"/>
      <c r="AD11" s="33"/>
      <c r="AE11" s="35"/>
      <c r="AG11" s="85" t="str">
        <f t="shared" si="1"/>
        <v>Battery
_x000D_ (AAC Clyde Space)</v>
      </c>
      <c r="AH11" s="116">
        <f t="shared" si="2"/>
        <v>0.67</v>
      </c>
      <c r="AI11" s="117" t="str">
        <f>_xlfn.CONCAT(S11,"/",S11)</f>
        <v>40/40</v>
      </c>
      <c r="AJ11" s="118">
        <f t="shared" si="0"/>
        <v>2.36479075555E-4</v>
      </c>
      <c r="AK11" s="119">
        <f t="shared" si="4"/>
        <v>9</v>
      </c>
      <c r="AL11" s="117" t="str">
        <f t="shared" si="5"/>
        <v>-10/50</v>
      </c>
      <c r="AM11" s="117" t="str">
        <f t="shared" si="6"/>
        <v>N/A</v>
      </c>
    </row>
    <row r="12" spans="1:42" x14ac:dyDescent="0.3">
      <c r="B12" s="52" t="s">
        <v>286</v>
      </c>
      <c r="C12" s="33" t="s">
        <v>264</v>
      </c>
      <c r="D12" s="34" t="s">
        <v>294</v>
      </c>
      <c r="E12" s="35" t="s">
        <v>295</v>
      </c>
      <c r="F12" s="55">
        <v>9.5890000000000003E-2</v>
      </c>
      <c r="G12" s="42">
        <v>9.017E-2</v>
      </c>
      <c r="H12" s="42"/>
      <c r="I12" s="42">
        <v>2.0820000000000002E-2</v>
      </c>
      <c r="J12" s="41">
        <f t="shared" ref="J12:J13" si="11">F12*G12*I12</f>
        <v>1.8001807506600002E-4</v>
      </c>
      <c r="K12" s="64">
        <v>0.14799999999999999</v>
      </c>
      <c r="L12" s="47">
        <v>0</v>
      </c>
      <c r="M12" s="126">
        <f t="shared" ref="M12:M13" si="12">L12+K12</f>
        <v>0.14799999999999999</v>
      </c>
      <c r="N12" s="60" t="s">
        <v>248</v>
      </c>
      <c r="O12" s="64">
        <v>0</v>
      </c>
      <c r="P12" s="47">
        <v>0</v>
      </c>
      <c r="Q12" s="46" t="s">
        <v>275</v>
      </c>
      <c r="R12" s="46"/>
      <c r="S12" s="65"/>
      <c r="T12" s="69">
        <v>-40</v>
      </c>
      <c r="U12" s="46">
        <v>85</v>
      </c>
      <c r="V12" s="65" t="s">
        <v>364</v>
      </c>
      <c r="W12" s="69" t="s">
        <v>248</v>
      </c>
      <c r="X12" s="46" t="s">
        <v>248</v>
      </c>
      <c r="Y12" s="65" t="s">
        <v>248</v>
      </c>
      <c r="Z12" s="60" t="s">
        <v>248</v>
      </c>
      <c r="AA12" s="60">
        <v>9</v>
      </c>
      <c r="AB12" s="60" t="s">
        <v>248</v>
      </c>
      <c r="AC12" s="83"/>
      <c r="AD12" s="33"/>
      <c r="AE12" s="35"/>
      <c r="AG12" s="85" t="str">
        <f t="shared" si="1"/>
        <v>Power Management &amp; Distribution
_x000D_ (AAC Clyde Space)</v>
      </c>
      <c r="AH12" s="116">
        <f t="shared" si="2"/>
        <v>0.14799999999999999</v>
      </c>
      <c r="AI12" s="117" t="str">
        <f t="shared" si="3"/>
        <v>0/0</v>
      </c>
      <c r="AJ12" s="118">
        <f t="shared" si="0"/>
        <v>1.8001807506600002E-4</v>
      </c>
      <c r="AK12" s="119">
        <f t="shared" si="4"/>
        <v>9</v>
      </c>
      <c r="AL12" s="117" t="str">
        <f t="shared" si="5"/>
        <v>-40/85</v>
      </c>
      <c r="AM12" s="117" t="str">
        <f t="shared" si="6"/>
        <v>10 krad</v>
      </c>
    </row>
    <row r="13" spans="1:42" x14ac:dyDescent="0.3">
      <c r="B13" s="52" t="s">
        <v>298</v>
      </c>
      <c r="C13" s="33" t="s">
        <v>248</v>
      </c>
      <c r="D13" s="34" t="s">
        <v>248</v>
      </c>
      <c r="E13" s="35" t="s">
        <v>248</v>
      </c>
      <c r="F13" s="55">
        <v>0.01</v>
      </c>
      <c r="G13" s="42">
        <v>0.01</v>
      </c>
      <c r="H13" s="42"/>
      <c r="I13" s="42">
        <v>0.01</v>
      </c>
      <c r="J13" s="41">
        <f t="shared" si="11"/>
        <v>1.0000000000000002E-6</v>
      </c>
      <c r="K13" s="64">
        <v>0.25</v>
      </c>
      <c r="L13" s="47">
        <v>0</v>
      </c>
      <c r="M13" s="126">
        <f t="shared" si="12"/>
        <v>0.25</v>
      </c>
      <c r="N13" s="60" t="s">
        <v>248</v>
      </c>
      <c r="O13" s="64">
        <v>0</v>
      </c>
      <c r="P13" s="47">
        <v>0</v>
      </c>
      <c r="Q13" s="46" t="s">
        <v>248</v>
      </c>
      <c r="R13" s="46"/>
      <c r="S13" s="65"/>
      <c r="T13" s="69" t="s">
        <v>248</v>
      </c>
      <c r="U13" s="46" t="s">
        <v>248</v>
      </c>
      <c r="V13" s="65" t="s">
        <v>248</v>
      </c>
      <c r="W13" s="69" t="s">
        <v>248</v>
      </c>
      <c r="X13" s="46" t="s">
        <v>248</v>
      </c>
      <c r="Y13" s="65" t="s">
        <v>248</v>
      </c>
      <c r="Z13" s="60" t="s">
        <v>248</v>
      </c>
      <c r="AA13" s="60">
        <v>9</v>
      </c>
      <c r="AB13" s="60" t="s">
        <v>248</v>
      </c>
      <c r="AC13" s="83"/>
      <c r="AD13" s="33"/>
      <c r="AE13" s="35"/>
      <c r="AG13" s="85" t="str">
        <f t="shared" si="1"/>
        <v>Cabling, Heaters and Contingency Mass
_x000D_ (N/A)</v>
      </c>
      <c r="AH13" s="116">
        <f t="shared" si="2"/>
        <v>0.25</v>
      </c>
      <c r="AI13" s="117" t="str">
        <f t="shared" si="3"/>
        <v>0/0</v>
      </c>
      <c r="AJ13" s="118">
        <f t="shared" si="0"/>
        <v>1.0000000000000002E-6</v>
      </c>
      <c r="AK13" s="119">
        <f t="shared" si="4"/>
        <v>9</v>
      </c>
      <c r="AL13" s="117" t="str">
        <f t="shared" si="5"/>
        <v>N/A/N/A</v>
      </c>
      <c r="AM13" s="117" t="str">
        <f t="shared" si="6"/>
        <v>N/A</v>
      </c>
    </row>
    <row r="14" spans="1:42" x14ac:dyDescent="0.3">
      <c r="B14" s="52" t="s">
        <v>232</v>
      </c>
      <c r="C14" s="33" t="s">
        <v>304</v>
      </c>
      <c r="D14" s="34" t="s">
        <v>300</v>
      </c>
      <c r="E14" s="35" t="s">
        <v>301</v>
      </c>
      <c r="F14" s="55">
        <v>0.2</v>
      </c>
      <c r="G14" s="42">
        <v>0.2</v>
      </c>
      <c r="H14" s="42"/>
      <c r="I14" s="42">
        <v>0.1</v>
      </c>
      <c r="J14" s="41">
        <f t="shared" si="8"/>
        <v>4.000000000000001E-3</v>
      </c>
      <c r="K14" s="64">
        <f>1.36*2</f>
        <v>2.72</v>
      </c>
      <c r="L14" s="47">
        <v>2.8</v>
      </c>
      <c r="M14" s="126">
        <f t="shared" si="7"/>
        <v>5.52</v>
      </c>
      <c r="N14" s="60">
        <v>235</v>
      </c>
      <c r="O14" s="64">
        <v>0</v>
      </c>
      <c r="P14" s="47">
        <v>10</v>
      </c>
      <c r="Q14" s="46" t="s">
        <v>361</v>
      </c>
      <c r="R14" s="46"/>
      <c r="S14" s="65"/>
      <c r="T14" s="69">
        <v>5</v>
      </c>
      <c r="U14" s="46">
        <v>60</v>
      </c>
      <c r="V14" s="65" t="s">
        <v>248</v>
      </c>
      <c r="W14" s="69" t="s">
        <v>248</v>
      </c>
      <c r="X14" s="46" t="s">
        <v>248</v>
      </c>
      <c r="Y14" s="65" t="s">
        <v>248</v>
      </c>
      <c r="Z14" s="60" t="s">
        <v>248</v>
      </c>
      <c r="AA14" s="60">
        <v>9</v>
      </c>
      <c r="AB14" s="60" t="s">
        <v>248</v>
      </c>
      <c r="AC14" s="83"/>
      <c r="AD14" s="33"/>
      <c r="AE14" s="35"/>
      <c r="AG14" s="85" t="str">
        <f t="shared" si="1"/>
        <v>Thruster 
_x000D_ (Rocketdyne (L3-Harris))</v>
      </c>
      <c r="AH14" s="116">
        <f t="shared" si="2"/>
        <v>5.52</v>
      </c>
      <c r="AI14" s="117" t="str">
        <f t="shared" si="3"/>
        <v>0/10</v>
      </c>
      <c r="AJ14" s="118">
        <f t="shared" si="0"/>
        <v>4.000000000000001E-3</v>
      </c>
      <c r="AK14" s="119">
        <f t="shared" si="4"/>
        <v>9</v>
      </c>
      <c r="AL14" s="117" t="str">
        <f t="shared" si="5"/>
        <v>5/60</v>
      </c>
      <c r="AM14" s="117" t="str">
        <f t="shared" si="6"/>
        <v>N/A</v>
      </c>
    </row>
    <row r="15" spans="1:42" x14ac:dyDescent="0.3">
      <c r="B15" s="52" t="s">
        <v>244</v>
      </c>
      <c r="C15" s="33" t="s">
        <v>246</v>
      </c>
      <c r="D15" s="34" t="s">
        <v>247</v>
      </c>
      <c r="E15" s="35" t="s">
        <v>254</v>
      </c>
      <c r="F15" s="55">
        <f>9.6/100</f>
        <v>9.6000000000000002E-2</v>
      </c>
      <c r="G15" s="42">
        <f>9/100</f>
        <v>0.09</v>
      </c>
      <c r="H15" s="42"/>
      <c r="I15" s="42">
        <f>1.6/100</f>
        <v>1.6E-2</v>
      </c>
      <c r="J15" s="41">
        <f t="shared" si="8"/>
        <v>1.3824E-4</v>
      </c>
      <c r="K15" s="64">
        <f>78/1000</f>
        <v>7.8E-2</v>
      </c>
      <c r="L15" s="47">
        <v>0</v>
      </c>
      <c r="M15" s="126">
        <f t="shared" si="7"/>
        <v>7.8E-2</v>
      </c>
      <c r="N15" s="60" t="s">
        <v>248</v>
      </c>
      <c r="O15" s="64">
        <f>200/1000</f>
        <v>0.2</v>
      </c>
      <c r="P15" s="47">
        <v>16</v>
      </c>
      <c r="Q15" s="46" t="s">
        <v>252</v>
      </c>
      <c r="R15" s="46"/>
      <c r="S15" s="65"/>
      <c r="T15" s="69">
        <v>-30</v>
      </c>
      <c r="U15" s="46">
        <v>70</v>
      </c>
      <c r="V15" s="65" t="s">
        <v>248</v>
      </c>
      <c r="W15" s="69" t="s">
        <v>248</v>
      </c>
      <c r="X15" s="46" t="s">
        <v>248</v>
      </c>
      <c r="Y15" s="65" t="s">
        <v>248</v>
      </c>
      <c r="Z15" s="60" t="s">
        <v>248</v>
      </c>
      <c r="AA15" s="60">
        <v>9</v>
      </c>
      <c r="AB15" s="60" t="s">
        <v>248</v>
      </c>
      <c r="AC15" s="83" t="s">
        <v>260</v>
      </c>
      <c r="AD15" s="33" t="s">
        <v>272</v>
      </c>
      <c r="AE15" s="35"/>
      <c r="AG15" s="85" t="str">
        <f t="shared" si="1"/>
        <v>Communications (Transceiver)
_x000D_ (AstroDev )</v>
      </c>
      <c r="AH15" s="116">
        <f t="shared" si="2"/>
        <v>7.8E-2</v>
      </c>
      <c r="AI15" s="117" t="str">
        <f t="shared" si="3"/>
        <v>0.2/16</v>
      </c>
      <c r="AJ15" s="118">
        <f t="shared" si="0"/>
        <v>1.3824E-4</v>
      </c>
      <c r="AK15" s="119">
        <f t="shared" si="4"/>
        <v>9</v>
      </c>
      <c r="AL15" s="117" t="str">
        <f t="shared" si="5"/>
        <v>-30/70</v>
      </c>
      <c r="AM15" s="117" t="str">
        <f t="shared" si="6"/>
        <v>N/A</v>
      </c>
    </row>
    <row r="16" spans="1:42" x14ac:dyDescent="0.3">
      <c r="B16" s="87" t="s">
        <v>393</v>
      </c>
      <c r="C16" s="88" t="s">
        <v>382</v>
      </c>
      <c r="D16" s="89"/>
      <c r="E16" s="90"/>
      <c r="F16" s="91"/>
      <c r="G16" s="92"/>
      <c r="H16" s="92"/>
      <c r="I16" s="92"/>
      <c r="J16" s="93">
        <f>J28</f>
        <v>1.3181677150663598</v>
      </c>
      <c r="K16" s="95">
        <f t="shared" ref="K16:AE16" si="13">K28</f>
        <v>500.41300000000001</v>
      </c>
      <c r="L16" s="96">
        <f t="shared" si="13"/>
        <v>0</v>
      </c>
      <c r="M16" s="127">
        <f t="shared" si="13"/>
        <v>500.41300000000001</v>
      </c>
      <c r="N16" s="94">
        <f t="shared" si="13"/>
        <v>0</v>
      </c>
      <c r="O16" s="95">
        <f t="shared" si="13"/>
        <v>1.278</v>
      </c>
      <c r="P16" s="96">
        <f t="shared" si="13"/>
        <v>31.887999999999998</v>
      </c>
      <c r="Q16" s="97">
        <f t="shared" si="13"/>
        <v>0</v>
      </c>
      <c r="R16" s="97">
        <f t="shared" si="13"/>
        <v>0</v>
      </c>
      <c r="S16" s="98">
        <f t="shared" si="13"/>
        <v>5400</v>
      </c>
      <c r="T16" s="99">
        <f t="shared" si="13"/>
        <v>10</v>
      </c>
      <c r="U16" s="97">
        <f t="shared" si="13"/>
        <v>30</v>
      </c>
      <c r="V16" s="65" t="s">
        <v>248</v>
      </c>
      <c r="W16" s="99">
        <f t="shared" si="13"/>
        <v>0</v>
      </c>
      <c r="X16" s="97">
        <f t="shared" si="13"/>
        <v>0</v>
      </c>
      <c r="Y16" s="98">
        <f t="shared" si="13"/>
        <v>0</v>
      </c>
      <c r="Z16" s="94">
        <f t="shared" si="13"/>
        <v>0</v>
      </c>
      <c r="AA16" s="94">
        <v>5</v>
      </c>
      <c r="AB16" s="94">
        <f t="shared" si="13"/>
        <v>0</v>
      </c>
      <c r="AC16" s="100">
        <f t="shared" si="13"/>
        <v>0</v>
      </c>
      <c r="AD16" s="88">
        <f t="shared" si="13"/>
        <v>0</v>
      </c>
      <c r="AE16" s="90">
        <f t="shared" si="13"/>
        <v>0</v>
      </c>
      <c r="AG16" s="85" t="str">
        <f t="shared" si="1"/>
        <v>VALO Entry Module [See separate table]
_x000D_ (VALO Mission Team)</v>
      </c>
      <c r="AH16" s="116">
        <f t="shared" ref="AH16" si="14">M16</f>
        <v>500.41300000000001</v>
      </c>
      <c r="AI16" s="117" t="str">
        <f t="shared" ref="AI16" si="15">_xlfn.CONCAT(O16,"/",P16)</f>
        <v>1.278/31.888</v>
      </c>
      <c r="AJ16" s="118">
        <f t="shared" si="0"/>
        <v>1.3181677150663598</v>
      </c>
      <c r="AK16" s="119">
        <f t="shared" si="4"/>
        <v>5</v>
      </c>
      <c r="AL16" s="117" t="str">
        <f t="shared" si="5"/>
        <v>10/30</v>
      </c>
      <c r="AM16" s="117" t="str">
        <f t="shared" si="6"/>
        <v>N/A</v>
      </c>
    </row>
    <row r="17" spans="2:39" ht="15" thickBot="1" x14ac:dyDescent="0.35">
      <c r="B17" s="53" t="s">
        <v>233</v>
      </c>
      <c r="C17" s="38" t="s">
        <v>255</v>
      </c>
      <c r="D17" s="36" t="s">
        <v>318</v>
      </c>
      <c r="E17" s="37" t="s">
        <v>319</v>
      </c>
      <c r="F17" s="56">
        <v>0.1</v>
      </c>
      <c r="G17" s="43">
        <v>0.1</v>
      </c>
      <c r="H17" s="43"/>
      <c r="I17" s="43">
        <v>0.04</v>
      </c>
      <c r="J17" s="43">
        <f>F17*G17*I17</f>
        <v>4.0000000000000007E-4</v>
      </c>
      <c r="K17" s="66">
        <v>0.18</v>
      </c>
      <c r="L17" s="49">
        <v>0</v>
      </c>
      <c r="M17" s="128">
        <f>L17+K17</f>
        <v>0.18</v>
      </c>
      <c r="N17" s="61" t="s">
        <v>248</v>
      </c>
      <c r="O17" s="66">
        <v>0</v>
      </c>
      <c r="P17" s="49">
        <f>2.6*5</f>
        <v>13</v>
      </c>
      <c r="Q17" s="48" t="s">
        <v>262</v>
      </c>
      <c r="R17" s="48"/>
      <c r="S17" s="67"/>
      <c r="T17" s="70" t="s">
        <v>248</v>
      </c>
      <c r="U17" s="48" t="s">
        <v>248</v>
      </c>
      <c r="V17" s="67" t="s">
        <v>248</v>
      </c>
      <c r="W17" s="70">
        <v>3.5</v>
      </c>
      <c r="X17" s="48">
        <v>10</v>
      </c>
      <c r="Y17" s="67">
        <v>120</v>
      </c>
      <c r="Z17" s="61" t="s">
        <v>248</v>
      </c>
      <c r="AA17" s="61">
        <v>9</v>
      </c>
      <c r="AB17" s="61" t="s">
        <v>248</v>
      </c>
      <c r="AC17" s="84" t="s">
        <v>259</v>
      </c>
      <c r="AD17" s="38" t="s">
        <v>258</v>
      </c>
      <c r="AE17" s="37"/>
      <c r="AG17" s="85" t="str">
        <f t="shared" si="1"/>
        <v>RF Antenna 
_x000D_ (Helical Communications Technologies)</v>
      </c>
      <c r="AH17" s="116">
        <f t="shared" si="2"/>
        <v>0.18</v>
      </c>
      <c r="AI17" s="117" t="str">
        <f t="shared" si="3"/>
        <v>0/13</v>
      </c>
      <c r="AJ17" s="118">
        <f>J17</f>
        <v>4.0000000000000007E-4</v>
      </c>
      <c r="AK17" s="119">
        <f t="shared" si="4"/>
        <v>9</v>
      </c>
      <c r="AL17" s="117" t="str">
        <f t="shared" si="5"/>
        <v>N/A/N/A</v>
      </c>
      <c r="AM17" s="117" t="str">
        <f t="shared" si="6"/>
        <v>N/A</v>
      </c>
    </row>
    <row r="18" spans="2:39" ht="15" thickBot="1" x14ac:dyDescent="0.35">
      <c r="B18" s="53"/>
      <c r="C18" s="38"/>
      <c r="D18" s="36"/>
      <c r="E18" s="37"/>
      <c r="F18" s="56"/>
      <c r="G18" s="43"/>
      <c r="H18" s="43"/>
      <c r="I18" s="43"/>
      <c r="J18" s="77">
        <f>SUM(J6:J17)</f>
        <v>1.3319559604949807</v>
      </c>
      <c r="K18" s="78">
        <f>SUM(K6:K17)</f>
        <v>557.27099999999996</v>
      </c>
      <c r="L18" s="77">
        <f>SUM(L6:L17)</f>
        <v>2.8</v>
      </c>
      <c r="M18" s="79">
        <f>SUM(M6:M17)</f>
        <v>560.07100000000003</v>
      </c>
      <c r="N18" s="80"/>
      <c r="O18" s="78">
        <f>SUM(O6:O17)</f>
        <v>2.556</v>
      </c>
      <c r="P18" s="77">
        <f>SUM(P6:P17)</f>
        <v>73.775999999999996</v>
      </c>
      <c r="Q18" s="81"/>
      <c r="R18" s="77">
        <f>SUM(R6:R17)</f>
        <v>54</v>
      </c>
      <c r="S18" s="79">
        <f>SUM(S6:S17)</f>
        <v>5440</v>
      </c>
      <c r="T18" s="70">
        <f>MAX(T6:T17)</f>
        <v>10</v>
      </c>
      <c r="U18" s="48">
        <f>MIN(U6:U17)</f>
        <v>30</v>
      </c>
      <c r="V18" s="67"/>
      <c r="W18" s="70"/>
      <c r="X18" s="48"/>
      <c r="Y18" s="67"/>
      <c r="Z18" s="61"/>
      <c r="AA18" s="61"/>
      <c r="AB18" s="61"/>
      <c r="AC18" s="61"/>
      <c r="AD18" s="38"/>
      <c r="AE18" s="37"/>
      <c r="AG18" s="120" t="s">
        <v>358</v>
      </c>
      <c r="AH18" s="121">
        <f t="shared" si="2"/>
        <v>560.07100000000003</v>
      </c>
      <c r="AI18" s="122" t="str">
        <f t="shared" si="3"/>
        <v>2.556/73.776</v>
      </c>
      <c r="AJ18" s="123">
        <f>J18</f>
        <v>1.3319559604949807</v>
      </c>
      <c r="AK18" s="123"/>
      <c r="AL18" s="122"/>
      <c r="AM18" s="39"/>
    </row>
    <row r="19" spans="2:39" x14ac:dyDescent="0.3">
      <c r="J19" s="72"/>
      <c r="K19" s="129" t="s">
        <v>389</v>
      </c>
      <c r="L19" s="74"/>
      <c r="M19" s="130">
        <f>M3-M18</f>
        <v>3039.9290000000001</v>
      </c>
      <c r="N19" s="131" t="s">
        <v>121</v>
      </c>
      <c r="O19" s="74"/>
      <c r="P19" s="74"/>
      <c r="Q19" s="75"/>
      <c r="R19" s="74"/>
      <c r="S19" s="74"/>
      <c r="AG19" s="39"/>
      <c r="AH19" s="39"/>
      <c r="AI19" s="85"/>
      <c r="AJ19" s="39"/>
      <c r="AK19" s="39"/>
      <c r="AL19" s="39"/>
      <c r="AM19" s="39"/>
    </row>
    <row r="20" spans="2:39" x14ac:dyDescent="0.35">
      <c r="B20" s="26" t="s">
        <v>366</v>
      </c>
      <c r="J20" s="73"/>
      <c r="K20" s="74"/>
      <c r="L20" s="74"/>
      <c r="M20" s="74"/>
      <c r="N20" s="76"/>
      <c r="O20" s="74"/>
      <c r="P20" s="74"/>
      <c r="Q20" s="75"/>
      <c r="R20" s="74"/>
      <c r="S20" s="74"/>
      <c r="AG20" s="39"/>
      <c r="AH20" s="39"/>
      <c r="AI20" s="39"/>
      <c r="AJ20" s="39"/>
      <c r="AK20" s="39"/>
      <c r="AL20" s="39"/>
      <c r="AM20" s="39"/>
    </row>
    <row r="21" spans="2:39" ht="15" thickBot="1" x14ac:dyDescent="0.4">
      <c r="AG21" s="39"/>
      <c r="AH21" s="39"/>
      <c r="AI21" s="39"/>
      <c r="AJ21" s="39"/>
      <c r="AK21" s="39"/>
      <c r="AL21" s="39"/>
      <c r="AM21" s="39"/>
    </row>
    <row r="22" spans="2:39" ht="15" thickBot="1" x14ac:dyDescent="0.35">
      <c r="C22" s="133" t="s">
        <v>316</v>
      </c>
      <c r="D22" s="135"/>
      <c r="E22" s="134"/>
      <c r="F22" s="133" t="s">
        <v>306</v>
      </c>
      <c r="G22" s="135"/>
      <c r="H22" s="135"/>
      <c r="I22" s="135"/>
      <c r="J22" s="135"/>
      <c r="K22" s="133" t="s">
        <v>307</v>
      </c>
      <c r="L22" s="135"/>
      <c r="M22" s="134"/>
      <c r="N22" s="57" t="s">
        <v>308</v>
      </c>
      <c r="O22" s="133" t="s">
        <v>317</v>
      </c>
      <c r="P22" s="135"/>
      <c r="Q22" s="135"/>
      <c r="R22" s="135"/>
      <c r="S22" s="134"/>
      <c r="T22" s="133" t="s">
        <v>309</v>
      </c>
      <c r="U22" s="135"/>
      <c r="V22" s="134"/>
      <c r="W22" s="133" t="s">
        <v>310</v>
      </c>
      <c r="X22" s="135"/>
      <c r="Y22" s="134"/>
      <c r="Z22" s="57" t="s">
        <v>311</v>
      </c>
      <c r="AA22" s="57" t="s">
        <v>312</v>
      </c>
      <c r="AB22" s="57" t="s">
        <v>313</v>
      </c>
      <c r="AC22" s="57" t="s">
        <v>314</v>
      </c>
      <c r="AD22" s="133" t="s">
        <v>315</v>
      </c>
      <c r="AE22" s="134"/>
      <c r="AG22" s="122" t="s">
        <v>229</v>
      </c>
      <c r="AH22" s="122" t="s">
        <v>350</v>
      </c>
      <c r="AI22" s="122" t="s">
        <v>352</v>
      </c>
      <c r="AJ22" s="122" t="s">
        <v>354</v>
      </c>
      <c r="AK22" s="122" t="s">
        <v>383</v>
      </c>
      <c r="AL22" s="122" t="s">
        <v>355</v>
      </c>
      <c r="AM22" s="122" t="s">
        <v>384</v>
      </c>
    </row>
    <row r="23" spans="2:39" ht="26" thickBot="1" x14ac:dyDescent="0.35">
      <c r="B23" s="50" t="s">
        <v>229</v>
      </c>
      <c r="C23" s="27" t="s">
        <v>230</v>
      </c>
      <c r="D23" s="28" t="s">
        <v>245</v>
      </c>
      <c r="E23" s="29" t="s">
        <v>234</v>
      </c>
      <c r="F23" s="27" t="s">
        <v>239</v>
      </c>
      <c r="G23" s="28" t="s">
        <v>238</v>
      </c>
      <c r="H23" s="28" t="s">
        <v>373</v>
      </c>
      <c r="I23" s="28" t="s">
        <v>237</v>
      </c>
      <c r="J23" s="28" t="s">
        <v>236</v>
      </c>
      <c r="K23" s="27" t="s">
        <v>305</v>
      </c>
      <c r="L23" s="28" t="s">
        <v>283</v>
      </c>
      <c r="M23" s="29" t="s">
        <v>235</v>
      </c>
      <c r="N23" s="58" t="s">
        <v>242</v>
      </c>
      <c r="O23" s="27" t="s">
        <v>240</v>
      </c>
      <c r="P23" s="28" t="s">
        <v>241</v>
      </c>
      <c r="Q23" s="28" t="s">
        <v>251</v>
      </c>
      <c r="R23" s="28" t="s">
        <v>291</v>
      </c>
      <c r="S23" s="29" t="s">
        <v>293</v>
      </c>
      <c r="T23" s="27" t="s">
        <v>249</v>
      </c>
      <c r="U23" s="28" t="s">
        <v>250</v>
      </c>
      <c r="V23" s="29" t="s">
        <v>296</v>
      </c>
      <c r="W23" s="27" t="s">
        <v>256</v>
      </c>
      <c r="X23" s="28" t="s">
        <v>257</v>
      </c>
      <c r="Y23" s="29" t="s">
        <v>261</v>
      </c>
      <c r="Z23" s="58" t="s">
        <v>290</v>
      </c>
      <c r="AA23" s="58" t="s">
        <v>270</v>
      </c>
      <c r="AB23" s="58" t="s">
        <v>281</v>
      </c>
      <c r="AC23" s="58" t="s">
        <v>253</v>
      </c>
      <c r="AD23" s="27" t="s">
        <v>243</v>
      </c>
      <c r="AE23" s="29" t="s">
        <v>231</v>
      </c>
      <c r="AG23" s="117" t="s">
        <v>349</v>
      </c>
      <c r="AH23" s="117" t="s">
        <v>351</v>
      </c>
      <c r="AI23" s="117" t="s">
        <v>353</v>
      </c>
      <c r="AJ23" s="117" t="s">
        <v>356</v>
      </c>
      <c r="AK23" s="117" t="s">
        <v>270</v>
      </c>
      <c r="AL23" s="117" t="s">
        <v>357</v>
      </c>
      <c r="AM23" s="117" t="s">
        <v>385</v>
      </c>
    </row>
    <row r="24" spans="2:39" x14ac:dyDescent="0.3">
      <c r="B24" s="51" t="s">
        <v>398</v>
      </c>
      <c r="C24" s="30" t="s">
        <v>382</v>
      </c>
      <c r="D24" s="31"/>
      <c r="E24" s="32"/>
      <c r="F24" s="54"/>
      <c r="G24" s="41"/>
      <c r="H24" s="41">
        <v>1.5</v>
      </c>
      <c r="I24" s="41">
        <v>0.3</v>
      </c>
      <c r="J24" s="41">
        <f>PI()*POWER((H24/2),2)*I24*2</f>
        <v>1.0602875205865552</v>
      </c>
      <c r="K24" s="62">
        <v>100</v>
      </c>
      <c r="L24" s="45">
        <v>0</v>
      </c>
      <c r="M24" s="125">
        <f>L24+K24</f>
        <v>100</v>
      </c>
      <c r="N24" s="59" t="s">
        <v>248</v>
      </c>
      <c r="O24" s="62"/>
      <c r="P24" s="45"/>
      <c r="Q24" s="44"/>
      <c r="R24" s="44"/>
      <c r="S24" s="63"/>
      <c r="T24" s="68" t="s">
        <v>248</v>
      </c>
      <c r="U24" s="44" t="s">
        <v>248</v>
      </c>
      <c r="V24" s="63" t="s">
        <v>248</v>
      </c>
      <c r="W24" s="68" t="s">
        <v>248</v>
      </c>
      <c r="X24" s="44" t="s">
        <v>248</v>
      </c>
      <c r="Y24" s="63" t="s">
        <v>248</v>
      </c>
      <c r="Z24" s="59" t="s">
        <v>248</v>
      </c>
      <c r="AA24" s="59">
        <v>1</v>
      </c>
      <c r="AB24" s="59" t="s">
        <v>248</v>
      </c>
      <c r="AC24" s="82"/>
      <c r="AD24" s="30"/>
      <c r="AE24" s="40" t="s">
        <v>359</v>
      </c>
      <c r="AG24" s="85" t="str">
        <f>_xlfn.CONCAT(B24,CHAR(10),CHAR(13)," (",C24,")")</f>
        <v>Aeroshell (including heat shield and back shell)
_x000D_ (VALO Mission Team)</v>
      </c>
      <c r="AH24" s="116">
        <f>M24</f>
        <v>100</v>
      </c>
      <c r="AI24" s="117" t="str">
        <f>_xlfn.CONCAT(O24,"/",P24)</f>
        <v>/</v>
      </c>
      <c r="AJ24" s="118">
        <f t="shared" ref="AJ24:AJ27" si="16">J24</f>
        <v>1.0602875205865552</v>
      </c>
      <c r="AK24" s="119">
        <f>AA24</f>
        <v>1</v>
      </c>
      <c r="AL24" s="117" t="str">
        <f>_xlfn.CONCAT(T24,"/",U24)</f>
        <v>N/A/N/A</v>
      </c>
      <c r="AM24" s="117" t="str">
        <f t="shared" ref="AM24:AM27" si="17">V24</f>
        <v>N/A</v>
      </c>
    </row>
    <row r="25" spans="2:39" x14ac:dyDescent="0.3">
      <c r="B25" s="52" t="s">
        <v>368</v>
      </c>
      <c r="C25" s="33" t="s">
        <v>382</v>
      </c>
      <c r="D25" s="34"/>
      <c r="E25" s="35"/>
      <c r="F25" s="55">
        <v>0.2</v>
      </c>
      <c r="G25" s="42">
        <v>0.1</v>
      </c>
      <c r="H25" s="42"/>
      <c r="I25" s="42">
        <v>7.4999999999999997E-2</v>
      </c>
      <c r="J25" s="41">
        <f>F25*G25*I25</f>
        <v>1.5000000000000002E-3</v>
      </c>
      <c r="K25" s="64">
        <v>25</v>
      </c>
      <c r="L25" s="47">
        <v>0</v>
      </c>
      <c r="M25" s="126">
        <f>L25+K25</f>
        <v>25</v>
      </c>
      <c r="N25" s="60" t="s">
        <v>248</v>
      </c>
      <c r="O25" s="64"/>
      <c r="P25" s="47"/>
      <c r="Q25" s="46"/>
      <c r="R25" s="46"/>
      <c r="S25" s="65"/>
      <c r="T25" s="69" t="s">
        <v>248</v>
      </c>
      <c r="U25" s="46" t="s">
        <v>248</v>
      </c>
      <c r="V25" s="65" t="s">
        <v>248</v>
      </c>
      <c r="W25" s="69" t="s">
        <v>248</v>
      </c>
      <c r="X25" s="46" t="s">
        <v>248</v>
      </c>
      <c r="Y25" s="65" t="s">
        <v>248</v>
      </c>
      <c r="Z25" s="60" t="s">
        <v>248</v>
      </c>
      <c r="AA25" s="60">
        <v>1</v>
      </c>
      <c r="AB25" s="60" t="s">
        <v>248</v>
      </c>
      <c r="AC25" s="83"/>
      <c r="AD25" s="33"/>
      <c r="AE25" s="35"/>
      <c r="AG25" s="85" t="str">
        <f t="shared" ref="AG25:AG27" si="18">_xlfn.CONCAT(B25,CHAR(10),CHAR(13)," (",C25,")")</f>
        <v>Deployment Control System
_x000D_ (VALO Mission Team)</v>
      </c>
      <c r="AH25" s="116">
        <f t="shared" ref="AH25:AH27" si="19">M25</f>
        <v>25</v>
      </c>
      <c r="AI25" s="117" t="str">
        <f t="shared" ref="AI25:AI28" si="20">_xlfn.CONCAT(O25,"/",P25)</f>
        <v>/</v>
      </c>
      <c r="AJ25" s="118">
        <f t="shared" si="16"/>
        <v>1.5000000000000002E-3</v>
      </c>
      <c r="AK25" s="119">
        <f t="shared" ref="AK25:AK27" si="21">AA25</f>
        <v>1</v>
      </c>
      <c r="AL25" s="117" t="str">
        <f t="shared" ref="AL25:AL27" si="22">_xlfn.CONCAT(T25,"/",U25)</f>
        <v>N/A/N/A</v>
      </c>
      <c r="AM25" s="117" t="str">
        <f t="shared" si="17"/>
        <v>N/A</v>
      </c>
    </row>
    <row r="26" spans="2:39" x14ac:dyDescent="0.3">
      <c r="B26" s="52" t="s">
        <v>394</v>
      </c>
      <c r="C26" s="33" t="s">
        <v>382</v>
      </c>
      <c r="D26" s="34"/>
      <c r="E26" s="35"/>
      <c r="F26" s="55"/>
      <c r="G26" s="42"/>
      <c r="H26" s="42"/>
      <c r="I26" s="42"/>
      <c r="J26" s="41">
        <f>J46</f>
        <v>0.10514706572864553</v>
      </c>
      <c r="K26" s="64">
        <f>K46</f>
        <v>231.41299999999998</v>
      </c>
      <c r="L26" s="47">
        <f>L46</f>
        <v>0</v>
      </c>
      <c r="M26" s="126">
        <f t="shared" ref="M26:M27" si="23">L26+K26</f>
        <v>231.41299999999998</v>
      </c>
      <c r="N26" s="60" t="s">
        <v>248</v>
      </c>
      <c r="O26" s="64">
        <f t="shared" ref="O26:AD26" si="24">O46</f>
        <v>1.278</v>
      </c>
      <c r="P26" s="47">
        <f t="shared" si="24"/>
        <v>31.887999999999998</v>
      </c>
      <c r="Q26" s="46">
        <f t="shared" si="24"/>
        <v>0</v>
      </c>
      <c r="R26" s="46">
        <f t="shared" si="24"/>
        <v>0</v>
      </c>
      <c r="S26" s="65">
        <f t="shared" si="24"/>
        <v>5400</v>
      </c>
      <c r="T26" s="69">
        <f t="shared" si="24"/>
        <v>10</v>
      </c>
      <c r="U26" s="46">
        <f t="shared" si="24"/>
        <v>30</v>
      </c>
      <c r="V26" s="65">
        <f t="shared" si="24"/>
        <v>0</v>
      </c>
      <c r="W26" s="69">
        <f t="shared" si="24"/>
        <v>0</v>
      </c>
      <c r="X26" s="46">
        <f t="shared" si="24"/>
        <v>0</v>
      </c>
      <c r="Y26" s="65">
        <f t="shared" si="24"/>
        <v>0</v>
      </c>
      <c r="Z26" s="60">
        <f t="shared" si="24"/>
        <v>0</v>
      </c>
      <c r="AA26" s="60">
        <v>1</v>
      </c>
      <c r="AB26" s="60">
        <f t="shared" si="24"/>
        <v>0</v>
      </c>
      <c r="AC26" s="83">
        <f t="shared" si="24"/>
        <v>0</v>
      </c>
      <c r="AD26" s="33">
        <f t="shared" si="24"/>
        <v>0</v>
      </c>
      <c r="AE26" s="35"/>
      <c r="AG26" s="85" t="str">
        <f t="shared" si="18"/>
        <v>VALO Atmospheric Module [See separate table]
_x000D_ (VALO Mission Team)</v>
      </c>
      <c r="AH26" s="116">
        <f t="shared" si="19"/>
        <v>231.41299999999998</v>
      </c>
      <c r="AI26" s="117" t="str">
        <f t="shared" si="20"/>
        <v>1.278/31.888</v>
      </c>
      <c r="AJ26" s="118">
        <f t="shared" si="16"/>
        <v>0.10514706572864553</v>
      </c>
      <c r="AK26" s="119">
        <f t="shared" si="21"/>
        <v>1</v>
      </c>
      <c r="AL26" s="117" t="str">
        <f t="shared" si="22"/>
        <v>10/30</v>
      </c>
      <c r="AM26" s="117">
        <f t="shared" si="17"/>
        <v>0</v>
      </c>
    </row>
    <row r="27" spans="2:39" ht="15" thickBot="1" x14ac:dyDescent="0.35">
      <c r="B27" s="87" t="s">
        <v>374</v>
      </c>
      <c r="C27" s="88" t="s">
        <v>382</v>
      </c>
      <c r="D27" s="89"/>
      <c r="E27" s="90"/>
      <c r="F27" s="91"/>
      <c r="G27" s="92"/>
      <c r="H27" s="92">
        <v>0.23</v>
      </c>
      <c r="I27" s="92">
        <v>1.82</v>
      </c>
      <c r="J27" s="93">
        <f>PI()*POWER((H27/2),2)*I27*2</f>
        <v>0.15123312875115907</v>
      </c>
      <c r="K27" s="95">
        <v>144</v>
      </c>
      <c r="L27" s="96">
        <v>0</v>
      </c>
      <c r="M27" s="127">
        <f t="shared" si="23"/>
        <v>144</v>
      </c>
      <c r="N27" s="94" t="s">
        <v>248</v>
      </c>
      <c r="O27" s="95"/>
      <c r="P27" s="96"/>
      <c r="Q27" s="97"/>
      <c r="R27" s="97"/>
      <c r="S27" s="98"/>
      <c r="T27" s="99" t="s">
        <v>248</v>
      </c>
      <c r="U27" s="97" t="s">
        <v>248</v>
      </c>
      <c r="V27" s="98" t="s">
        <v>248</v>
      </c>
      <c r="W27" s="99" t="s">
        <v>248</v>
      </c>
      <c r="X27" s="97" t="s">
        <v>248</v>
      </c>
      <c r="Y27" s="98" t="s">
        <v>248</v>
      </c>
      <c r="Z27" s="94" t="s">
        <v>248</v>
      </c>
      <c r="AA27" s="94">
        <v>1</v>
      </c>
      <c r="AB27" s="94" t="s">
        <v>248</v>
      </c>
      <c r="AC27" s="100"/>
      <c r="AD27" s="88"/>
      <c r="AE27" s="90"/>
      <c r="AG27" s="85" t="str">
        <f t="shared" si="18"/>
        <v>Primary Inflation Canister(s)
_x000D_ (VALO Mission Team)</v>
      </c>
      <c r="AH27" s="116">
        <f t="shared" si="19"/>
        <v>144</v>
      </c>
      <c r="AI27" s="117" t="str">
        <f t="shared" si="20"/>
        <v>/</v>
      </c>
      <c r="AJ27" s="118">
        <f t="shared" si="16"/>
        <v>0.15123312875115907</v>
      </c>
      <c r="AK27" s="119">
        <f t="shared" si="21"/>
        <v>1</v>
      </c>
      <c r="AL27" s="117" t="str">
        <f t="shared" si="22"/>
        <v>N/A/N/A</v>
      </c>
      <c r="AM27" s="117" t="str">
        <f t="shared" si="17"/>
        <v>N/A</v>
      </c>
    </row>
    <row r="28" spans="2:39" ht="15" thickBot="1" x14ac:dyDescent="0.35">
      <c r="B28" s="101"/>
      <c r="C28" s="102"/>
      <c r="D28" s="103"/>
      <c r="E28" s="104"/>
      <c r="F28" s="105"/>
      <c r="G28" s="106"/>
      <c r="H28" s="106"/>
      <c r="I28" s="106"/>
      <c r="J28" s="107">
        <f>SUM(J24:J27)</f>
        <v>1.3181677150663598</v>
      </c>
      <c r="K28" s="108">
        <f>SUM(K24:K27)</f>
        <v>500.41300000000001</v>
      </c>
      <c r="L28" s="107">
        <f>SUM(L24:L27)</f>
        <v>0</v>
      </c>
      <c r="M28" s="109">
        <f>SUM(M24:M27)</f>
        <v>500.41300000000001</v>
      </c>
      <c r="N28" s="110"/>
      <c r="O28" s="108">
        <f>SUM(O24:O27)</f>
        <v>1.278</v>
      </c>
      <c r="P28" s="107">
        <f>SUM(P24:P27)</f>
        <v>31.887999999999998</v>
      </c>
      <c r="Q28" s="111"/>
      <c r="R28" s="107">
        <f>SUM(R24:R27)</f>
        <v>0</v>
      </c>
      <c r="S28" s="109">
        <f>SUM(S24:S27)</f>
        <v>5400</v>
      </c>
      <c r="T28" s="112">
        <f>MAX(T24:T27)</f>
        <v>10</v>
      </c>
      <c r="U28" s="113">
        <f>MIN(U24:U27)</f>
        <v>30</v>
      </c>
      <c r="V28" s="114"/>
      <c r="W28" s="112"/>
      <c r="X28" s="113"/>
      <c r="Y28" s="114"/>
      <c r="Z28" s="115"/>
      <c r="AA28" s="115"/>
      <c r="AB28" s="115"/>
      <c r="AC28" s="115"/>
      <c r="AD28" s="102"/>
      <c r="AE28" s="104"/>
      <c r="AG28" s="120" t="s">
        <v>358</v>
      </c>
      <c r="AH28" s="121">
        <f>M28</f>
        <v>500.41300000000001</v>
      </c>
      <c r="AI28" s="122" t="str">
        <f t="shared" si="20"/>
        <v>1.278/31.888</v>
      </c>
      <c r="AJ28" s="123">
        <f>J28</f>
        <v>1.3181677150663598</v>
      </c>
      <c r="AK28" s="123"/>
      <c r="AL28" s="122"/>
    </row>
    <row r="29" spans="2:39" x14ac:dyDescent="0.3">
      <c r="AG29" s="85"/>
      <c r="AH29" s="116"/>
      <c r="AI29" s="117"/>
      <c r="AJ29" s="118"/>
      <c r="AK29" s="119"/>
      <c r="AL29" s="117"/>
    </row>
    <row r="30" spans="2:39" x14ac:dyDescent="0.35">
      <c r="B30" s="26" t="s">
        <v>367</v>
      </c>
      <c r="K30" s="129" t="s">
        <v>391</v>
      </c>
    </row>
    <row r="31" spans="2:39" ht="15" thickBot="1" x14ac:dyDescent="0.4">
      <c r="K31" s="129" t="s">
        <v>390</v>
      </c>
      <c r="L31" s="129"/>
      <c r="M31" s="130">
        <v>329.09</v>
      </c>
      <c r="N31" s="131" t="s">
        <v>121</v>
      </c>
    </row>
    <row r="32" spans="2:39" ht="15" thickBot="1" x14ac:dyDescent="0.35">
      <c r="C32" s="133" t="s">
        <v>316</v>
      </c>
      <c r="D32" s="135"/>
      <c r="E32" s="134"/>
      <c r="F32" s="133" t="s">
        <v>306</v>
      </c>
      <c r="G32" s="135"/>
      <c r="H32" s="135"/>
      <c r="I32" s="135"/>
      <c r="J32" s="135"/>
      <c r="K32" s="133" t="s">
        <v>307</v>
      </c>
      <c r="L32" s="135"/>
      <c r="M32" s="134"/>
      <c r="N32" s="57" t="s">
        <v>308</v>
      </c>
      <c r="O32" s="133" t="s">
        <v>317</v>
      </c>
      <c r="P32" s="135"/>
      <c r="Q32" s="135"/>
      <c r="R32" s="135"/>
      <c r="S32" s="134"/>
      <c r="T32" s="133" t="s">
        <v>309</v>
      </c>
      <c r="U32" s="135"/>
      <c r="V32" s="134"/>
      <c r="W32" s="133" t="s">
        <v>310</v>
      </c>
      <c r="X32" s="135"/>
      <c r="Y32" s="134"/>
      <c r="Z32" s="57" t="s">
        <v>311</v>
      </c>
      <c r="AA32" s="57" t="s">
        <v>312</v>
      </c>
      <c r="AB32" s="57" t="s">
        <v>313</v>
      </c>
      <c r="AC32" s="57" t="s">
        <v>314</v>
      </c>
      <c r="AD32" s="133" t="s">
        <v>315</v>
      </c>
      <c r="AE32" s="134"/>
      <c r="AG32" s="122" t="s">
        <v>229</v>
      </c>
      <c r="AH32" s="122" t="s">
        <v>350</v>
      </c>
      <c r="AI32" s="122" t="s">
        <v>352</v>
      </c>
      <c r="AJ32" s="122" t="s">
        <v>354</v>
      </c>
      <c r="AK32" s="122" t="s">
        <v>383</v>
      </c>
      <c r="AL32" s="122" t="s">
        <v>355</v>
      </c>
      <c r="AM32" s="122" t="s">
        <v>384</v>
      </c>
    </row>
    <row r="33" spans="2:39" ht="26" thickBot="1" x14ac:dyDescent="0.35">
      <c r="B33" s="50" t="s">
        <v>229</v>
      </c>
      <c r="C33" s="27" t="s">
        <v>230</v>
      </c>
      <c r="D33" s="28" t="s">
        <v>245</v>
      </c>
      <c r="E33" s="29" t="s">
        <v>234</v>
      </c>
      <c r="F33" s="27" t="s">
        <v>239</v>
      </c>
      <c r="G33" s="28" t="s">
        <v>238</v>
      </c>
      <c r="H33" s="28" t="s">
        <v>373</v>
      </c>
      <c r="I33" s="28" t="s">
        <v>237</v>
      </c>
      <c r="J33" s="28" t="s">
        <v>236</v>
      </c>
      <c r="K33" s="27" t="s">
        <v>305</v>
      </c>
      <c r="L33" s="28" t="s">
        <v>283</v>
      </c>
      <c r="M33" s="29" t="s">
        <v>235</v>
      </c>
      <c r="N33" s="58" t="s">
        <v>242</v>
      </c>
      <c r="O33" s="27" t="s">
        <v>240</v>
      </c>
      <c r="P33" s="28" t="s">
        <v>241</v>
      </c>
      <c r="Q33" s="28" t="s">
        <v>251</v>
      </c>
      <c r="R33" s="28" t="s">
        <v>291</v>
      </c>
      <c r="S33" s="29" t="s">
        <v>293</v>
      </c>
      <c r="T33" s="27" t="s">
        <v>249</v>
      </c>
      <c r="U33" s="28" t="s">
        <v>250</v>
      </c>
      <c r="V33" s="29" t="s">
        <v>296</v>
      </c>
      <c r="W33" s="27" t="s">
        <v>256</v>
      </c>
      <c r="X33" s="28" t="s">
        <v>257</v>
      </c>
      <c r="Y33" s="29" t="s">
        <v>261</v>
      </c>
      <c r="Z33" s="58" t="s">
        <v>290</v>
      </c>
      <c r="AA33" s="58" t="s">
        <v>270</v>
      </c>
      <c r="AB33" s="58" t="s">
        <v>281</v>
      </c>
      <c r="AC33" s="58" t="s">
        <v>253</v>
      </c>
      <c r="AD33" s="27" t="s">
        <v>243</v>
      </c>
      <c r="AE33" s="29" t="s">
        <v>231</v>
      </c>
      <c r="AG33" s="117" t="s">
        <v>349</v>
      </c>
      <c r="AH33" s="117" t="s">
        <v>351</v>
      </c>
      <c r="AI33" s="117" t="s">
        <v>353</v>
      </c>
      <c r="AJ33" s="117" t="s">
        <v>356</v>
      </c>
      <c r="AK33" s="117" t="s">
        <v>270</v>
      </c>
      <c r="AL33" s="117" t="s">
        <v>357</v>
      </c>
      <c r="AM33" s="117" t="s">
        <v>385</v>
      </c>
    </row>
    <row r="34" spans="2:39" x14ac:dyDescent="0.3">
      <c r="B34" s="51" t="s">
        <v>369</v>
      </c>
      <c r="C34" s="30" t="s">
        <v>277</v>
      </c>
      <c r="D34" s="31" t="s">
        <v>276</v>
      </c>
      <c r="E34" s="32" t="s">
        <v>248</v>
      </c>
      <c r="F34" s="54">
        <v>0.09</v>
      </c>
      <c r="G34" s="41">
        <v>9.6000000000000002E-2</v>
      </c>
      <c r="H34" s="41"/>
      <c r="I34" s="41">
        <v>0.02</v>
      </c>
      <c r="J34" s="41">
        <f>F34*G34*I34</f>
        <v>1.728E-4</v>
      </c>
      <c r="K34" s="62">
        <v>10</v>
      </c>
      <c r="L34" s="45">
        <v>0</v>
      </c>
      <c r="M34" s="125">
        <f>L34+K34</f>
        <v>10</v>
      </c>
      <c r="N34" s="59" t="s">
        <v>248</v>
      </c>
      <c r="O34" s="62">
        <v>0.17799999999999999</v>
      </c>
      <c r="P34" s="45">
        <v>0.33800000000000002</v>
      </c>
      <c r="Q34" s="44" t="s">
        <v>278</v>
      </c>
      <c r="R34" s="44"/>
      <c r="S34" s="63"/>
      <c r="T34" s="68" t="s">
        <v>248</v>
      </c>
      <c r="U34" s="44" t="s">
        <v>248</v>
      </c>
      <c r="V34" s="63" t="s">
        <v>248</v>
      </c>
      <c r="W34" s="68" t="s">
        <v>248</v>
      </c>
      <c r="X34" s="44" t="s">
        <v>248</v>
      </c>
      <c r="Y34" s="63" t="s">
        <v>248</v>
      </c>
      <c r="Z34" s="59" t="s">
        <v>248</v>
      </c>
      <c r="AA34" s="59">
        <v>9</v>
      </c>
      <c r="AB34" s="59" t="s">
        <v>282</v>
      </c>
      <c r="AC34" s="82" t="s">
        <v>279</v>
      </c>
      <c r="AD34" s="30" t="s">
        <v>280</v>
      </c>
      <c r="AE34" s="40" t="s">
        <v>359</v>
      </c>
      <c r="AG34" s="85" t="str">
        <f>_xlfn.CONCAT(B34,CHAR(10),CHAR(13)," (",C34,")")</f>
        <v>Biological Sensing Instrument (Science Payload)
_x000D_ (Imperial College London)</v>
      </c>
      <c r="AH34" s="116">
        <f>M34</f>
        <v>10</v>
      </c>
      <c r="AI34" s="117" t="str">
        <f>_xlfn.CONCAT(O34,"/",P34)</f>
        <v>0.178/0.338</v>
      </c>
      <c r="AJ34" s="118">
        <f t="shared" ref="AJ34:AJ37" si="25">J34</f>
        <v>1.728E-4</v>
      </c>
      <c r="AK34" s="119">
        <f>AA34</f>
        <v>9</v>
      </c>
      <c r="AL34" s="117" t="str">
        <f>_xlfn.CONCAT(T34,"/",U34)</f>
        <v>N/A/N/A</v>
      </c>
      <c r="AM34" s="117" t="str">
        <f t="shared" ref="AM34:AM45" si="26">V34</f>
        <v>N/A</v>
      </c>
    </row>
    <row r="35" spans="2:39" x14ac:dyDescent="0.3">
      <c r="B35" s="52" t="s">
        <v>370</v>
      </c>
      <c r="C35" s="33" t="s">
        <v>264</v>
      </c>
      <c r="D35" s="34" t="s">
        <v>265</v>
      </c>
      <c r="E35" s="35" t="s">
        <v>265</v>
      </c>
      <c r="F35" s="55">
        <v>9.5399999999999999E-2</v>
      </c>
      <c r="G35" s="42">
        <v>9.5899999999999999E-2</v>
      </c>
      <c r="H35" s="42"/>
      <c r="I35" s="42">
        <v>6.7299999999999999E-2</v>
      </c>
      <c r="J35" s="41">
        <f>F35*G35*I35</f>
        <v>6.1571827799999999E-4</v>
      </c>
      <c r="K35" s="64">
        <v>15.2</v>
      </c>
      <c r="L35" s="47">
        <v>0</v>
      </c>
      <c r="M35" s="126">
        <f>L35+K35</f>
        <v>15.2</v>
      </c>
      <c r="N35" s="60" t="s">
        <v>248</v>
      </c>
      <c r="O35" s="64">
        <v>0.9</v>
      </c>
      <c r="P35" s="47">
        <v>2</v>
      </c>
      <c r="Q35" s="46" t="s">
        <v>262</v>
      </c>
      <c r="R35" s="46"/>
      <c r="S35" s="65"/>
      <c r="T35" s="69">
        <v>-45</v>
      </c>
      <c r="U35" s="46">
        <v>85</v>
      </c>
      <c r="V35" s="65" t="s">
        <v>360</v>
      </c>
      <c r="W35" s="69" t="s">
        <v>248</v>
      </c>
      <c r="X35" s="46" t="s">
        <v>248</v>
      </c>
      <c r="Y35" s="65" t="s">
        <v>248</v>
      </c>
      <c r="Z35" s="60" t="s">
        <v>248</v>
      </c>
      <c r="AA35" s="60">
        <v>9</v>
      </c>
      <c r="AB35" s="60" t="s">
        <v>248</v>
      </c>
      <c r="AC35" s="83" t="s">
        <v>266</v>
      </c>
      <c r="AD35" s="33" t="s">
        <v>267</v>
      </c>
      <c r="AE35" s="35"/>
      <c r="AG35" s="85" t="str">
        <f t="shared" ref="AG35:AG37" si="27">_xlfn.CONCAT(B35,CHAR(10),CHAR(13)," (",C35,")")</f>
        <v>Synthetic Aperature Radar (SAR)
_x000D_ (AAC Clyde Space)</v>
      </c>
      <c r="AH35" s="116">
        <f t="shared" ref="AH35:AH37" si="28">M35</f>
        <v>15.2</v>
      </c>
      <c r="AI35" s="117" t="str">
        <f t="shared" ref="AI35:AI37" si="29">_xlfn.CONCAT(O35,"/",P35)</f>
        <v>0.9/2</v>
      </c>
      <c r="AJ35" s="118">
        <f t="shared" si="25"/>
        <v>6.1571827799999999E-4</v>
      </c>
      <c r="AK35" s="119">
        <f t="shared" ref="AK35:AK37" si="30">AA35</f>
        <v>9</v>
      </c>
      <c r="AL35" s="117" t="str">
        <f t="shared" ref="AL35:AL37" si="31">_xlfn.CONCAT(T35,"/",U35)</f>
        <v>-45/85</v>
      </c>
      <c r="AM35" s="117" t="str">
        <f t="shared" si="26"/>
        <v>45 krad</v>
      </c>
    </row>
    <row r="36" spans="2:39" x14ac:dyDescent="0.3">
      <c r="B36" s="52" t="s">
        <v>299</v>
      </c>
      <c r="C36" s="33" t="s">
        <v>264</v>
      </c>
      <c r="D36" s="34" t="s">
        <v>268</v>
      </c>
      <c r="E36" s="35" t="s">
        <v>268</v>
      </c>
      <c r="F36" s="55">
        <v>0.05</v>
      </c>
      <c r="G36" s="42">
        <v>0.03</v>
      </c>
      <c r="H36" s="42"/>
      <c r="I36" s="42">
        <v>0.01</v>
      </c>
      <c r="J36" s="41">
        <f>F36*G36*I36</f>
        <v>1.5E-5</v>
      </c>
      <c r="K36" s="64">
        <f>7/1000</f>
        <v>7.0000000000000001E-3</v>
      </c>
      <c r="L36" s="47">
        <v>0</v>
      </c>
      <c r="M36" s="126">
        <f t="shared" ref="M36:M44" si="32">L36+K36</f>
        <v>7.0000000000000001E-3</v>
      </c>
      <c r="N36" s="60" t="s">
        <v>248</v>
      </c>
      <c r="O36" s="64">
        <v>0</v>
      </c>
      <c r="P36" s="47">
        <v>0.55000000000000004</v>
      </c>
      <c r="Q36" s="46" t="s">
        <v>262</v>
      </c>
      <c r="R36" s="46"/>
      <c r="S36" s="65"/>
      <c r="T36" s="69">
        <v>-45</v>
      </c>
      <c r="U36" s="46">
        <v>85</v>
      </c>
      <c r="V36" s="65" t="s">
        <v>362</v>
      </c>
      <c r="W36" s="69" t="s">
        <v>248</v>
      </c>
      <c r="X36" s="46" t="s">
        <v>248</v>
      </c>
      <c r="Y36" s="65" t="s">
        <v>248</v>
      </c>
      <c r="Z36" s="60" t="s">
        <v>297</v>
      </c>
      <c r="AA36" s="60">
        <v>9</v>
      </c>
      <c r="AB36" s="60" t="s">
        <v>248</v>
      </c>
      <c r="AC36" s="83" t="s">
        <v>271</v>
      </c>
      <c r="AD36" s="33" t="s">
        <v>269</v>
      </c>
      <c r="AE36" s="35"/>
      <c r="AG36" s="85" t="str">
        <f t="shared" si="27"/>
        <v>Payload &amp; Mission Processor 
_x000D_ (AAC Clyde Space)</v>
      </c>
      <c r="AH36" s="116">
        <f t="shared" si="28"/>
        <v>7.0000000000000001E-3</v>
      </c>
      <c r="AI36" s="117" t="str">
        <f t="shared" si="29"/>
        <v>0/0.55</v>
      </c>
      <c r="AJ36" s="118">
        <f t="shared" si="25"/>
        <v>1.5E-5</v>
      </c>
      <c r="AK36" s="119">
        <f t="shared" si="30"/>
        <v>9</v>
      </c>
      <c r="AL36" s="117" t="str">
        <f t="shared" si="31"/>
        <v>-45/85</v>
      </c>
      <c r="AM36" s="117" t="str">
        <f t="shared" si="26"/>
        <v>25 krad</v>
      </c>
    </row>
    <row r="37" spans="2:39" x14ac:dyDescent="0.3">
      <c r="B37" s="52" t="s">
        <v>371</v>
      </c>
      <c r="C37" s="33" t="s">
        <v>248</v>
      </c>
      <c r="D37" s="34" t="s">
        <v>248</v>
      </c>
      <c r="E37" s="35" t="s">
        <v>248</v>
      </c>
      <c r="F37" s="55"/>
      <c r="G37" s="42"/>
      <c r="H37" s="42"/>
      <c r="I37" s="42"/>
      <c r="J37" s="41">
        <f t="shared" ref="J37:J44" si="33">F37*G37*I37</f>
        <v>0</v>
      </c>
      <c r="K37" s="64">
        <v>25</v>
      </c>
      <c r="L37" s="47">
        <v>0</v>
      </c>
      <c r="M37" s="126">
        <f t="shared" si="32"/>
        <v>25</v>
      </c>
      <c r="N37" s="60" t="s">
        <v>248</v>
      </c>
      <c r="O37" s="64">
        <v>0</v>
      </c>
      <c r="P37" s="47">
        <v>0</v>
      </c>
      <c r="Q37" s="46" t="s">
        <v>248</v>
      </c>
      <c r="R37" s="46"/>
      <c r="S37" s="65"/>
      <c r="T37" s="69" t="s">
        <v>248</v>
      </c>
      <c r="U37" s="46" t="s">
        <v>248</v>
      </c>
      <c r="V37" s="65" t="s">
        <v>248</v>
      </c>
      <c r="W37" s="69" t="s">
        <v>248</v>
      </c>
      <c r="X37" s="46" t="s">
        <v>248</v>
      </c>
      <c r="Y37" s="65" t="s">
        <v>248</v>
      </c>
      <c r="Z37" s="60" t="s">
        <v>248</v>
      </c>
      <c r="AA37" s="60">
        <v>9</v>
      </c>
      <c r="AB37" s="60" t="s">
        <v>248</v>
      </c>
      <c r="AC37" s="83" t="s">
        <v>248</v>
      </c>
      <c r="AD37" s="33"/>
      <c r="AE37" s="35"/>
      <c r="AG37" s="85" t="str">
        <f t="shared" si="27"/>
        <v>Module Structure
_x000D_ (N/A)</v>
      </c>
      <c r="AH37" s="116">
        <f t="shared" si="28"/>
        <v>25</v>
      </c>
      <c r="AI37" s="117" t="str">
        <f t="shared" si="29"/>
        <v>0/0</v>
      </c>
      <c r="AJ37" s="118">
        <f t="shared" si="25"/>
        <v>0</v>
      </c>
      <c r="AK37" s="119">
        <f t="shared" si="30"/>
        <v>9</v>
      </c>
      <c r="AL37" s="117" t="str">
        <f t="shared" si="31"/>
        <v>N/A/N/A</v>
      </c>
      <c r="AM37" s="117" t="str">
        <f t="shared" si="26"/>
        <v>N/A</v>
      </c>
    </row>
    <row r="38" spans="2:39" x14ac:dyDescent="0.3">
      <c r="B38" s="52" t="s">
        <v>285</v>
      </c>
      <c r="C38" s="33" t="s">
        <v>376</v>
      </c>
      <c r="D38" s="34" t="s">
        <v>377</v>
      </c>
      <c r="E38" s="35" t="s">
        <v>248</v>
      </c>
      <c r="F38" s="55">
        <v>0.50900000000000001</v>
      </c>
      <c r="G38" s="42">
        <v>0.35499999999999998</v>
      </c>
      <c r="H38" s="42"/>
      <c r="I38" s="42">
        <v>0.155</v>
      </c>
      <c r="J38" s="41">
        <f t="shared" si="33"/>
        <v>2.8007725000000001E-2</v>
      </c>
      <c r="K38" s="64">
        <v>30</v>
      </c>
      <c r="L38" s="47">
        <v>0</v>
      </c>
      <c r="M38" s="126">
        <f t="shared" si="32"/>
        <v>30</v>
      </c>
      <c r="N38" s="60" t="s">
        <v>248</v>
      </c>
      <c r="O38" s="64">
        <v>0</v>
      </c>
      <c r="P38" s="47">
        <v>0</v>
      </c>
      <c r="Q38" s="46" t="s">
        <v>363</v>
      </c>
      <c r="R38" s="46"/>
      <c r="S38" s="65">
        <v>5400</v>
      </c>
      <c r="T38" s="69">
        <v>10</v>
      </c>
      <c r="U38" s="46">
        <v>30</v>
      </c>
      <c r="V38" s="65" t="s">
        <v>248</v>
      </c>
      <c r="W38" s="69" t="s">
        <v>248</v>
      </c>
      <c r="X38" s="46" t="s">
        <v>248</v>
      </c>
      <c r="Y38" s="65" t="s">
        <v>248</v>
      </c>
      <c r="Z38" s="60" t="s">
        <v>248</v>
      </c>
      <c r="AA38" s="60">
        <v>7</v>
      </c>
      <c r="AB38" s="60" t="s">
        <v>248</v>
      </c>
      <c r="AC38" s="83"/>
      <c r="AD38" s="33"/>
      <c r="AE38" s="35"/>
      <c r="AG38" s="85" t="str">
        <f t="shared" ref="AG38:AG45" si="34">_xlfn.CONCAT(B38,CHAR(10),CHAR(13)," (",C38,")")</f>
        <v>Battery
_x000D_ (Airbus)</v>
      </c>
      <c r="AH38" s="116">
        <f t="shared" ref="AH38:AH46" si="35">M38</f>
        <v>30</v>
      </c>
      <c r="AI38" s="117" t="str">
        <f t="shared" ref="AI38:AI46" si="36">_xlfn.CONCAT(O38,"/",P38)</f>
        <v>0/0</v>
      </c>
      <c r="AJ38" s="118">
        <f t="shared" ref="AJ38:AJ46" si="37">J38</f>
        <v>2.8007725000000001E-2</v>
      </c>
      <c r="AK38" s="119">
        <f t="shared" ref="AK38:AK45" si="38">AA38</f>
        <v>7</v>
      </c>
      <c r="AL38" s="117" t="str">
        <f t="shared" ref="AL38:AL45" si="39">_xlfn.CONCAT(T38,"/",U38)</f>
        <v>10/30</v>
      </c>
      <c r="AM38" s="117" t="str">
        <f t="shared" si="26"/>
        <v>N/A</v>
      </c>
    </row>
    <row r="39" spans="2:39" x14ac:dyDescent="0.3">
      <c r="B39" s="52" t="s">
        <v>286</v>
      </c>
      <c r="C39" s="33" t="s">
        <v>264</v>
      </c>
      <c r="D39" s="34" t="s">
        <v>294</v>
      </c>
      <c r="E39" s="35" t="s">
        <v>295</v>
      </c>
      <c r="F39" s="55">
        <v>9.5890000000000003E-2</v>
      </c>
      <c r="G39" s="42">
        <v>9.017E-2</v>
      </c>
      <c r="H39" s="42"/>
      <c r="I39" s="42">
        <v>2.0820000000000002E-2</v>
      </c>
      <c r="J39" s="41">
        <f t="shared" si="33"/>
        <v>1.8001807506600002E-4</v>
      </c>
      <c r="K39" s="64">
        <v>0.14799999999999999</v>
      </c>
      <c r="L39" s="47">
        <v>0</v>
      </c>
      <c r="M39" s="126">
        <f t="shared" si="32"/>
        <v>0.14799999999999999</v>
      </c>
      <c r="N39" s="60" t="s">
        <v>248</v>
      </c>
      <c r="O39" s="64">
        <v>0</v>
      </c>
      <c r="P39" s="47">
        <v>0</v>
      </c>
      <c r="Q39" s="46" t="s">
        <v>275</v>
      </c>
      <c r="R39" s="46"/>
      <c r="S39" s="65"/>
      <c r="T39" s="69">
        <v>-40</v>
      </c>
      <c r="U39" s="46">
        <v>85</v>
      </c>
      <c r="V39" s="65" t="s">
        <v>364</v>
      </c>
      <c r="W39" s="69" t="s">
        <v>248</v>
      </c>
      <c r="X39" s="46" t="s">
        <v>248</v>
      </c>
      <c r="Y39" s="65" t="s">
        <v>248</v>
      </c>
      <c r="Z39" s="60" t="s">
        <v>248</v>
      </c>
      <c r="AA39" s="60">
        <v>9</v>
      </c>
      <c r="AB39" s="60" t="s">
        <v>248</v>
      </c>
      <c r="AC39" s="83"/>
      <c r="AD39" s="33"/>
      <c r="AE39" s="35"/>
      <c r="AG39" s="85" t="str">
        <f t="shared" si="34"/>
        <v>Power Management &amp; Distribution
_x000D_ (AAC Clyde Space)</v>
      </c>
      <c r="AH39" s="116">
        <f t="shared" si="35"/>
        <v>0.14799999999999999</v>
      </c>
      <c r="AI39" s="117" t="str">
        <f t="shared" si="36"/>
        <v>0/0</v>
      </c>
      <c r="AJ39" s="118">
        <f t="shared" si="37"/>
        <v>1.8001807506600002E-4</v>
      </c>
      <c r="AK39" s="119">
        <f t="shared" si="38"/>
        <v>9</v>
      </c>
      <c r="AL39" s="117" t="str">
        <f t="shared" si="39"/>
        <v>-40/85</v>
      </c>
      <c r="AM39" s="117" t="str">
        <f t="shared" si="26"/>
        <v>10 krad</v>
      </c>
    </row>
    <row r="40" spans="2:39" x14ac:dyDescent="0.3">
      <c r="B40" s="52" t="s">
        <v>298</v>
      </c>
      <c r="C40" s="33" t="s">
        <v>382</v>
      </c>
      <c r="D40" s="34" t="s">
        <v>248</v>
      </c>
      <c r="E40" s="35" t="s">
        <v>248</v>
      </c>
      <c r="F40" s="55">
        <v>0.01</v>
      </c>
      <c r="G40" s="42">
        <v>0.01</v>
      </c>
      <c r="H40" s="42"/>
      <c r="I40" s="42">
        <v>0.01</v>
      </c>
      <c r="J40" s="41">
        <f t="shared" si="33"/>
        <v>1.0000000000000002E-6</v>
      </c>
      <c r="K40" s="64">
        <v>0.25</v>
      </c>
      <c r="L40" s="47">
        <v>0</v>
      </c>
      <c r="M40" s="126">
        <f t="shared" si="32"/>
        <v>0.25</v>
      </c>
      <c r="N40" s="60" t="s">
        <v>248</v>
      </c>
      <c r="O40" s="64">
        <v>0</v>
      </c>
      <c r="P40" s="47">
        <v>0</v>
      </c>
      <c r="Q40" s="46" t="s">
        <v>248</v>
      </c>
      <c r="R40" s="46"/>
      <c r="S40" s="65"/>
      <c r="T40" s="69" t="s">
        <v>248</v>
      </c>
      <c r="U40" s="46" t="s">
        <v>248</v>
      </c>
      <c r="V40" s="65" t="s">
        <v>248</v>
      </c>
      <c r="W40" s="69" t="s">
        <v>248</v>
      </c>
      <c r="X40" s="46" t="s">
        <v>248</v>
      </c>
      <c r="Y40" s="65" t="s">
        <v>248</v>
      </c>
      <c r="Z40" s="60" t="s">
        <v>248</v>
      </c>
      <c r="AA40" s="60" t="s">
        <v>248</v>
      </c>
      <c r="AB40" s="60" t="s">
        <v>248</v>
      </c>
      <c r="AC40" s="83"/>
      <c r="AD40" s="33"/>
      <c r="AE40" s="35"/>
      <c r="AG40" s="85" t="str">
        <f t="shared" si="34"/>
        <v>Cabling, Heaters and Contingency Mass
_x000D_ (VALO Mission Team)</v>
      </c>
      <c r="AH40" s="116">
        <f t="shared" si="35"/>
        <v>0.25</v>
      </c>
      <c r="AI40" s="117" t="str">
        <f t="shared" si="36"/>
        <v>0/0</v>
      </c>
      <c r="AJ40" s="118">
        <f t="shared" si="37"/>
        <v>1.0000000000000002E-6</v>
      </c>
      <c r="AK40" s="119" t="str">
        <f t="shared" si="38"/>
        <v>N/A</v>
      </c>
      <c r="AL40" s="117" t="str">
        <f t="shared" si="39"/>
        <v>N/A/N/A</v>
      </c>
      <c r="AM40" s="117" t="str">
        <f t="shared" si="26"/>
        <v>N/A</v>
      </c>
    </row>
    <row r="41" spans="2:39" x14ac:dyDescent="0.3">
      <c r="B41" s="52" t="s">
        <v>375</v>
      </c>
      <c r="C41" s="33" t="s">
        <v>382</v>
      </c>
      <c r="D41" s="34" t="s">
        <v>248</v>
      </c>
      <c r="E41" s="35" t="s">
        <v>248</v>
      </c>
      <c r="F41" s="55"/>
      <c r="G41" s="42"/>
      <c r="H41" s="42"/>
      <c r="I41" s="42"/>
      <c r="J41" s="41"/>
      <c r="K41" s="64">
        <v>76.55</v>
      </c>
      <c r="L41" s="47">
        <v>0</v>
      </c>
      <c r="M41" s="126">
        <f t="shared" si="32"/>
        <v>76.55</v>
      </c>
      <c r="N41" s="60" t="s">
        <v>248</v>
      </c>
      <c r="O41" s="64">
        <v>0</v>
      </c>
      <c r="P41" s="47">
        <v>0</v>
      </c>
      <c r="Q41" s="46"/>
      <c r="R41" s="46"/>
      <c r="S41" s="65"/>
      <c r="T41" s="69" t="s">
        <v>248</v>
      </c>
      <c r="U41" s="46" t="s">
        <v>248</v>
      </c>
      <c r="V41" s="65" t="s">
        <v>248</v>
      </c>
      <c r="W41" s="69"/>
      <c r="X41" s="46"/>
      <c r="Y41" s="65"/>
      <c r="Z41" s="60"/>
      <c r="AA41" s="60">
        <v>1</v>
      </c>
      <c r="AB41" s="60"/>
      <c r="AC41" s="83"/>
      <c r="AD41" s="33"/>
      <c r="AE41" s="35"/>
      <c r="AG41" s="85" t="str">
        <f t="shared" si="34"/>
        <v>Balloon 
_x000D_ (VALO Mission Team)</v>
      </c>
      <c r="AH41" s="116">
        <f t="shared" si="35"/>
        <v>76.55</v>
      </c>
      <c r="AI41" s="117" t="str">
        <f t="shared" si="36"/>
        <v>0/0</v>
      </c>
      <c r="AJ41" s="118">
        <f t="shared" si="37"/>
        <v>0</v>
      </c>
      <c r="AK41" s="119">
        <f t="shared" si="38"/>
        <v>1</v>
      </c>
      <c r="AL41" s="117" t="str">
        <f t="shared" si="39"/>
        <v>N/A/N/A</v>
      </c>
      <c r="AM41" s="117" t="str">
        <f t="shared" si="26"/>
        <v>N/A</v>
      </c>
    </row>
    <row r="42" spans="2:39" x14ac:dyDescent="0.3">
      <c r="B42" s="52" t="s">
        <v>372</v>
      </c>
      <c r="C42" s="33" t="s">
        <v>382</v>
      </c>
      <c r="D42" s="34" t="s">
        <v>248</v>
      </c>
      <c r="E42" s="35" t="s">
        <v>248</v>
      </c>
      <c r="F42" s="55"/>
      <c r="G42" s="42"/>
      <c r="H42" s="42"/>
      <c r="I42" s="42"/>
      <c r="J42" s="41">
        <f t="shared" si="33"/>
        <v>0</v>
      </c>
      <c r="K42" s="64">
        <v>2</v>
      </c>
      <c r="L42" s="47">
        <v>0</v>
      </c>
      <c r="M42" s="126">
        <f t="shared" si="32"/>
        <v>2</v>
      </c>
      <c r="N42" s="60" t="s">
        <v>248</v>
      </c>
      <c r="O42" s="64">
        <v>0</v>
      </c>
      <c r="P42" s="47">
        <v>0</v>
      </c>
      <c r="Q42" s="46"/>
      <c r="R42" s="46"/>
      <c r="S42" s="65"/>
      <c r="T42" s="69" t="s">
        <v>248</v>
      </c>
      <c r="U42" s="46" t="s">
        <v>248</v>
      </c>
      <c r="V42" s="65" t="s">
        <v>248</v>
      </c>
      <c r="W42" s="69" t="s">
        <v>248</v>
      </c>
      <c r="X42" s="46" t="s">
        <v>248</v>
      </c>
      <c r="Y42" s="65" t="s">
        <v>248</v>
      </c>
      <c r="Z42" s="60" t="s">
        <v>248</v>
      </c>
      <c r="AA42" s="60">
        <v>1</v>
      </c>
      <c r="AB42" s="60" t="s">
        <v>248</v>
      </c>
      <c r="AC42" s="83"/>
      <c r="AD42" s="33"/>
      <c r="AE42" s="35"/>
      <c r="AG42" s="85" t="str">
        <f t="shared" si="34"/>
        <v>Balloon Inflation System
_x000D_ (VALO Mission Team)</v>
      </c>
      <c r="AH42" s="116">
        <f t="shared" si="35"/>
        <v>2</v>
      </c>
      <c r="AI42" s="117" t="str">
        <f t="shared" si="36"/>
        <v>0/0</v>
      </c>
      <c r="AJ42" s="118">
        <f t="shared" si="37"/>
        <v>0</v>
      </c>
      <c r="AK42" s="119">
        <f t="shared" si="38"/>
        <v>1</v>
      </c>
      <c r="AL42" s="117" t="str">
        <f t="shared" si="39"/>
        <v>N/A/N/A</v>
      </c>
      <c r="AM42" s="117" t="str">
        <f t="shared" si="26"/>
        <v>N/A</v>
      </c>
    </row>
    <row r="43" spans="2:39" x14ac:dyDescent="0.3">
      <c r="B43" s="52" t="s">
        <v>378</v>
      </c>
      <c r="C43" s="33" t="s">
        <v>380</v>
      </c>
      <c r="D43" s="34" t="s">
        <v>381</v>
      </c>
      <c r="E43" s="35" t="s">
        <v>248</v>
      </c>
      <c r="F43" s="55"/>
      <c r="G43" s="42"/>
      <c r="H43" s="42">
        <v>0.23</v>
      </c>
      <c r="I43" s="42">
        <v>1.82</v>
      </c>
      <c r="J43" s="41">
        <f>PI()*POWER((H43/2),2)*I43</f>
        <v>7.5616564375579537E-2</v>
      </c>
      <c r="K43" s="64">
        <v>72</v>
      </c>
      <c r="L43" s="47">
        <v>0</v>
      </c>
      <c r="M43" s="126">
        <f t="shared" si="32"/>
        <v>72</v>
      </c>
      <c r="N43" s="60" t="s">
        <v>248</v>
      </c>
      <c r="O43" s="64">
        <v>0</v>
      </c>
      <c r="P43" s="47">
        <v>0</v>
      </c>
      <c r="Q43" s="46"/>
      <c r="R43" s="46"/>
      <c r="S43" s="65"/>
      <c r="T43" s="69" t="s">
        <v>248</v>
      </c>
      <c r="U43" s="46" t="s">
        <v>248</v>
      </c>
      <c r="V43" s="65" t="s">
        <v>248</v>
      </c>
      <c r="W43" s="69"/>
      <c r="X43" s="46"/>
      <c r="Y43" s="65"/>
      <c r="Z43" s="60"/>
      <c r="AA43" s="60">
        <v>1</v>
      </c>
      <c r="AB43" s="60"/>
      <c r="AC43" s="83"/>
      <c r="AD43" s="33"/>
      <c r="AE43" s="35"/>
      <c r="AG43" s="85" t="str">
        <f t="shared" si="34"/>
        <v>Altitude Maintenance Canister - Helium (1)
_x000D_ (BOC)</v>
      </c>
      <c r="AH43" s="116">
        <f t="shared" si="35"/>
        <v>72</v>
      </c>
      <c r="AI43" s="117" t="str">
        <f t="shared" si="36"/>
        <v>0/0</v>
      </c>
      <c r="AJ43" s="118">
        <f t="shared" si="37"/>
        <v>7.5616564375579537E-2</v>
      </c>
      <c r="AK43" s="119">
        <f t="shared" si="38"/>
        <v>1</v>
      </c>
      <c r="AL43" s="117" t="str">
        <f t="shared" si="39"/>
        <v>N/A/N/A</v>
      </c>
      <c r="AM43" s="117" t="str">
        <f t="shared" si="26"/>
        <v>N/A</v>
      </c>
    </row>
    <row r="44" spans="2:39" x14ac:dyDescent="0.3">
      <c r="B44" s="52" t="s">
        <v>244</v>
      </c>
      <c r="C44" s="33" t="s">
        <v>246</v>
      </c>
      <c r="D44" s="34" t="s">
        <v>247</v>
      </c>
      <c r="E44" s="35" t="s">
        <v>254</v>
      </c>
      <c r="F44" s="55">
        <f>9.6/100</f>
        <v>9.6000000000000002E-2</v>
      </c>
      <c r="G44" s="42">
        <f>9/100</f>
        <v>0.09</v>
      </c>
      <c r="H44" s="42"/>
      <c r="I44" s="42">
        <f>1.6/100</f>
        <v>1.6E-2</v>
      </c>
      <c r="J44" s="41">
        <f t="shared" si="33"/>
        <v>1.3824E-4</v>
      </c>
      <c r="K44" s="64">
        <f>78/1000</f>
        <v>7.8E-2</v>
      </c>
      <c r="L44" s="47">
        <v>0</v>
      </c>
      <c r="M44" s="126">
        <f t="shared" si="32"/>
        <v>7.8E-2</v>
      </c>
      <c r="N44" s="60" t="s">
        <v>248</v>
      </c>
      <c r="O44" s="64">
        <f>200/1000</f>
        <v>0.2</v>
      </c>
      <c r="P44" s="47">
        <v>16</v>
      </c>
      <c r="Q44" s="46" t="s">
        <v>252</v>
      </c>
      <c r="R44" s="46"/>
      <c r="S44" s="65"/>
      <c r="T44" s="69">
        <v>-30</v>
      </c>
      <c r="U44" s="46">
        <v>70</v>
      </c>
      <c r="V44" s="65" t="s">
        <v>248</v>
      </c>
      <c r="W44" s="69" t="s">
        <v>248</v>
      </c>
      <c r="X44" s="46" t="s">
        <v>248</v>
      </c>
      <c r="Y44" s="65" t="s">
        <v>248</v>
      </c>
      <c r="Z44" s="60" t="s">
        <v>248</v>
      </c>
      <c r="AA44" s="60" t="s">
        <v>248</v>
      </c>
      <c r="AB44" s="60" t="s">
        <v>248</v>
      </c>
      <c r="AC44" s="83" t="s">
        <v>260</v>
      </c>
      <c r="AD44" s="33" t="s">
        <v>272</v>
      </c>
      <c r="AE44" s="35"/>
      <c r="AG44" s="85" t="str">
        <f t="shared" si="34"/>
        <v>Communications (Transceiver)
_x000D_ (AstroDev )</v>
      </c>
      <c r="AH44" s="116">
        <f t="shared" si="35"/>
        <v>7.8E-2</v>
      </c>
      <c r="AI44" s="117" t="str">
        <f t="shared" si="36"/>
        <v>0.2/16</v>
      </c>
      <c r="AJ44" s="118">
        <f t="shared" si="37"/>
        <v>1.3824E-4</v>
      </c>
      <c r="AK44" s="119" t="str">
        <f t="shared" si="38"/>
        <v>N/A</v>
      </c>
      <c r="AL44" s="117" t="str">
        <f t="shared" si="39"/>
        <v>-30/70</v>
      </c>
      <c r="AM44" s="117" t="str">
        <f t="shared" si="26"/>
        <v>N/A</v>
      </c>
    </row>
    <row r="45" spans="2:39" ht="15" thickBot="1" x14ac:dyDescent="0.35">
      <c r="B45" s="53" t="s">
        <v>233</v>
      </c>
      <c r="C45" s="38" t="s">
        <v>255</v>
      </c>
      <c r="D45" s="36" t="s">
        <v>318</v>
      </c>
      <c r="E45" s="37" t="s">
        <v>319</v>
      </c>
      <c r="F45" s="56">
        <v>0.1</v>
      </c>
      <c r="G45" s="43">
        <v>0.1</v>
      </c>
      <c r="H45" s="43"/>
      <c r="I45" s="43">
        <v>0.04</v>
      </c>
      <c r="J45" s="43">
        <f>F45*G45*I45</f>
        <v>4.0000000000000007E-4</v>
      </c>
      <c r="K45" s="66">
        <v>0.18</v>
      </c>
      <c r="L45" s="49">
        <v>0</v>
      </c>
      <c r="M45" s="128">
        <f>L45+K45</f>
        <v>0.18</v>
      </c>
      <c r="N45" s="61" t="s">
        <v>248</v>
      </c>
      <c r="O45" s="66">
        <v>0</v>
      </c>
      <c r="P45" s="49">
        <f>2.6*5</f>
        <v>13</v>
      </c>
      <c r="Q45" s="48" t="s">
        <v>262</v>
      </c>
      <c r="R45" s="48"/>
      <c r="S45" s="67"/>
      <c r="T45" s="70" t="s">
        <v>248</v>
      </c>
      <c r="U45" s="48" t="s">
        <v>248</v>
      </c>
      <c r="V45" s="67" t="s">
        <v>248</v>
      </c>
      <c r="W45" s="70">
        <v>3.5</v>
      </c>
      <c r="X45" s="48">
        <v>10</v>
      </c>
      <c r="Y45" s="67">
        <v>120</v>
      </c>
      <c r="Z45" s="61" t="s">
        <v>248</v>
      </c>
      <c r="AA45" s="61" t="s">
        <v>248</v>
      </c>
      <c r="AB45" s="61" t="s">
        <v>248</v>
      </c>
      <c r="AC45" s="84" t="s">
        <v>259</v>
      </c>
      <c r="AD45" s="38" t="s">
        <v>258</v>
      </c>
      <c r="AE45" s="37"/>
      <c r="AG45" s="85" t="str">
        <f t="shared" si="34"/>
        <v>RF Antenna 
_x000D_ (Helical Communications Technologies)</v>
      </c>
      <c r="AH45" s="116">
        <f t="shared" si="35"/>
        <v>0.18</v>
      </c>
      <c r="AI45" s="117" t="str">
        <f t="shared" si="36"/>
        <v>0/13</v>
      </c>
      <c r="AJ45" s="118">
        <f t="shared" si="37"/>
        <v>4.0000000000000007E-4</v>
      </c>
      <c r="AK45" s="119" t="str">
        <f t="shared" si="38"/>
        <v>N/A</v>
      </c>
      <c r="AL45" s="117" t="str">
        <f t="shared" si="39"/>
        <v>N/A/N/A</v>
      </c>
      <c r="AM45" s="117" t="str">
        <f t="shared" si="26"/>
        <v>N/A</v>
      </c>
    </row>
    <row r="46" spans="2:39" ht="15" thickBot="1" x14ac:dyDescent="0.35">
      <c r="B46" s="53"/>
      <c r="C46" s="38"/>
      <c r="D46" s="36"/>
      <c r="E46" s="37"/>
      <c r="F46" s="56"/>
      <c r="G46" s="43"/>
      <c r="H46" s="43"/>
      <c r="I46" s="43"/>
      <c r="J46" s="77">
        <f>SUM(J34:J45)</f>
        <v>0.10514706572864553</v>
      </c>
      <c r="K46" s="78">
        <f>SUM(K34:K45)</f>
        <v>231.41299999999998</v>
      </c>
      <c r="L46" s="77">
        <f>SUM(L34:L45)</f>
        <v>0</v>
      </c>
      <c r="M46" s="79">
        <f>SUM(M34:M45)</f>
        <v>231.41299999999998</v>
      </c>
      <c r="N46" s="80"/>
      <c r="O46" s="78">
        <f>SUM(O34:O45)</f>
        <v>1.278</v>
      </c>
      <c r="P46" s="77">
        <f>SUM(P34:P45)</f>
        <v>31.887999999999998</v>
      </c>
      <c r="Q46" s="81"/>
      <c r="R46" s="77">
        <f>SUM(R34:R45)</f>
        <v>0</v>
      </c>
      <c r="S46" s="79">
        <f>SUM(S34:S45)</f>
        <v>5400</v>
      </c>
      <c r="T46" s="70">
        <f>MAX(T34:T45)</f>
        <v>10</v>
      </c>
      <c r="U46" s="48">
        <f>MIN(U34:U45)</f>
        <v>30</v>
      </c>
      <c r="V46" s="67"/>
      <c r="W46" s="70"/>
      <c r="X46" s="48"/>
      <c r="Y46" s="67"/>
      <c r="Z46" s="61"/>
      <c r="AA46" s="61"/>
      <c r="AB46" s="61"/>
      <c r="AC46" s="61"/>
      <c r="AD46" s="38"/>
      <c r="AE46" s="37"/>
      <c r="AG46" s="120" t="s">
        <v>358</v>
      </c>
      <c r="AH46" s="121">
        <f t="shared" si="35"/>
        <v>231.41299999999998</v>
      </c>
      <c r="AI46" s="122" t="str">
        <f t="shared" si="36"/>
        <v>1.278/31.888</v>
      </c>
      <c r="AJ46" s="123">
        <f t="shared" si="37"/>
        <v>0.10514706572864553</v>
      </c>
      <c r="AK46" s="124"/>
      <c r="AL46" s="117"/>
    </row>
    <row r="47" spans="2:39" x14ac:dyDescent="0.35">
      <c r="K47" s="129" t="s">
        <v>389</v>
      </c>
      <c r="L47" s="74"/>
      <c r="M47" s="130">
        <f>M31-M46</f>
        <v>97.676999999999992</v>
      </c>
      <c r="N47" s="131" t="s">
        <v>121</v>
      </c>
    </row>
    <row r="48" spans="2:39" x14ac:dyDescent="0.35">
      <c r="B48" s="26" t="s">
        <v>379</v>
      </c>
    </row>
  </sheetData>
  <mergeCells count="21">
    <mergeCell ref="W22:Y22"/>
    <mergeCell ref="AD22:AE22"/>
    <mergeCell ref="C32:E32"/>
    <mergeCell ref="F32:J32"/>
    <mergeCell ref="K32:M32"/>
    <mergeCell ref="O32:S32"/>
    <mergeCell ref="T32:V32"/>
    <mergeCell ref="W32:Y32"/>
    <mergeCell ref="AD32:AE32"/>
    <mergeCell ref="C22:E22"/>
    <mergeCell ref="F22:J22"/>
    <mergeCell ref="K22:M22"/>
    <mergeCell ref="O22:S22"/>
    <mergeCell ref="T22:V22"/>
    <mergeCell ref="AD4:AE4"/>
    <mergeCell ref="C4:E4"/>
    <mergeCell ref="F4:J4"/>
    <mergeCell ref="K4:M4"/>
    <mergeCell ref="O4:S4"/>
    <mergeCell ref="T4:V4"/>
    <mergeCell ref="W4:Y4"/>
  </mergeCells>
  <hyperlinks>
    <hyperlink ref="AE6" r:id="rId1" display="https://www.imperial.ac.uk/space-and-atmospheric-physics/research/missions-and-projects/space-missions/trio-cinema/magic_stein/" xr:uid="{5FBB1370-B3B1-4702-B330-74C3684A51F4}"/>
    <hyperlink ref="AE24" r:id="rId2" display="https://www.imperial.ac.uk/space-and-atmospheric-physics/research/missions-and-projects/space-missions/trio-cinema/magic_stein/" xr:uid="{47285EAD-007F-4383-B7CB-DD82E805D487}"/>
    <hyperlink ref="AE34" r:id="rId3" display="https://www.imperial.ac.uk/space-and-atmospheric-physics/research/missions-and-projects/space-missions/trio-cinema/magic_stein/" xr:uid="{B45B550F-5AB2-4E23-9A5D-5650B311CAF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B418F-E016-4273-B879-51DAA09C8EE1}">
  <dimension ref="A1:J19"/>
  <sheetViews>
    <sheetView workbookViewId="0">
      <selection activeCell="H30" sqref="H30"/>
    </sheetView>
  </sheetViews>
  <sheetFormatPr defaultRowHeight="14.5" x14ac:dyDescent="0.35"/>
  <cols>
    <col min="1" max="7" width="23.81640625" customWidth="1"/>
    <col min="8" max="8" width="11.81640625" customWidth="1"/>
  </cols>
  <sheetData>
    <row r="1" spans="1:10" x14ac:dyDescent="0.35">
      <c r="A1" t="s">
        <v>338</v>
      </c>
      <c r="B1" t="s">
        <v>339</v>
      </c>
      <c r="C1" t="s">
        <v>344</v>
      </c>
      <c r="D1" t="s">
        <v>343</v>
      </c>
      <c r="E1" t="s">
        <v>341</v>
      </c>
      <c r="F1" t="s">
        <v>342</v>
      </c>
      <c r="G1" t="s">
        <v>340</v>
      </c>
      <c r="H1" t="s">
        <v>346</v>
      </c>
      <c r="I1" t="s">
        <v>345</v>
      </c>
      <c r="J1" t="s">
        <v>347</v>
      </c>
    </row>
    <row r="2" spans="1:10" x14ac:dyDescent="0.35">
      <c r="A2" t="s">
        <v>320</v>
      </c>
      <c r="B2">
        <v>-3</v>
      </c>
      <c r="C2" s="7">
        <v>2.4E-2</v>
      </c>
      <c r="D2" s="7">
        <v>451.89</v>
      </c>
      <c r="E2" s="7">
        <v>0</v>
      </c>
      <c r="F2" s="7">
        <f>0</f>
        <v>0</v>
      </c>
      <c r="G2" s="7">
        <v>0</v>
      </c>
      <c r="H2" s="7">
        <v>0</v>
      </c>
      <c r="I2" s="7">
        <v>0</v>
      </c>
      <c r="J2" s="7">
        <v>0</v>
      </c>
    </row>
    <row r="3" spans="1:10" x14ac:dyDescent="0.35">
      <c r="A3" t="s">
        <v>321</v>
      </c>
      <c r="B3">
        <v>0</v>
      </c>
      <c r="C3" s="7">
        <v>2.4E-2</v>
      </c>
      <c r="D3" s="7">
        <v>451.89</v>
      </c>
      <c r="E3" s="7">
        <v>0</v>
      </c>
      <c r="F3" s="7">
        <f>0</f>
        <v>0</v>
      </c>
      <c r="G3" s="7">
        <v>0</v>
      </c>
      <c r="H3" s="7">
        <v>0</v>
      </c>
      <c r="I3" s="7">
        <v>0</v>
      </c>
      <c r="J3" s="7">
        <v>0</v>
      </c>
    </row>
    <row r="4" spans="1:10" x14ac:dyDescent="0.35">
      <c r="A4" t="s">
        <v>322</v>
      </c>
      <c r="B4">
        <v>0.46</v>
      </c>
      <c r="C4" s="7">
        <v>2.4E-2</v>
      </c>
      <c r="D4" s="7">
        <v>451.89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</row>
    <row r="5" spans="1:10" x14ac:dyDescent="0.35">
      <c r="A5" t="s">
        <v>323</v>
      </c>
      <c r="B5">
        <v>0.66</v>
      </c>
      <c r="C5" s="7">
        <v>2.4E-2</v>
      </c>
      <c r="D5" s="7">
        <v>451.89</v>
      </c>
      <c r="E5" s="7">
        <f>D5</f>
        <v>451.89</v>
      </c>
      <c r="F5" s="7">
        <v>0.66</v>
      </c>
      <c r="G5" s="7">
        <f t="shared" ref="G5:G19" si="0">E5/F5</f>
        <v>684.68181818181813</v>
      </c>
      <c r="H5" s="7">
        <f>D5-0</f>
        <v>451.89</v>
      </c>
      <c r="I5">
        <f>B5</f>
        <v>0.66</v>
      </c>
      <c r="J5" s="7">
        <f t="shared" ref="J5:J19" si="1">H5/I5</f>
        <v>684.68181818181813</v>
      </c>
    </row>
    <row r="6" spans="1:10" x14ac:dyDescent="0.35">
      <c r="A6" t="s">
        <v>324</v>
      </c>
      <c r="B6">
        <v>25.04</v>
      </c>
      <c r="C6" s="7">
        <v>2.67</v>
      </c>
      <c r="D6" s="7">
        <v>611.52</v>
      </c>
      <c r="E6" s="7">
        <f>D6-D5</f>
        <v>159.63</v>
      </c>
      <c r="F6" s="7">
        <f t="shared" ref="F6:F19" si="2">B6-B5</f>
        <v>24.38</v>
      </c>
      <c r="G6" s="7">
        <f t="shared" si="0"/>
        <v>6.547579983593109</v>
      </c>
      <c r="H6" s="7">
        <f t="shared" ref="H6:H19" si="3">D6-0</f>
        <v>611.52</v>
      </c>
      <c r="I6">
        <f t="shared" ref="I6:I19" si="4">B6</f>
        <v>25.04</v>
      </c>
      <c r="J6" s="7">
        <f t="shared" si="1"/>
        <v>24.421725239616613</v>
      </c>
    </row>
    <row r="7" spans="1:10" x14ac:dyDescent="0.35">
      <c r="A7" t="s">
        <v>325</v>
      </c>
      <c r="B7">
        <v>69.94</v>
      </c>
      <c r="C7" s="7">
        <v>23.489000000000001</v>
      </c>
      <c r="D7" s="7">
        <v>1431.8</v>
      </c>
      <c r="E7" s="7">
        <f t="shared" ref="E7:E19" si="5">D7-D6</f>
        <v>820.28</v>
      </c>
      <c r="F7" s="7">
        <f t="shared" si="2"/>
        <v>44.9</v>
      </c>
      <c r="G7" s="7">
        <f t="shared" si="0"/>
        <v>18.269042316258354</v>
      </c>
      <c r="H7" s="7">
        <f t="shared" si="3"/>
        <v>1431.8</v>
      </c>
      <c r="I7">
        <f t="shared" si="4"/>
        <v>69.94</v>
      </c>
      <c r="J7" s="7">
        <f t="shared" si="1"/>
        <v>20.471832999714042</v>
      </c>
    </row>
    <row r="8" spans="1:10" x14ac:dyDescent="0.35">
      <c r="A8" t="s">
        <v>326</v>
      </c>
      <c r="B8">
        <v>70.14</v>
      </c>
      <c r="C8" s="7">
        <v>23.617999999999999</v>
      </c>
      <c r="D8" s="7">
        <v>1436.54</v>
      </c>
      <c r="E8" s="7">
        <f t="shared" si="5"/>
        <v>4.7400000000000091</v>
      </c>
      <c r="F8" s="7">
        <f t="shared" si="2"/>
        <v>0.20000000000000284</v>
      </c>
      <c r="G8" s="7">
        <f t="shared" si="0"/>
        <v>23.699999999999708</v>
      </c>
      <c r="H8" s="7">
        <f t="shared" si="3"/>
        <v>1436.54</v>
      </c>
      <c r="I8">
        <f t="shared" si="4"/>
        <v>70.14</v>
      </c>
      <c r="J8" s="7">
        <f t="shared" si="1"/>
        <v>20.481037924151696</v>
      </c>
    </row>
    <row r="9" spans="1:10" x14ac:dyDescent="0.35">
      <c r="A9" t="s">
        <v>327</v>
      </c>
      <c r="B9">
        <v>92.04</v>
      </c>
      <c r="C9" s="7">
        <v>39.704000000000001</v>
      </c>
      <c r="D9" s="7">
        <v>2024.36</v>
      </c>
      <c r="E9" s="7">
        <f t="shared" si="5"/>
        <v>587.81999999999994</v>
      </c>
      <c r="F9" s="7">
        <f t="shared" si="2"/>
        <v>21.900000000000006</v>
      </c>
      <c r="G9" s="7">
        <f t="shared" si="0"/>
        <v>26.841095890410948</v>
      </c>
      <c r="H9" s="7">
        <f t="shared" si="3"/>
        <v>2024.36</v>
      </c>
      <c r="I9">
        <f t="shared" si="4"/>
        <v>92.04</v>
      </c>
      <c r="J9" s="7">
        <f t="shared" si="1"/>
        <v>21.994350282485872</v>
      </c>
    </row>
    <row r="10" spans="1:10" x14ac:dyDescent="0.35">
      <c r="A10" t="s">
        <v>328</v>
      </c>
      <c r="B10">
        <v>112.75</v>
      </c>
      <c r="C10" s="7">
        <v>57.677999999999997</v>
      </c>
      <c r="D10" s="7">
        <v>2387.67</v>
      </c>
      <c r="E10" s="7">
        <f t="shared" si="5"/>
        <v>363.31000000000017</v>
      </c>
      <c r="F10" s="7">
        <f t="shared" si="2"/>
        <v>20.709999999999994</v>
      </c>
      <c r="G10" s="7">
        <f t="shared" si="0"/>
        <v>17.542732979237098</v>
      </c>
      <c r="H10" s="7">
        <f t="shared" si="3"/>
        <v>2387.67</v>
      </c>
      <c r="I10">
        <f t="shared" si="4"/>
        <v>112.75</v>
      </c>
      <c r="J10" s="7">
        <f t="shared" si="1"/>
        <v>21.176674057649667</v>
      </c>
    </row>
    <row r="11" spans="1:10" x14ac:dyDescent="0.35">
      <c r="A11" t="s">
        <v>329</v>
      </c>
      <c r="B11">
        <v>112.95</v>
      </c>
      <c r="C11" s="7">
        <v>57.845999999999997</v>
      </c>
      <c r="D11" s="7">
        <v>2387.16</v>
      </c>
      <c r="E11" s="7">
        <f t="shared" si="5"/>
        <v>-0.51000000000021828</v>
      </c>
      <c r="F11" s="7">
        <f t="shared" si="2"/>
        <v>0.20000000000000284</v>
      </c>
      <c r="G11" s="7">
        <f t="shared" si="0"/>
        <v>-2.550000000001055</v>
      </c>
      <c r="H11" s="7">
        <f t="shared" si="3"/>
        <v>2387.16</v>
      </c>
      <c r="I11">
        <f t="shared" si="4"/>
        <v>112.95</v>
      </c>
      <c r="J11" s="7">
        <f t="shared" si="1"/>
        <v>21.13466135458167</v>
      </c>
    </row>
    <row r="12" spans="1:10" x14ac:dyDescent="0.35">
      <c r="A12" t="s">
        <v>330</v>
      </c>
      <c r="B12">
        <v>117.95</v>
      </c>
      <c r="C12" s="7">
        <v>61.954999999999998</v>
      </c>
      <c r="D12" s="7">
        <v>2415.46</v>
      </c>
      <c r="E12" s="7">
        <f t="shared" si="5"/>
        <v>28.300000000000182</v>
      </c>
      <c r="F12" s="7">
        <f t="shared" si="2"/>
        <v>5</v>
      </c>
      <c r="G12" s="7">
        <f t="shared" si="0"/>
        <v>5.6600000000000366</v>
      </c>
      <c r="H12" s="7">
        <f t="shared" si="3"/>
        <v>2415.46</v>
      </c>
      <c r="I12">
        <f t="shared" si="4"/>
        <v>117.95</v>
      </c>
      <c r="J12" s="7">
        <f t="shared" si="1"/>
        <v>20.478677405680372</v>
      </c>
    </row>
    <row r="13" spans="1:10" x14ac:dyDescent="0.35">
      <c r="A13" t="s">
        <v>331</v>
      </c>
      <c r="B13">
        <v>201.75</v>
      </c>
      <c r="C13" s="7">
        <v>113.169</v>
      </c>
      <c r="D13" s="7">
        <v>3624.69</v>
      </c>
      <c r="E13" s="7">
        <f t="shared" si="5"/>
        <v>1209.23</v>
      </c>
      <c r="F13" s="7">
        <f t="shared" si="2"/>
        <v>83.8</v>
      </c>
      <c r="G13" s="7">
        <f t="shared" si="0"/>
        <v>14.429952267303104</v>
      </c>
      <c r="H13" s="7">
        <f t="shared" si="3"/>
        <v>3624.69</v>
      </c>
      <c r="I13">
        <f t="shared" si="4"/>
        <v>201.75</v>
      </c>
      <c r="J13" s="7">
        <f t="shared" si="1"/>
        <v>17.966245353159852</v>
      </c>
    </row>
    <row r="14" spans="1:10" x14ac:dyDescent="0.35">
      <c r="A14" t="s">
        <v>332</v>
      </c>
      <c r="B14">
        <v>264.74</v>
      </c>
      <c r="C14" s="7">
        <v>132.31100000000001</v>
      </c>
      <c r="D14" s="7">
        <v>5379.33</v>
      </c>
      <c r="E14" s="7">
        <f t="shared" si="5"/>
        <v>1754.6399999999999</v>
      </c>
      <c r="F14" s="7">
        <f t="shared" si="2"/>
        <v>62.990000000000009</v>
      </c>
      <c r="G14" s="7">
        <f t="shared" si="0"/>
        <v>27.855850134942049</v>
      </c>
      <c r="H14" s="7">
        <f t="shared" si="3"/>
        <v>5379.33</v>
      </c>
      <c r="I14">
        <f t="shared" si="4"/>
        <v>264.74</v>
      </c>
      <c r="J14" s="7">
        <f t="shared" si="1"/>
        <v>20.319294402054844</v>
      </c>
    </row>
    <row r="15" spans="1:10" x14ac:dyDescent="0.35">
      <c r="A15" t="s">
        <v>333</v>
      </c>
      <c r="B15">
        <v>265.94</v>
      </c>
      <c r="C15" s="7">
        <v>132.53100000000001</v>
      </c>
      <c r="D15" s="7">
        <v>5378.94</v>
      </c>
      <c r="E15" s="7">
        <f t="shared" si="5"/>
        <v>-0.39000000000032742</v>
      </c>
      <c r="F15" s="7">
        <f t="shared" si="2"/>
        <v>1.1999999999999886</v>
      </c>
      <c r="G15" s="7">
        <f t="shared" si="0"/>
        <v>-0.3250000000002759</v>
      </c>
      <c r="H15" s="7">
        <f t="shared" si="3"/>
        <v>5378.94</v>
      </c>
      <c r="I15">
        <f t="shared" si="4"/>
        <v>265.94</v>
      </c>
      <c r="J15" s="7">
        <f t="shared" si="1"/>
        <v>20.226141234865004</v>
      </c>
    </row>
    <row r="16" spans="1:10" x14ac:dyDescent="0.35">
      <c r="A16" t="s">
        <v>334</v>
      </c>
      <c r="B16">
        <v>583.6</v>
      </c>
      <c r="C16" s="7">
        <v>194.869</v>
      </c>
      <c r="D16" s="7">
        <v>7730.88</v>
      </c>
      <c r="E16" s="7">
        <f t="shared" si="5"/>
        <v>2351.9400000000005</v>
      </c>
      <c r="F16" s="7">
        <f t="shared" si="2"/>
        <v>317.66000000000003</v>
      </c>
      <c r="G16" s="7">
        <f t="shared" si="0"/>
        <v>7.4039539129887313</v>
      </c>
      <c r="H16" s="7">
        <f t="shared" si="3"/>
        <v>7730.88</v>
      </c>
      <c r="I16">
        <f t="shared" si="4"/>
        <v>583.6</v>
      </c>
      <c r="J16" s="7">
        <f t="shared" si="1"/>
        <v>13.246881425633996</v>
      </c>
    </row>
    <row r="17" spans="1:10" x14ac:dyDescent="0.35">
      <c r="A17" t="s">
        <v>335</v>
      </c>
      <c r="B17">
        <v>2100.5</v>
      </c>
      <c r="C17" s="7">
        <v>271.31700000000001</v>
      </c>
      <c r="D17" s="7">
        <v>7642.04</v>
      </c>
      <c r="E17" s="7">
        <f t="shared" si="5"/>
        <v>-88.840000000000146</v>
      </c>
      <c r="F17" s="7">
        <f t="shared" si="2"/>
        <v>1516.9</v>
      </c>
      <c r="G17" s="7">
        <f t="shared" si="0"/>
        <v>-5.8566813896763228E-2</v>
      </c>
      <c r="H17" s="7">
        <f t="shared" si="3"/>
        <v>7642.04</v>
      </c>
      <c r="I17">
        <f t="shared" si="4"/>
        <v>2100.5</v>
      </c>
      <c r="J17" s="7">
        <f t="shared" si="1"/>
        <v>3.6382004284694118</v>
      </c>
    </row>
    <row r="18" spans="1:10" x14ac:dyDescent="0.35">
      <c r="A18" t="s">
        <v>336</v>
      </c>
      <c r="B18">
        <v>2619.7199999999998</v>
      </c>
      <c r="C18" s="7">
        <v>342.51499999999999</v>
      </c>
      <c r="D18" s="7">
        <v>9833.49</v>
      </c>
      <c r="E18" s="7">
        <f t="shared" si="5"/>
        <v>2191.4499999999998</v>
      </c>
      <c r="F18" s="7">
        <f t="shared" si="2"/>
        <v>519.2199999999998</v>
      </c>
      <c r="G18" s="7">
        <f t="shared" si="0"/>
        <v>4.2206579099418375</v>
      </c>
      <c r="H18" s="7">
        <f t="shared" si="3"/>
        <v>9833.49</v>
      </c>
      <c r="I18">
        <f t="shared" si="4"/>
        <v>2619.7199999999998</v>
      </c>
      <c r="J18" s="7">
        <f t="shared" si="1"/>
        <v>3.7536416105538</v>
      </c>
    </row>
    <row r="19" spans="1:10" x14ac:dyDescent="0.35">
      <c r="A19" t="s">
        <v>337</v>
      </c>
      <c r="B19">
        <v>2656.72</v>
      </c>
      <c r="C19" s="7">
        <v>383.38799999999998</v>
      </c>
      <c r="D19" s="7">
        <v>9804.01</v>
      </c>
      <c r="E19" s="7">
        <f t="shared" si="5"/>
        <v>-29.479999999999563</v>
      </c>
      <c r="F19" s="7">
        <f t="shared" si="2"/>
        <v>37</v>
      </c>
      <c r="G19" s="7">
        <f t="shared" si="0"/>
        <v>-0.79675675675674495</v>
      </c>
      <c r="H19" s="7">
        <f t="shared" si="3"/>
        <v>9804.01</v>
      </c>
      <c r="I19">
        <f t="shared" si="4"/>
        <v>2656.72</v>
      </c>
      <c r="J19" s="7">
        <f t="shared" si="1"/>
        <v>3.6902684513234369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Delta-V</vt:lpstr>
      <vt:lpstr>Thermal Calculator</vt:lpstr>
      <vt:lpstr>Propulsion</vt:lpstr>
      <vt:lpstr>Communications</vt:lpstr>
      <vt:lpstr>VALO Space Craft PBS</vt:lpstr>
      <vt:lpstr>PSLV-Accelerations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Smith</dc:creator>
  <cp:lastModifiedBy>Stuart Smith</cp:lastModifiedBy>
  <dcterms:created xsi:type="dcterms:W3CDTF">2023-02-27T12:59:40Z</dcterms:created>
  <dcterms:modified xsi:type="dcterms:W3CDTF">2025-01-14T13:21:54Z</dcterms:modified>
</cp:coreProperties>
</file>