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061b34a5b619dd/Open University/SXS841/Venus Aerostatic Modelling/"/>
    </mc:Choice>
  </mc:AlternateContent>
  <xr:revisionPtr revIDLastSave="2380" documentId="8_{0ACBFF11-2DE3-4C14-AF5F-E1B3031992AD}" xr6:coauthVersionLast="47" xr6:coauthVersionMax="47" xr10:uidLastSave="{AC517C02-6785-4762-B1CB-B4CBF8A75866}"/>
  <bookViews>
    <workbookView xWindow="-110" yWindow="-110" windowWidth="38620" windowHeight="21100" xr2:uid="{40587255-9BEA-404D-94BF-D98EB4004CBE}"/>
  </bookViews>
  <sheets>
    <sheet name="Aerostatics in Venus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4" l="1"/>
  <c r="D47" i="14"/>
  <c r="D49" i="14" s="1"/>
  <c r="D45" i="14"/>
  <c r="C47" i="14"/>
  <c r="C45" i="14"/>
  <c r="C49" i="14" l="1"/>
  <c r="C43" i="14"/>
  <c r="C23" i="14"/>
  <c r="Y54" i="14"/>
  <c r="Y53" i="14"/>
  <c r="Y52" i="14"/>
  <c r="Y51" i="14"/>
  <c r="Y50" i="14"/>
  <c r="Y49" i="14"/>
  <c r="Y48" i="14"/>
  <c r="Y47" i="14"/>
  <c r="Y46" i="14"/>
  <c r="Y45" i="14"/>
  <c r="Y44" i="14"/>
  <c r="Y43" i="14"/>
  <c r="Y42" i="14"/>
  <c r="Y41" i="14"/>
  <c r="Y40" i="14"/>
  <c r="Y39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16" i="14"/>
  <c r="R25" i="14" l="1"/>
  <c r="AF25" i="14" s="1"/>
  <c r="Q77" i="14"/>
  <c r="Q76" i="14"/>
  <c r="Q75" i="14"/>
  <c r="Q74" i="14"/>
  <c r="Q73" i="14"/>
  <c r="Q72" i="14"/>
  <c r="Q71" i="14"/>
  <c r="Q70" i="14"/>
  <c r="Q69" i="14"/>
  <c r="Q68" i="14"/>
  <c r="Q67" i="14"/>
  <c r="R67" i="14" s="1"/>
  <c r="Q66" i="14"/>
  <c r="Q65" i="14"/>
  <c r="R65" i="14" s="1"/>
  <c r="Q64" i="14"/>
  <c r="R64" i="14" s="1"/>
  <c r="Q63" i="14"/>
  <c r="Q62" i="14"/>
  <c r="R62" i="14" s="1"/>
  <c r="Q54" i="14"/>
  <c r="Q53" i="14"/>
  <c r="Q52" i="14"/>
  <c r="Q51" i="14"/>
  <c r="Q50" i="14"/>
  <c r="Q49" i="14"/>
  <c r="Q48" i="14"/>
  <c r="Q47" i="14"/>
  <c r="Q46" i="14"/>
  <c r="Q45" i="14"/>
  <c r="Q44" i="14"/>
  <c r="R44" i="14" s="1"/>
  <c r="AF44" i="14" s="1"/>
  <c r="Q43" i="14"/>
  <c r="Q42" i="14"/>
  <c r="Q41" i="14"/>
  <c r="Q40" i="14"/>
  <c r="Q39" i="14"/>
  <c r="R39" i="14" s="1"/>
  <c r="AF39" i="14" s="1"/>
  <c r="Q31" i="14"/>
  <c r="Q30" i="14"/>
  <c r="Q29" i="14"/>
  <c r="Q28" i="14"/>
  <c r="Q27" i="14"/>
  <c r="Q26" i="14"/>
  <c r="Q25" i="14"/>
  <c r="Q24" i="14"/>
  <c r="Q23" i="14"/>
  <c r="Q22" i="14"/>
  <c r="Q21" i="14"/>
  <c r="R21" i="14" s="1"/>
  <c r="AF21" i="14" s="1"/>
  <c r="Q20" i="14"/>
  <c r="Q19" i="14"/>
  <c r="Q18" i="14"/>
  <c r="R18" i="14" s="1"/>
  <c r="AF18" i="14" s="1"/>
  <c r="Q17" i="14"/>
  <c r="R17" i="14" s="1"/>
  <c r="AF17" i="14" s="1"/>
  <c r="Q16" i="14"/>
  <c r="R16" i="14" s="1"/>
  <c r="AF16" i="14" s="1"/>
  <c r="K63" i="14"/>
  <c r="L63" i="14"/>
  <c r="U63" i="14" s="1"/>
  <c r="V63" i="14" s="1"/>
  <c r="K64" i="14"/>
  <c r="L64" i="14"/>
  <c r="U64" i="14" s="1"/>
  <c r="V64" i="14" s="1"/>
  <c r="K65" i="14"/>
  <c r="L65" i="14"/>
  <c r="U65" i="14" s="1"/>
  <c r="V65" i="14" s="1"/>
  <c r="K66" i="14"/>
  <c r="L66" i="14"/>
  <c r="U66" i="14" s="1"/>
  <c r="V66" i="14" s="1"/>
  <c r="K67" i="14"/>
  <c r="L67" i="14"/>
  <c r="U67" i="14" s="1"/>
  <c r="V67" i="14" s="1"/>
  <c r="K68" i="14"/>
  <c r="L68" i="14"/>
  <c r="U68" i="14" s="1"/>
  <c r="V68" i="14" s="1"/>
  <c r="K69" i="14"/>
  <c r="L69" i="14"/>
  <c r="K70" i="14"/>
  <c r="L70" i="14"/>
  <c r="U70" i="14" s="1"/>
  <c r="V70" i="14" s="1"/>
  <c r="K71" i="14"/>
  <c r="R71" i="14" s="1"/>
  <c r="L71" i="14"/>
  <c r="U71" i="14" s="1"/>
  <c r="V71" i="14" s="1"/>
  <c r="K72" i="14"/>
  <c r="L72" i="14"/>
  <c r="U72" i="14" s="1"/>
  <c r="V72" i="14" s="1"/>
  <c r="K73" i="14"/>
  <c r="L73" i="14"/>
  <c r="K74" i="14"/>
  <c r="L74" i="14"/>
  <c r="U74" i="14" s="1"/>
  <c r="V74" i="14" s="1"/>
  <c r="K75" i="14"/>
  <c r="L75" i="14"/>
  <c r="U75" i="14" s="1"/>
  <c r="V75" i="14" s="1"/>
  <c r="K76" i="14"/>
  <c r="L76" i="14"/>
  <c r="U76" i="14" s="1"/>
  <c r="V76" i="14" s="1"/>
  <c r="K77" i="14"/>
  <c r="L77" i="14"/>
  <c r="E27" i="14"/>
  <c r="E23" i="14"/>
  <c r="D23" i="14"/>
  <c r="L62" i="14"/>
  <c r="U62" i="14" s="1"/>
  <c r="V62" i="14" s="1"/>
  <c r="K62" i="14"/>
  <c r="L54" i="14"/>
  <c r="K54" i="14"/>
  <c r="Z54" i="14" s="1"/>
  <c r="L53" i="14"/>
  <c r="K53" i="14"/>
  <c r="Z53" i="14" s="1"/>
  <c r="L52" i="14"/>
  <c r="K52" i="14"/>
  <c r="Z52" i="14" s="1"/>
  <c r="L51" i="14"/>
  <c r="K51" i="14"/>
  <c r="Z51" i="14" s="1"/>
  <c r="L50" i="14"/>
  <c r="K50" i="14"/>
  <c r="Z50" i="14" s="1"/>
  <c r="L49" i="14"/>
  <c r="K49" i="14"/>
  <c r="Z49" i="14" s="1"/>
  <c r="L48" i="14"/>
  <c r="K48" i="14"/>
  <c r="Z48" i="14" s="1"/>
  <c r="L47" i="14"/>
  <c r="K47" i="14"/>
  <c r="Z47" i="14" s="1"/>
  <c r="L46" i="14"/>
  <c r="K46" i="14"/>
  <c r="Z46" i="14" s="1"/>
  <c r="L45" i="14"/>
  <c r="K45" i="14"/>
  <c r="Z45" i="14" s="1"/>
  <c r="L44" i="14"/>
  <c r="K44" i="14"/>
  <c r="Z44" i="14" s="1"/>
  <c r="L43" i="14"/>
  <c r="K43" i="14"/>
  <c r="Z43" i="14" s="1"/>
  <c r="L42" i="14"/>
  <c r="K42" i="14"/>
  <c r="Z42" i="14" s="1"/>
  <c r="L41" i="14"/>
  <c r="K41" i="14"/>
  <c r="Z41" i="14" s="1"/>
  <c r="L40" i="14"/>
  <c r="K40" i="14"/>
  <c r="Z40" i="14" s="1"/>
  <c r="L39" i="14"/>
  <c r="K39" i="14"/>
  <c r="Z39" i="14" s="1"/>
  <c r="D27" i="14"/>
  <c r="K17" i="14"/>
  <c r="Z17" i="14" s="1"/>
  <c r="K18" i="14"/>
  <c r="Z18" i="14" s="1"/>
  <c r="K19" i="14"/>
  <c r="Z19" i="14" s="1"/>
  <c r="K20" i="14"/>
  <c r="Z20" i="14" s="1"/>
  <c r="K21" i="14"/>
  <c r="Z21" i="14" s="1"/>
  <c r="K22" i="14"/>
  <c r="Z22" i="14" s="1"/>
  <c r="K23" i="14"/>
  <c r="Z23" i="14" s="1"/>
  <c r="K24" i="14"/>
  <c r="Z24" i="14" s="1"/>
  <c r="K25" i="14"/>
  <c r="Z25" i="14" s="1"/>
  <c r="K26" i="14"/>
  <c r="Z26" i="14" s="1"/>
  <c r="K27" i="14"/>
  <c r="Z27" i="14" s="1"/>
  <c r="K28" i="14"/>
  <c r="Z28" i="14" s="1"/>
  <c r="K29" i="14"/>
  <c r="Z29" i="14" s="1"/>
  <c r="K30" i="14"/>
  <c r="Z30" i="14" s="1"/>
  <c r="K31" i="14"/>
  <c r="Z31" i="14" s="1"/>
  <c r="K16" i="14"/>
  <c r="Z16" i="14" s="1"/>
  <c r="C27" i="14"/>
  <c r="C24" i="14" s="1"/>
  <c r="C44" i="14" s="1"/>
  <c r="C48" i="14" s="1"/>
  <c r="C50" i="14" s="1"/>
  <c r="C51" i="14" s="1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16" i="14"/>
  <c r="R40" i="14" l="1"/>
  <c r="AF40" i="14" s="1"/>
  <c r="R20" i="14"/>
  <c r="AF20" i="14" s="1"/>
  <c r="R63" i="14"/>
  <c r="R48" i="14"/>
  <c r="AF48" i="14" s="1"/>
  <c r="R66" i="14"/>
  <c r="R45" i="14"/>
  <c r="AF45" i="14" s="1"/>
  <c r="R46" i="14"/>
  <c r="AF46" i="14" s="1"/>
  <c r="R47" i="14"/>
  <c r="AF47" i="14" s="1"/>
  <c r="R72" i="14"/>
  <c r="R28" i="14"/>
  <c r="AF28" i="14" s="1"/>
  <c r="R43" i="14"/>
  <c r="AF43" i="14" s="1"/>
  <c r="R24" i="14"/>
  <c r="AF24" i="14" s="1"/>
  <c r="R70" i="14"/>
  <c r="R22" i="14"/>
  <c r="AF22" i="14" s="1"/>
  <c r="R27" i="14"/>
  <c r="AF27" i="14" s="1"/>
  <c r="R50" i="14"/>
  <c r="AF50" i="14" s="1"/>
  <c r="R73" i="14"/>
  <c r="N63" i="14"/>
  <c r="R29" i="14"/>
  <c r="AF29" i="14" s="1"/>
  <c r="R52" i="14"/>
  <c r="AF52" i="14" s="1"/>
  <c r="R75" i="14"/>
  <c r="R41" i="14"/>
  <c r="AF41" i="14" s="1"/>
  <c r="R19" i="14"/>
  <c r="AF19" i="14" s="1"/>
  <c r="R68" i="14"/>
  <c r="R23" i="14"/>
  <c r="AF23" i="14" s="1"/>
  <c r="R49" i="14"/>
  <c r="AF49" i="14" s="1"/>
  <c r="R51" i="14"/>
  <c r="AF51" i="14" s="1"/>
  <c r="R30" i="14"/>
  <c r="AF30" i="14" s="1"/>
  <c r="R53" i="14"/>
  <c r="AF53" i="14" s="1"/>
  <c r="R76" i="14"/>
  <c r="R42" i="14"/>
  <c r="AF42" i="14" s="1"/>
  <c r="R69" i="14"/>
  <c r="R26" i="14"/>
  <c r="AF26" i="14" s="1"/>
  <c r="R74" i="14"/>
  <c r="R31" i="14"/>
  <c r="AF31" i="14" s="1"/>
  <c r="R54" i="14"/>
  <c r="AF54" i="14" s="1"/>
  <c r="R77" i="14"/>
  <c r="N21" i="14"/>
  <c r="AC21" i="14" s="1"/>
  <c r="AA21" i="14"/>
  <c r="U21" i="14"/>
  <c r="N43" i="14"/>
  <c r="AC43" i="14" s="1"/>
  <c r="U43" i="14"/>
  <c r="AA43" i="14"/>
  <c r="AA51" i="14"/>
  <c r="U51" i="14"/>
  <c r="N22" i="14"/>
  <c r="AC22" i="14" s="1"/>
  <c r="AA22" i="14"/>
  <c r="U22" i="14"/>
  <c r="N18" i="14"/>
  <c r="AC18" i="14" s="1"/>
  <c r="U18" i="14"/>
  <c r="AA18" i="14"/>
  <c r="N20" i="14"/>
  <c r="AC20" i="14" s="1"/>
  <c r="AA20" i="14"/>
  <c r="U20" i="14"/>
  <c r="AA45" i="14"/>
  <c r="U45" i="14"/>
  <c r="N31" i="14"/>
  <c r="AC31" i="14" s="1"/>
  <c r="AA31" i="14"/>
  <c r="U31" i="14"/>
  <c r="N52" i="14"/>
  <c r="AC52" i="14" s="1"/>
  <c r="U52" i="14"/>
  <c r="AA52" i="14"/>
  <c r="N19" i="14"/>
  <c r="AC19" i="14" s="1"/>
  <c r="U19" i="14"/>
  <c r="AA19" i="14"/>
  <c r="N16" i="14"/>
  <c r="AC16" i="14" s="1"/>
  <c r="AA16" i="14"/>
  <c r="U16" i="14"/>
  <c r="N73" i="14"/>
  <c r="U73" i="14"/>
  <c r="V73" i="14" s="1"/>
  <c r="N54" i="14"/>
  <c r="AC54" i="14" s="1"/>
  <c r="U54" i="14"/>
  <c r="AA54" i="14"/>
  <c r="N29" i="14"/>
  <c r="AC29" i="14" s="1"/>
  <c r="U29" i="14"/>
  <c r="AA29" i="14"/>
  <c r="N39" i="14"/>
  <c r="AC39" i="14" s="1"/>
  <c r="AA39" i="14"/>
  <c r="U39" i="14"/>
  <c r="N28" i="14"/>
  <c r="AC28" i="14" s="1"/>
  <c r="U28" i="14"/>
  <c r="AA28" i="14"/>
  <c r="U46" i="14"/>
  <c r="AA46" i="14"/>
  <c r="N30" i="14"/>
  <c r="AC30" i="14" s="1"/>
  <c r="U30" i="14"/>
  <c r="AA30" i="14"/>
  <c r="N27" i="14"/>
  <c r="AC27" i="14" s="1"/>
  <c r="U27" i="14"/>
  <c r="AA27" i="14"/>
  <c r="N40" i="14"/>
  <c r="AC40" i="14" s="1"/>
  <c r="U40" i="14"/>
  <c r="AA40" i="14"/>
  <c r="N48" i="14"/>
  <c r="AC48" i="14" s="1"/>
  <c r="U48" i="14"/>
  <c r="AA48" i="14"/>
  <c r="AA44" i="14"/>
  <c r="U44" i="14"/>
  <c r="N17" i="14"/>
  <c r="AC17" i="14" s="1"/>
  <c r="AA17" i="14"/>
  <c r="U17" i="14"/>
  <c r="N47" i="14"/>
  <c r="AC47" i="14" s="1"/>
  <c r="U47" i="14"/>
  <c r="AA47" i="14"/>
  <c r="N26" i="14"/>
  <c r="AC26" i="14" s="1"/>
  <c r="U26" i="14"/>
  <c r="AA26" i="14"/>
  <c r="U53" i="14"/>
  <c r="AA53" i="14"/>
  <c r="N25" i="14"/>
  <c r="AC25" i="14" s="1"/>
  <c r="AA25" i="14"/>
  <c r="U25" i="14"/>
  <c r="N41" i="14"/>
  <c r="AC41" i="14" s="1"/>
  <c r="U41" i="14"/>
  <c r="AA41" i="14"/>
  <c r="N49" i="14"/>
  <c r="AC49" i="14" s="1"/>
  <c r="U49" i="14"/>
  <c r="AA49" i="14"/>
  <c r="N77" i="14"/>
  <c r="U77" i="14"/>
  <c r="V77" i="14" s="1"/>
  <c r="N69" i="14"/>
  <c r="U69" i="14"/>
  <c r="V69" i="14" s="1"/>
  <c r="N24" i="14"/>
  <c r="AC24" i="14" s="1"/>
  <c r="U24" i="14"/>
  <c r="AA24" i="14"/>
  <c r="N23" i="14"/>
  <c r="AC23" i="14" s="1"/>
  <c r="AA23" i="14"/>
  <c r="U23" i="14"/>
  <c r="U42" i="14"/>
  <c r="AA42" i="14"/>
  <c r="N50" i="14"/>
  <c r="AC50" i="14" s="1"/>
  <c r="AA50" i="14"/>
  <c r="U50" i="14"/>
  <c r="N71" i="14"/>
  <c r="O16" i="14"/>
  <c r="AD16" i="14" s="1"/>
  <c r="N75" i="14"/>
  <c r="O17" i="14"/>
  <c r="AD17" i="14" s="1"/>
  <c r="N67" i="14"/>
  <c r="N62" i="14"/>
  <c r="N65" i="14"/>
  <c r="N76" i="14"/>
  <c r="N72" i="14"/>
  <c r="N68" i="14"/>
  <c r="N64" i="14"/>
  <c r="N74" i="14"/>
  <c r="N70" i="14"/>
  <c r="N66" i="14"/>
  <c r="E24" i="14"/>
  <c r="O69" i="14" s="1"/>
  <c r="P69" i="14" s="1"/>
  <c r="N51" i="14"/>
  <c r="AC51" i="14" s="1"/>
  <c r="O29" i="14"/>
  <c r="AD29" i="14" s="1"/>
  <c r="O28" i="14"/>
  <c r="AD28" i="14" s="1"/>
  <c r="N46" i="14"/>
  <c r="AC46" i="14" s="1"/>
  <c r="O27" i="14"/>
  <c r="AD27" i="14" s="1"/>
  <c r="M16" i="14"/>
  <c r="AB16" i="14" s="1"/>
  <c r="N45" i="14"/>
  <c r="AC45" i="14" s="1"/>
  <c r="N44" i="14"/>
  <c r="AC44" i="14" s="1"/>
  <c r="O25" i="14"/>
  <c r="AD25" i="14" s="1"/>
  <c r="O24" i="14"/>
  <c r="AD24" i="14" s="1"/>
  <c r="N42" i="14"/>
  <c r="AC42" i="14" s="1"/>
  <c r="O23" i="14"/>
  <c r="AD23" i="14" s="1"/>
  <c r="O22" i="14"/>
  <c r="AD22" i="14" s="1"/>
  <c r="N53" i="14"/>
  <c r="AC53" i="14" s="1"/>
  <c r="O18" i="14"/>
  <c r="AD18" i="14" s="1"/>
  <c r="D24" i="14"/>
  <c r="V50" i="14" l="1"/>
  <c r="AJ50" i="14" s="1"/>
  <c r="AI50" i="14"/>
  <c r="D44" i="14"/>
  <c r="D48" i="14" s="1"/>
  <c r="D50" i="14" s="1"/>
  <c r="D51" i="14" s="1"/>
  <c r="C38" i="14"/>
  <c r="C39" i="14" s="1"/>
  <c r="V28" i="14"/>
  <c r="AJ28" i="14" s="1"/>
  <c r="AI28" i="14"/>
  <c r="AI48" i="14"/>
  <c r="V48" i="14"/>
  <c r="AJ48" i="14" s="1"/>
  <c r="V44" i="14"/>
  <c r="AJ44" i="14" s="1"/>
  <c r="AI44" i="14"/>
  <c r="V19" i="14"/>
  <c r="AJ19" i="14" s="1"/>
  <c r="AI19" i="14"/>
  <c r="V52" i="14"/>
  <c r="AJ52" i="14" s="1"/>
  <c r="AI52" i="14"/>
  <c r="V51" i="14"/>
  <c r="AJ51" i="14" s="1"/>
  <c r="AI51" i="14"/>
  <c r="V49" i="14"/>
  <c r="AJ49" i="14" s="1"/>
  <c r="AI49" i="14"/>
  <c r="V41" i="14"/>
  <c r="AJ41" i="14" s="1"/>
  <c r="AI41" i="14"/>
  <c r="V23" i="14"/>
  <c r="AJ23" i="14" s="1"/>
  <c r="AI23" i="14"/>
  <c r="AI53" i="14"/>
  <c r="V53" i="14"/>
  <c r="AJ53" i="14" s="1"/>
  <c r="AI40" i="14"/>
  <c r="V40" i="14"/>
  <c r="AJ40" i="14" s="1"/>
  <c r="V46" i="14"/>
  <c r="AJ46" i="14" s="1"/>
  <c r="AI46" i="14"/>
  <c r="V29" i="14"/>
  <c r="AJ29" i="14" s="1"/>
  <c r="AI29" i="14"/>
  <c r="V31" i="14"/>
  <c r="AJ31" i="14" s="1"/>
  <c r="AI31" i="14"/>
  <c r="V17" i="14"/>
  <c r="AJ17" i="14" s="1"/>
  <c r="AI17" i="14"/>
  <c r="V16" i="14"/>
  <c r="AJ16" i="14" s="1"/>
  <c r="AI16" i="14"/>
  <c r="V18" i="14"/>
  <c r="AJ18" i="14" s="1"/>
  <c r="AI18" i="14"/>
  <c r="V24" i="14"/>
  <c r="AJ24" i="14" s="1"/>
  <c r="AI24" i="14"/>
  <c r="V26" i="14"/>
  <c r="AJ26" i="14" s="1"/>
  <c r="AI26" i="14"/>
  <c r="AI43" i="14"/>
  <c r="V43" i="14"/>
  <c r="AJ43" i="14" s="1"/>
  <c r="AI42" i="14"/>
  <c r="V42" i="14"/>
  <c r="AJ42" i="14" s="1"/>
  <c r="V22" i="14"/>
  <c r="AJ22" i="14" s="1"/>
  <c r="AI22" i="14"/>
  <c r="V25" i="14"/>
  <c r="AJ25" i="14" s="1"/>
  <c r="AI25" i="14"/>
  <c r="AI39" i="14"/>
  <c r="V39" i="14"/>
  <c r="AJ39" i="14" s="1"/>
  <c r="V27" i="14"/>
  <c r="AJ27" i="14" s="1"/>
  <c r="AI27" i="14"/>
  <c r="V54" i="14"/>
  <c r="AJ54" i="14" s="1"/>
  <c r="AI54" i="14"/>
  <c r="V45" i="14"/>
  <c r="AJ45" i="14" s="1"/>
  <c r="AI45" i="14"/>
  <c r="V21" i="14"/>
  <c r="AJ21" i="14" s="1"/>
  <c r="AI21" i="14"/>
  <c r="AI47" i="14"/>
  <c r="V47" i="14"/>
  <c r="AJ47" i="14" s="1"/>
  <c r="V30" i="14"/>
  <c r="AJ30" i="14" s="1"/>
  <c r="AI30" i="14"/>
  <c r="AI20" i="14"/>
  <c r="V20" i="14"/>
  <c r="AJ20" i="14" s="1"/>
  <c r="O26" i="14"/>
  <c r="M64" i="14"/>
  <c r="T64" i="14" s="1"/>
  <c r="O19" i="14"/>
  <c r="AD19" i="14" s="1"/>
  <c r="O30" i="14"/>
  <c r="O20" i="14"/>
  <c r="O31" i="14"/>
  <c r="AD31" i="14" s="1"/>
  <c r="O21" i="14"/>
  <c r="O77" i="14"/>
  <c r="P77" i="14" s="1"/>
  <c r="S77" i="14" s="1"/>
  <c r="M97" i="14" s="1"/>
  <c r="O65" i="14"/>
  <c r="P65" i="14" s="1"/>
  <c r="S65" i="14" s="1"/>
  <c r="S69" i="14"/>
  <c r="M89" i="14" s="1"/>
  <c r="O72" i="14"/>
  <c r="P72" i="14" s="1"/>
  <c r="S72" i="14" s="1"/>
  <c r="W72" i="14" s="1"/>
  <c r="O66" i="14"/>
  <c r="P66" i="14" s="1"/>
  <c r="S66" i="14" s="1"/>
  <c r="M86" i="14" s="1"/>
  <c r="M66" i="14"/>
  <c r="T66" i="14" s="1"/>
  <c r="O70" i="14"/>
  <c r="P70" i="14" s="1"/>
  <c r="S70" i="14" s="1"/>
  <c r="M90" i="14" s="1"/>
  <c r="M70" i="14"/>
  <c r="T70" i="14" s="1"/>
  <c r="O74" i="14"/>
  <c r="P74" i="14" s="1"/>
  <c r="S74" i="14" s="1"/>
  <c r="M94" i="14" s="1"/>
  <c r="M74" i="14"/>
  <c r="T74" i="14" s="1"/>
  <c r="M68" i="14"/>
  <c r="T68" i="14" s="1"/>
  <c r="M72" i="14"/>
  <c r="T72" i="14" s="1"/>
  <c r="O68" i="14"/>
  <c r="P68" i="14" s="1"/>
  <c r="S68" i="14" s="1"/>
  <c r="W68" i="14" s="1"/>
  <c r="M76" i="14"/>
  <c r="T76" i="14" s="1"/>
  <c r="O64" i="14"/>
  <c r="P64" i="14" s="1"/>
  <c r="S64" i="14" s="1"/>
  <c r="W64" i="14" s="1"/>
  <c r="O62" i="14"/>
  <c r="P62" i="14" s="1"/>
  <c r="S62" i="14" s="1"/>
  <c r="W62" i="14" s="1"/>
  <c r="M63" i="14"/>
  <c r="T63" i="14" s="1"/>
  <c r="M67" i="14"/>
  <c r="T67" i="14" s="1"/>
  <c r="M71" i="14"/>
  <c r="T71" i="14" s="1"/>
  <c r="M75" i="14"/>
  <c r="T75" i="14" s="1"/>
  <c r="M62" i="14"/>
  <c r="T62" i="14" s="1"/>
  <c r="O71" i="14"/>
  <c r="P71" i="14" s="1"/>
  <c r="S71" i="14" s="1"/>
  <c r="O67" i="14"/>
  <c r="P67" i="14" s="1"/>
  <c r="S67" i="14" s="1"/>
  <c r="M65" i="14"/>
  <c r="T65" i="14" s="1"/>
  <c r="M69" i="14"/>
  <c r="T69" i="14" s="1"/>
  <c r="M73" i="14"/>
  <c r="T73" i="14" s="1"/>
  <c r="M77" i="14"/>
  <c r="T77" i="14" s="1"/>
  <c r="O63" i="14"/>
  <c r="P63" i="14" s="1"/>
  <c r="S63" i="14" s="1"/>
  <c r="O75" i="14"/>
  <c r="P75" i="14" s="1"/>
  <c r="S75" i="14" s="1"/>
  <c r="O76" i="14"/>
  <c r="P76" i="14" s="1"/>
  <c r="S76" i="14" s="1"/>
  <c r="O73" i="14"/>
  <c r="P73" i="14" s="1"/>
  <c r="S73" i="14" s="1"/>
  <c r="M93" i="14" s="1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39" i="14"/>
  <c r="M49" i="14"/>
  <c r="M48" i="14"/>
  <c r="M54" i="14"/>
  <c r="M47" i="14"/>
  <c r="M39" i="14"/>
  <c r="M53" i="14"/>
  <c r="M45" i="14"/>
  <c r="M51" i="14"/>
  <c r="M43" i="14"/>
  <c r="M50" i="14"/>
  <c r="M42" i="14"/>
  <c r="M41" i="14"/>
  <c r="M46" i="14"/>
  <c r="M44" i="14"/>
  <c r="M52" i="14"/>
  <c r="M40" i="14"/>
  <c r="P22" i="14"/>
  <c r="AE22" i="14" s="1"/>
  <c r="P23" i="14"/>
  <c r="AE23" i="14" s="1"/>
  <c r="P24" i="14"/>
  <c r="AE24" i="14" s="1"/>
  <c r="P25" i="14"/>
  <c r="AE25" i="14" s="1"/>
  <c r="P27" i="14"/>
  <c r="AE27" i="14" s="1"/>
  <c r="P28" i="14"/>
  <c r="AE28" i="14" s="1"/>
  <c r="P29" i="14"/>
  <c r="AE29" i="14" s="1"/>
  <c r="P31" i="14"/>
  <c r="AE31" i="14" s="1"/>
  <c r="P16" i="14"/>
  <c r="AE16" i="14" s="1"/>
  <c r="P17" i="14"/>
  <c r="AE17" i="14" s="1"/>
  <c r="P18" i="14"/>
  <c r="AE18" i="14" s="1"/>
  <c r="M23" i="14"/>
  <c r="M24" i="14"/>
  <c r="M25" i="14"/>
  <c r="M26" i="14"/>
  <c r="M27" i="14"/>
  <c r="M31" i="14"/>
  <c r="M22" i="14"/>
  <c r="M28" i="14"/>
  <c r="M30" i="14"/>
  <c r="M17" i="14"/>
  <c r="M19" i="14"/>
  <c r="M20" i="14"/>
  <c r="M21" i="14"/>
  <c r="M29" i="14"/>
  <c r="T16" i="14"/>
  <c r="AH16" i="14" s="1"/>
  <c r="M18" i="14"/>
  <c r="T50" i="14" l="1"/>
  <c r="AH50" i="14" s="1"/>
  <c r="AB50" i="14"/>
  <c r="T43" i="14"/>
  <c r="AH43" i="14" s="1"/>
  <c r="AB43" i="14"/>
  <c r="T51" i="14"/>
  <c r="AH51" i="14" s="1"/>
  <c r="AB51" i="14"/>
  <c r="T53" i="14"/>
  <c r="AH53" i="14" s="1"/>
  <c r="AB53" i="14"/>
  <c r="P45" i="14"/>
  <c r="AE45" i="14" s="1"/>
  <c r="AD45" i="14"/>
  <c r="T39" i="14"/>
  <c r="AH39" i="14" s="1"/>
  <c r="AB39" i="14"/>
  <c r="P44" i="14"/>
  <c r="AE44" i="14" s="1"/>
  <c r="AD44" i="14"/>
  <c r="T54" i="14"/>
  <c r="AH54" i="14" s="1"/>
  <c r="AB54" i="14"/>
  <c r="P42" i="14"/>
  <c r="AE42" i="14" s="1"/>
  <c r="AD42" i="14"/>
  <c r="T47" i="14"/>
  <c r="AH47" i="14" s="1"/>
  <c r="AB47" i="14"/>
  <c r="P41" i="14"/>
  <c r="AE41" i="14" s="1"/>
  <c r="AD41" i="14"/>
  <c r="T45" i="14"/>
  <c r="AH45" i="14" s="1"/>
  <c r="AB45" i="14"/>
  <c r="T49" i="14"/>
  <c r="AH49" i="14" s="1"/>
  <c r="AB49" i="14"/>
  <c r="T40" i="14"/>
  <c r="AH40" i="14" s="1"/>
  <c r="AB40" i="14"/>
  <c r="P39" i="14"/>
  <c r="AE39" i="14" s="1"/>
  <c r="AD39" i="14"/>
  <c r="T52" i="14"/>
  <c r="AH52" i="14" s="1"/>
  <c r="AB52" i="14"/>
  <c r="P54" i="14"/>
  <c r="AD54" i="14"/>
  <c r="T44" i="14"/>
  <c r="AH44" i="14" s="1"/>
  <c r="AB44" i="14"/>
  <c r="P53" i="14"/>
  <c r="AE53" i="14" s="1"/>
  <c r="AD53" i="14"/>
  <c r="P49" i="14"/>
  <c r="AE49" i="14" s="1"/>
  <c r="AD49" i="14"/>
  <c r="P48" i="14"/>
  <c r="AD48" i="14"/>
  <c r="P43" i="14"/>
  <c r="AE43" i="14" s="1"/>
  <c r="AD43" i="14"/>
  <c r="T48" i="14"/>
  <c r="AH48" i="14" s="1"/>
  <c r="AB48" i="14"/>
  <c r="P40" i="14"/>
  <c r="AE40" i="14" s="1"/>
  <c r="AD40" i="14"/>
  <c r="T46" i="14"/>
  <c r="AH46" i="14" s="1"/>
  <c r="AB46" i="14"/>
  <c r="P52" i="14"/>
  <c r="AE52" i="14" s="1"/>
  <c r="AD52" i="14"/>
  <c r="P47" i="14"/>
  <c r="AE47" i="14" s="1"/>
  <c r="AD47" i="14"/>
  <c r="P46" i="14"/>
  <c r="AE46" i="14" s="1"/>
  <c r="AD46" i="14"/>
  <c r="T41" i="14"/>
  <c r="AH41" i="14" s="1"/>
  <c r="AB41" i="14"/>
  <c r="P51" i="14"/>
  <c r="AE51" i="14" s="1"/>
  <c r="AD51" i="14"/>
  <c r="T42" i="14"/>
  <c r="AH42" i="14" s="1"/>
  <c r="AB42" i="14"/>
  <c r="P50" i="14"/>
  <c r="AE50" i="14" s="1"/>
  <c r="AD50" i="14"/>
  <c r="T20" i="14"/>
  <c r="AH20" i="14" s="1"/>
  <c r="AB20" i="14"/>
  <c r="T30" i="14"/>
  <c r="AH30" i="14" s="1"/>
  <c r="AB30" i="14"/>
  <c r="T31" i="14"/>
  <c r="AH31" i="14" s="1"/>
  <c r="AB31" i="14"/>
  <c r="T27" i="14"/>
  <c r="AH27" i="14" s="1"/>
  <c r="AB27" i="14"/>
  <c r="T26" i="14"/>
  <c r="AH26" i="14" s="1"/>
  <c r="AB26" i="14"/>
  <c r="T28" i="14"/>
  <c r="AH28" i="14" s="1"/>
  <c r="AB28" i="14"/>
  <c r="T29" i="14"/>
  <c r="AH29" i="14" s="1"/>
  <c r="AB29" i="14"/>
  <c r="T19" i="14"/>
  <c r="AH19" i="14" s="1"/>
  <c r="AB19" i="14"/>
  <c r="T21" i="14"/>
  <c r="AH21" i="14" s="1"/>
  <c r="AB21" i="14"/>
  <c r="T17" i="14"/>
  <c r="AH17" i="14" s="1"/>
  <c r="AB17" i="14"/>
  <c r="T22" i="14"/>
  <c r="AH22" i="14" s="1"/>
  <c r="AB22" i="14"/>
  <c r="T25" i="14"/>
  <c r="AH25" i="14" s="1"/>
  <c r="AB25" i="14"/>
  <c r="T24" i="14"/>
  <c r="AH24" i="14" s="1"/>
  <c r="AB24" i="14"/>
  <c r="T23" i="14"/>
  <c r="AH23" i="14" s="1"/>
  <c r="AB23" i="14"/>
  <c r="T18" i="14"/>
  <c r="AH18" i="14" s="1"/>
  <c r="AB18" i="14"/>
  <c r="P26" i="14"/>
  <c r="AE26" i="14" s="1"/>
  <c r="AD26" i="14"/>
  <c r="P19" i="14"/>
  <c r="AE19" i="14" s="1"/>
  <c r="P21" i="14"/>
  <c r="AE21" i="14" s="1"/>
  <c r="AD21" i="14"/>
  <c r="P20" i="14"/>
  <c r="AE20" i="14" s="1"/>
  <c r="AD20" i="14"/>
  <c r="P30" i="14"/>
  <c r="AE30" i="14" s="1"/>
  <c r="AD30" i="14"/>
  <c r="W74" i="14"/>
  <c r="W65" i="14"/>
  <c r="M85" i="14"/>
  <c r="W66" i="14"/>
  <c r="W69" i="14"/>
  <c r="W77" i="14"/>
  <c r="W70" i="14"/>
  <c r="M92" i="14"/>
  <c r="W73" i="14"/>
  <c r="M88" i="14"/>
  <c r="M82" i="14"/>
  <c r="W63" i="14"/>
  <c r="M83" i="14"/>
  <c r="M96" i="14"/>
  <c r="W76" i="14"/>
  <c r="M87" i="14"/>
  <c r="W67" i="14"/>
  <c r="W71" i="14"/>
  <c r="M91" i="14"/>
  <c r="M84" i="14"/>
  <c r="M95" i="14"/>
  <c r="W75" i="14"/>
  <c r="S39" i="14"/>
  <c r="S46" i="14"/>
  <c r="S45" i="14"/>
  <c r="S41" i="14"/>
  <c r="S27" i="14"/>
  <c r="S22" i="14"/>
  <c r="S24" i="14"/>
  <c r="S28" i="14"/>
  <c r="S31" i="14"/>
  <c r="S25" i="14"/>
  <c r="S23" i="14"/>
  <c r="S29" i="14"/>
  <c r="S18" i="14"/>
  <c r="S17" i="14"/>
  <c r="S16" i="14"/>
  <c r="S20" i="14" l="1"/>
  <c r="K86" i="14" s="1"/>
  <c r="S42" i="14"/>
  <c r="W42" i="14" s="1"/>
  <c r="AK42" i="14" s="1"/>
  <c r="S52" i="14"/>
  <c r="L95" i="14" s="1"/>
  <c r="S30" i="14"/>
  <c r="K96" i="14" s="1"/>
  <c r="S26" i="14"/>
  <c r="W26" i="14" s="1"/>
  <c r="AK26" i="14" s="1"/>
  <c r="S51" i="14"/>
  <c r="W51" i="14" s="1"/>
  <c r="AK51" i="14" s="1"/>
  <c r="W39" i="14"/>
  <c r="AK39" i="14" s="1"/>
  <c r="AG39" i="14"/>
  <c r="S40" i="14"/>
  <c r="L83" i="14" s="1"/>
  <c r="S44" i="14"/>
  <c r="L87" i="14" s="1"/>
  <c r="W45" i="14"/>
  <c r="AK45" i="14" s="1"/>
  <c r="AG45" i="14"/>
  <c r="S48" i="14"/>
  <c r="AE48" i="14"/>
  <c r="W41" i="14"/>
  <c r="AK41" i="14" s="1"/>
  <c r="AG41" i="14"/>
  <c r="S49" i="14"/>
  <c r="L92" i="14" s="1"/>
  <c r="S43" i="14"/>
  <c r="L86" i="14" s="1"/>
  <c r="W46" i="14"/>
  <c r="AK46" i="14" s="1"/>
  <c r="AG46" i="14"/>
  <c r="S50" i="14"/>
  <c r="S53" i="14"/>
  <c r="L96" i="14" s="1"/>
  <c r="S47" i="14"/>
  <c r="L90" i="14" s="1"/>
  <c r="S54" i="14"/>
  <c r="AE54" i="14"/>
  <c r="S21" i="14"/>
  <c r="K87" i="14" s="1"/>
  <c r="S19" i="14"/>
  <c r="W19" i="14" s="1"/>
  <c r="AK19" i="14" s="1"/>
  <c r="W17" i="14"/>
  <c r="AK17" i="14" s="1"/>
  <c r="AG17" i="14"/>
  <c r="W16" i="14"/>
  <c r="AK16" i="14" s="1"/>
  <c r="AG16" i="14"/>
  <c r="W18" i="14"/>
  <c r="AK18" i="14" s="1"/>
  <c r="AG18" i="14"/>
  <c r="W20" i="14"/>
  <c r="AK20" i="14" s="1"/>
  <c r="AG20" i="14"/>
  <c r="W29" i="14"/>
  <c r="AK29" i="14" s="1"/>
  <c r="AG29" i="14"/>
  <c r="W23" i="14"/>
  <c r="AK23" i="14" s="1"/>
  <c r="AG23" i="14"/>
  <c r="W25" i="14"/>
  <c r="AK25" i="14" s="1"/>
  <c r="AG25" i="14"/>
  <c r="W31" i="14"/>
  <c r="AK31" i="14" s="1"/>
  <c r="AG31" i="14"/>
  <c r="W28" i="14"/>
  <c r="AK28" i="14" s="1"/>
  <c r="AG28" i="14"/>
  <c r="W24" i="14"/>
  <c r="AK24" i="14" s="1"/>
  <c r="AG24" i="14"/>
  <c r="W22" i="14"/>
  <c r="AK22" i="14" s="1"/>
  <c r="AG22" i="14"/>
  <c r="W27" i="14"/>
  <c r="AK27" i="14" s="1"/>
  <c r="AG27" i="14"/>
  <c r="L84" i="14"/>
  <c r="L88" i="14"/>
  <c r="L89" i="14"/>
  <c r="L93" i="14"/>
  <c r="L82" i="14"/>
  <c r="K93" i="14"/>
  <c r="K83" i="14"/>
  <c r="K95" i="14"/>
  <c r="K89" i="14"/>
  <c r="K84" i="14"/>
  <c r="K91" i="14"/>
  <c r="K90" i="14"/>
  <c r="K97" i="14"/>
  <c r="K94" i="14"/>
  <c r="K88" i="14"/>
  <c r="K92" i="14"/>
  <c r="K82" i="14"/>
  <c r="L85" i="14" l="1"/>
  <c r="AG30" i="14"/>
  <c r="AG52" i="14"/>
  <c r="W52" i="14"/>
  <c r="AK52" i="14" s="1"/>
  <c r="W30" i="14"/>
  <c r="AK30" i="14" s="1"/>
  <c r="AG42" i="14"/>
  <c r="AG26" i="14"/>
  <c r="AG51" i="14"/>
  <c r="L94" i="14"/>
  <c r="W43" i="14"/>
  <c r="AK43" i="14" s="1"/>
  <c r="AG43" i="14"/>
  <c r="W49" i="14"/>
  <c r="AK49" i="14" s="1"/>
  <c r="AG49" i="14"/>
  <c r="W54" i="14"/>
  <c r="AK54" i="14" s="1"/>
  <c r="AG54" i="14"/>
  <c r="L97" i="14"/>
  <c r="W47" i="14"/>
  <c r="AK47" i="14" s="1"/>
  <c r="AG47" i="14"/>
  <c r="W48" i="14"/>
  <c r="AK48" i="14" s="1"/>
  <c r="AG48" i="14"/>
  <c r="L91" i="14"/>
  <c r="W53" i="14"/>
  <c r="AK53" i="14" s="1"/>
  <c r="AG53" i="14"/>
  <c r="W44" i="14"/>
  <c r="AK44" i="14" s="1"/>
  <c r="AG44" i="14"/>
  <c r="W50" i="14"/>
  <c r="AK50" i="14" s="1"/>
  <c r="AG50" i="14"/>
  <c r="W40" i="14"/>
  <c r="AK40" i="14" s="1"/>
  <c r="AG40" i="14"/>
  <c r="K85" i="14"/>
  <c r="AG21" i="14"/>
  <c r="W21" i="14"/>
  <c r="AK21" i="14" s="1"/>
  <c r="AG19" i="14"/>
</calcChain>
</file>

<file path=xl/sharedStrings.xml><?xml version="1.0" encoding="utf-8"?>
<sst xmlns="http://schemas.openxmlformats.org/spreadsheetml/2006/main" count="287" uniqueCount="98">
  <si>
    <t>m</t>
  </si>
  <si>
    <t>kg</t>
  </si>
  <si>
    <t>m3</t>
  </si>
  <si>
    <t>Characteristic</t>
  </si>
  <si>
    <t>47.5 km</t>
  </si>
  <si>
    <t>Lower Altitude</t>
  </si>
  <si>
    <t xml:space="preserve">50.5 km </t>
  </si>
  <si>
    <t>Upper Altitude</t>
  </si>
  <si>
    <t>Temperature</t>
  </si>
  <si>
    <t>Pressure</t>
  </si>
  <si>
    <t>Density</t>
  </si>
  <si>
    <t>Venus Atmospherics</t>
  </si>
  <si>
    <t>Lifting Gas Properties</t>
  </si>
  <si>
    <t>Ln</t>
  </si>
  <si>
    <t>Net Static Lift</t>
  </si>
  <si>
    <t>Gross Static Lift</t>
  </si>
  <si>
    <t>Wlg</t>
  </si>
  <si>
    <t>Lifting Gas Weight</t>
  </si>
  <si>
    <t>Gravity (Venus)</t>
  </si>
  <si>
    <t>(Reference NASA Planetary Data)</t>
  </si>
  <si>
    <t>V</t>
  </si>
  <si>
    <t>Lifting Gas Volume</t>
  </si>
  <si>
    <t>P</t>
  </si>
  <si>
    <t>Gas Constant</t>
  </si>
  <si>
    <t>Ri</t>
  </si>
  <si>
    <t>T</t>
  </si>
  <si>
    <t>Kelvin</t>
  </si>
  <si>
    <t>JkgK</t>
  </si>
  <si>
    <t>Kgm3</t>
  </si>
  <si>
    <t>Pa</t>
  </si>
  <si>
    <t>Diameter</t>
  </si>
  <si>
    <t>Helium (He)</t>
  </si>
  <si>
    <t>1. Effects of humidity (only trace water in Venus atmopshere) can be ignored</t>
  </si>
  <si>
    <t>Aerostatic Data Sheet (Spherical Balloon) - 47.5km - altitude</t>
  </si>
  <si>
    <r>
      <t>kg/m</t>
    </r>
    <r>
      <rPr>
        <vertAlign val="superscript"/>
        <sz val="10"/>
        <color rgb="FF000000"/>
        <rFont val="Calibri"/>
        <family val="2"/>
        <scheme val="minor"/>
      </rPr>
      <t>3</t>
    </r>
  </si>
  <si>
    <t>bar</t>
  </si>
  <si>
    <t>°C</t>
  </si>
  <si>
    <t>Surface Area</t>
  </si>
  <si>
    <t>p [Plg (Lifting Gas Density)]</t>
  </si>
  <si>
    <t>Aerostatic Data Sheet (Spherical Balloon) - 50.5km - altitude</t>
  </si>
  <si>
    <t>Teflon</t>
  </si>
  <si>
    <t>Lifting Max Mass</t>
  </si>
  <si>
    <t>(327 degree melting point)</t>
  </si>
  <si>
    <t>Gravity (Earth)</t>
  </si>
  <si>
    <t>Canisters</t>
  </si>
  <si>
    <t>47.5km</t>
  </si>
  <si>
    <t>50.5km</t>
  </si>
  <si>
    <t>Diameter (m)</t>
  </si>
  <si>
    <t>Earth</t>
  </si>
  <si>
    <t>[Mass of gas included in net lifting mass calculation - BUT, mission payload MUST include this mass, (Jettison canisters)]</t>
  </si>
  <si>
    <t>Venus</t>
  </si>
  <si>
    <t>Lifting Gas Mass</t>
  </si>
  <si>
    <t>[Estimate]</t>
  </si>
  <si>
    <t>Mass of Gas and Canister</t>
  </si>
  <si>
    <t>Lifting Gas Storage</t>
  </si>
  <si>
    <t xml:space="preserve"> </t>
  </si>
  <si>
    <t>Total Spacecraft Probe Payload</t>
  </si>
  <si>
    <t>Max Payload Mass</t>
  </si>
  <si>
    <t>Lg</t>
  </si>
  <si>
    <t>Balloon Material Mass</t>
  </si>
  <si>
    <t>N</t>
  </si>
  <si>
    <t>Eq. (8.4)</t>
  </si>
  <si>
    <t>Eq. (8.3)</t>
  </si>
  <si>
    <t>Eq. (8.5)</t>
  </si>
  <si>
    <t>kg/m2</t>
  </si>
  <si>
    <t>Balloon Material Areal Density</t>
  </si>
  <si>
    <t>Aerostatic Data Sheet (Spherical Balloon) - 55.5km - altitude</t>
  </si>
  <si>
    <t>55.5km</t>
  </si>
  <si>
    <t>55.5 km</t>
  </si>
  <si>
    <t>Verify</t>
  </si>
  <si>
    <t>Units</t>
  </si>
  <si>
    <t>[+50%]</t>
  </si>
  <si>
    <t>[+22%]</t>
  </si>
  <si>
    <t>(60 kg per canister - inc. gas)</t>
  </si>
  <si>
    <t xml:space="preserve">(12.98m3 expanded at 15 degrees 1 bar) </t>
  </si>
  <si>
    <t>at 350 bar</t>
  </si>
  <si>
    <t>Total Probe Payload</t>
  </si>
  <si>
    <r>
      <t>m</t>
    </r>
    <r>
      <rPr>
        <vertAlign val="superscript"/>
        <sz val="8"/>
        <color rgb="FF000000"/>
        <rFont val="Aptos"/>
        <family val="2"/>
      </rPr>
      <t>3</t>
    </r>
  </si>
  <si>
    <t>Ascent Rate</t>
  </si>
  <si>
    <t>8g</t>
  </si>
  <si>
    <t>Pair - Phe</t>
  </si>
  <si>
    <t>Cd*Pair*Dball</t>
  </si>
  <si>
    <t>Pi*Dball/6</t>
  </si>
  <si>
    <t>Top Line</t>
  </si>
  <si>
    <t>Bottom Line</t>
  </si>
  <si>
    <t>Sqrt</t>
  </si>
  <si>
    <t>kg/m3</t>
  </si>
  <si>
    <t>Formatting for Report</t>
  </si>
  <si>
    <t>Graph for Report</t>
  </si>
  <si>
    <t>Aerostatic Modelling for Venus</t>
  </si>
  <si>
    <t>m/s/s</t>
  </si>
  <si>
    <t xml:space="preserve">kg </t>
  </si>
  <si>
    <t>m/s</t>
  </si>
  <si>
    <t>BOC Canisters</t>
  </si>
  <si>
    <t>(Helium volume)</t>
  </si>
  <si>
    <t>(Helium mass)</t>
  </si>
  <si>
    <t>(Helium density)</t>
  </si>
  <si>
    <t>Earth 15oC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</si>
</sst>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2"/>
      <color theme="1"/>
      <name val="Aptos"/>
      <family val="2"/>
    </font>
    <font>
      <b/>
      <sz val="8"/>
      <color rgb="FF000000"/>
      <name val="Aptos"/>
      <family val="2"/>
    </font>
    <font>
      <sz val="8"/>
      <color rgb="FF000000"/>
      <name val="Aptos"/>
      <family val="2"/>
    </font>
    <font>
      <vertAlign val="superscript"/>
      <sz val="8"/>
      <color rgb="FF000000"/>
      <name val="Aptos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wrapText="1"/>
    </xf>
    <xf numFmtId="1" fontId="0" fillId="0" borderId="0" xfId="0" applyNumberForma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0" fillId="2" borderId="0" xfId="0" applyNumberFormat="1" applyFill="1"/>
    <xf numFmtId="2" fontId="0" fillId="2" borderId="0" xfId="0" applyNumberFormat="1" applyFill="1"/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1" xfId="0" applyBorder="1"/>
    <xf numFmtId="166" fontId="0" fillId="0" borderId="0" xfId="0" applyNumberFormat="1"/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0" borderId="0" xfId="0" applyNumberFormat="1" applyFill="1"/>
    <xf numFmtId="2" fontId="0" fillId="0" borderId="0" xfId="0" applyNumberFormat="1" applyFill="1"/>
    <xf numFmtId="0" fontId="11" fillId="0" borderId="0" xfId="0" applyFont="1"/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0" xfId="0" applyBorder="1"/>
    <xf numFmtId="165" fontId="0" fillId="0" borderId="0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Helium Lifting Gas Payload Capacities</a:t>
            </a:r>
            <a:r>
              <a:rPr lang="en-GB" baseline="0"/>
              <a:t> in Venus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278063110668636"/>
          <c:y val="0.1743068512251062"/>
          <c:w val="0.84995970455061387"/>
          <c:h val="0.50951384299309721"/>
        </c:manualLayout>
      </c:layout>
      <c:lineChart>
        <c:grouping val="standard"/>
        <c:varyColors val="0"/>
        <c:ser>
          <c:idx val="0"/>
          <c:order val="0"/>
          <c:tx>
            <c:strRef>
              <c:f>'Aerostatics in Venus'!$K$81</c:f>
              <c:strCache>
                <c:ptCount val="1"/>
                <c:pt idx="0">
                  <c:v>47.5km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'Aerostatics in Venus'!$J$82:$J$97</c:f>
              <c:numCache>
                <c:formatCode>0.0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'Aerostatics in Venus'!$K$82:$K$97</c:f>
              <c:numCache>
                <c:formatCode>0</c:formatCode>
                <c:ptCount val="16"/>
                <c:pt idx="0">
                  <c:v>0</c:v>
                </c:pt>
                <c:pt idx="1">
                  <c:v>0.27105058077924371</c:v>
                </c:pt>
                <c:pt idx="2">
                  <c:v>1.6616056909633525</c:v>
                </c:pt>
                <c:pt idx="3">
                  <c:v>4.8237290225305003</c:v>
                </c:pt>
                <c:pt idx="4">
                  <c:v>10.458581831620725</c:v>
                </c:pt>
                <c:pt idx="5">
                  <c:v>19.26732537437406</c:v>
                </c:pt>
                <c:pt idx="6">
                  <c:v>31.951120906930541</c:v>
                </c:pt>
                <c:pt idx="7">
                  <c:v>49.211129685430208</c:v>
                </c:pt>
                <c:pt idx="8">
                  <c:v>71.748512966013095</c:v>
                </c:pt>
                <c:pt idx="9">
                  <c:v>100.26443200481924</c:v>
                </c:pt>
                <c:pt idx="10">
                  <c:v>135.4600480579887</c:v>
                </c:pt>
                <c:pt idx="11">
                  <c:v>178.03652238166143</c:v>
                </c:pt>
                <c:pt idx="12">
                  <c:v>228.69501623197755</c:v>
                </c:pt>
                <c:pt idx="13">
                  <c:v>288.13669086507707</c:v>
                </c:pt>
                <c:pt idx="14">
                  <c:v>357.06270753710004</c:v>
                </c:pt>
                <c:pt idx="15">
                  <c:v>436.17422750418643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3-488F-8B83-5A335E521343}"/>
            </c:ext>
          </c:extLst>
        </c:ser>
        <c:ser>
          <c:idx val="1"/>
          <c:order val="1"/>
          <c:tx>
            <c:strRef>
              <c:f>'Aerostatics in Venus'!$L$81</c:f>
              <c:strCache>
                <c:ptCount val="1"/>
                <c:pt idx="0">
                  <c:v>50.5km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'Aerostatics in Venus'!$J$82:$J$97</c:f>
              <c:numCache>
                <c:formatCode>0.0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'Aerostatics in Venus'!$L$82:$L$97</c:f>
              <c:numCache>
                <c:formatCode>0</c:formatCode>
                <c:ptCount val="16"/>
                <c:pt idx="0">
                  <c:v>0</c:v>
                </c:pt>
                <c:pt idx="1">
                  <c:v>3.3262255664642137E-2</c:v>
                </c:pt>
                <c:pt idx="2">
                  <c:v>0.85907009370157228</c:v>
                </c:pt>
                <c:pt idx="3">
                  <c:v>2.9214224216136877</c:v>
                </c:pt>
                <c:pt idx="4">
                  <c:v>6.7431392517050757</c:v>
                </c:pt>
                <c:pt idx="5">
                  <c:v>12.847040596279816</c:v>
                </c:pt>
                <c:pt idx="6">
                  <c:v>21.755946467641994</c:v>
                </c:pt>
                <c:pt idx="7">
                  <c:v>33.992676878095708</c:v>
                </c:pt>
                <c:pt idx="8">
                  <c:v>50.080051839945028</c:v>
                </c:pt>
                <c:pt idx="9">
                  <c:v>70.540891365494048</c:v>
                </c:pt>
                <c:pt idx="10">
                  <c:v>95.898015467046832</c:v>
                </c:pt>
                <c:pt idx="11">
                  <c:v>126.67424415690749</c:v>
                </c:pt>
                <c:pt idx="12">
                  <c:v>163.39239744738009</c:v>
                </c:pt>
                <c:pt idx="13">
                  <c:v>206.5752953507687</c:v>
                </c:pt>
                <c:pt idx="14">
                  <c:v>256.74575787937749</c:v>
                </c:pt>
                <c:pt idx="15">
                  <c:v>314.42660504551043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3-488F-8B83-5A335E521343}"/>
            </c:ext>
          </c:extLst>
        </c:ser>
        <c:ser>
          <c:idx val="2"/>
          <c:order val="2"/>
          <c:tx>
            <c:strRef>
              <c:f>'Aerostatics in Venus'!$M$81</c:f>
              <c:strCache>
                <c:ptCount val="1"/>
                <c:pt idx="0">
                  <c:v>55.5km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'Aerostatics in Venus'!$J$82:$J$97</c:f>
              <c:numCache>
                <c:formatCode>0.0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'Aerostatics in Venus'!$M$82:$M$97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0.6739908827404415</c:v>
                </c:pt>
                <c:pt idx="4">
                  <c:v>2.353624527343265</c:v>
                </c:pt>
                <c:pt idx="5">
                  <c:v>5.2619591525826088</c:v>
                </c:pt>
                <c:pt idx="6">
                  <c:v>9.7111180639931938</c:v>
                </c:pt>
                <c:pt idx="7">
                  <c:v>16.013224567109734</c:v>
                </c:pt>
                <c:pt idx="8">
                  <c:v>24.48040196746695</c:v>
                </c:pt>
                <c:pt idx="9">
                  <c:v>35.424773570599562</c:v>
                </c:pt>
                <c:pt idx="10">
                  <c:v>49.158462682042277</c:v>
                </c:pt>
                <c:pt idx="11">
                  <c:v>65.993592607329816</c:v>
                </c:pt>
                <c:pt idx="12">
                  <c:v>86.24228665199692</c:v>
                </c:pt>
                <c:pt idx="13">
                  <c:v>110.21666812157829</c:v>
                </c:pt>
                <c:pt idx="14">
                  <c:v>138.22886032160864</c:v>
                </c:pt>
                <c:pt idx="15">
                  <c:v>170.59098655762267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B-4316-A44F-5AF9272C8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12799"/>
        <c:axId val="108814239"/>
      </c:lineChart>
      <c:catAx>
        <c:axId val="10881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Balloon Diameter</a:t>
                </a:r>
                <a:r>
                  <a:rPr lang="en-GB" baseline="0"/>
                  <a:t> (m)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4239"/>
        <c:crosses val="autoZero"/>
        <c:auto val="1"/>
        <c:lblAlgn val="ctr"/>
        <c:lblOffset val="100"/>
        <c:noMultiLvlLbl val="0"/>
      </c:catAx>
      <c:valAx>
        <c:axId val="1088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Payload</a:t>
                </a:r>
                <a:r>
                  <a:rPr lang="en-GB" baseline="0"/>
                  <a:t> Mass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46182</xdr:colOff>
      <xdr:row>81</xdr:row>
      <xdr:rowOff>179820</xdr:rowOff>
    </xdr:from>
    <xdr:to>
      <xdr:col>21</xdr:col>
      <xdr:colOff>179531</xdr:colOff>
      <xdr:row>96</xdr:row>
      <xdr:rowOff>160770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23B03-4E4D-63CD-67C1-FBD18BE00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1F1A0-18FA-489B-8E95-35577E287B7F}">
  <dimension ref="B2:AK97"/>
  <sheetViews>
    <sheetView tabSelected="1" zoomScale="85" zoomScaleNormal="85" workbookViewId="0">
      <selection activeCell="H37" sqref="H37"/>
    </sheetView>
  </sheetViews>
  <sheetFormatPr defaultRowHeight="14.5" x14ac:dyDescent="0.35"/>
  <cols>
    <col min="1" max="1" width="3.453125" customWidth="1"/>
    <col min="2" max="2" width="17.26953125" bestFit="1" customWidth="1"/>
    <col min="3" max="3" width="15.90625" bestFit="1" customWidth="1"/>
    <col min="4" max="4" width="14.6328125" bestFit="1" customWidth="1"/>
    <col min="5" max="5" width="12.1796875" customWidth="1"/>
    <col min="6" max="6" width="6.26953125" bestFit="1" customWidth="1"/>
    <col min="7" max="7" width="5.7265625" customWidth="1"/>
    <col min="8" max="8" width="39.08984375" bestFit="1" customWidth="1"/>
    <col min="10" max="23" width="12" customWidth="1"/>
  </cols>
  <sheetData>
    <row r="2" spans="2:37" ht="15.5" x14ac:dyDescent="0.35">
      <c r="B2" s="28" t="s">
        <v>89</v>
      </c>
    </row>
    <row r="4" spans="2:37" x14ac:dyDescent="0.35">
      <c r="B4" s="3" t="s">
        <v>18</v>
      </c>
    </row>
    <row r="5" spans="2:37" x14ac:dyDescent="0.35">
      <c r="B5">
        <v>8.8699999999999992</v>
      </c>
      <c r="C5" t="s">
        <v>19</v>
      </c>
    </row>
    <row r="6" spans="2:37" x14ac:dyDescent="0.35">
      <c r="B6" s="3" t="s">
        <v>43</v>
      </c>
      <c r="J6" t="s">
        <v>49</v>
      </c>
    </row>
    <row r="7" spans="2:37" x14ac:dyDescent="0.35">
      <c r="B7">
        <v>9.81</v>
      </c>
      <c r="J7" t="s">
        <v>73</v>
      </c>
    </row>
    <row r="8" spans="2:37" x14ac:dyDescent="0.35">
      <c r="J8" t="s">
        <v>74</v>
      </c>
      <c r="M8" s="19">
        <v>15.143333333333301</v>
      </c>
      <c r="N8" t="s">
        <v>75</v>
      </c>
    </row>
    <row r="10" spans="2:37" x14ac:dyDescent="0.35">
      <c r="B10" s="3" t="s">
        <v>11</v>
      </c>
      <c r="J10" s="3" t="s">
        <v>33</v>
      </c>
      <c r="Y10" s="3" t="s">
        <v>87</v>
      </c>
    </row>
    <row r="11" spans="2:37" ht="15" thickBot="1" x14ac:dyDescent="0.4">
      <c r="J11" s="8" t="s">
        <v>55</v>
      </c>
      <c r="K11" s="8" t="s">
        <v>55</v>
      </c>
      <c r="L11" s="8" t="s">
        <v>20</v>
      </c>
      <c r="M11" s="11" t="s">
        <v>16</v>
      </c>
      <c r="N11" s="10" t="s">
        <v>58</v>
      </c>
      <c r="O11" s="10" t="s">
        <v>13</v>
      </c>
    </row>
    <row r="12" spans="2:37" ht="31.5" x14ac:dyDescent="0.35">
      <c r="J12" s="8" t="s">
        <v>55</v>
      </c>
      <c r="K12" s="8" t="s">
        <v>55</v>
      </c>
      <c r="L12" s="8" t="s">
        <v>55</v>
      </c>
      <c r="M12" s="8" t="s">
        <v>50</v>
      </c>
      <c r="N12" s="8" t="s">
        <v>50</v>
      </c>
      <c r="O12" s="8" t="s">
        <v>50</v>
      </c>
      <c r="P12" s="8" t="s">
        <v>50</v>
      </c>
      <c r="Q12" s="8" t="s">
        <v>50</v>
      </c>
      <c r="R12" s="8" t="s">
        <v>50</v>
      </c>
      <c r="S12" s="8" t="s">
        <v>50</v>
      </c>
      <c r="T12" s="8" t="s">
        <v>50</v>
      </c>
      <c r="U12" s="8" t="s">
        <v>48</v>
      </c>
      <c r="V12" s="8" t="s">
        <v>48</v>
      </c>
      <c r="W12" s="8" t="s">
        <v>48</v>
      </c>
      <c r="Y12" s="20" t="s">
        <v>30</v>
      </c>
      <c r="Z12" s="20" t="s">
        <v>37</v>
      </c>
      <c r="AA12" s="20" t="s">
        <v>21</v>
      </c>
      <c r="AB12" s="20" t="s">
        <v>17</v>
      </c>
      <c r="AC12" s="20" t="s">
        <v>15</v>
      </c>
      <c r="AD12" s="20" t="s">
        <v>14</v>
      </c>
      <c r="AE12" s="20" t="s">
        <v>41</v>
      </c>
      <c r="AF12" s="20" t="s">
        <v>59</v>
      </c>
      <c r="AG12" s="20" t="s">
        <v>57</v>
      </c>
      <c r="AH12" s="20" t="s">
        <v>51</v>
      </c>
      <c r="AI12" s="20" t="s">
        <v>54</v>
      </c>
      <c r="AJ12" s="20" t="s">
        <v>53</v>
      </c>
      <c r="AK12" s="20" t="s">
        <v>76</v>
      </c>
    </row>
    <row r="13" spans="2:37" ht="58" x14ac:dyDescent="0.35">
      <c r="J13" s="8" t="s">
        <v>30</v>
      </c>
      <c r="K13" s="8" t="s">
        <v>37</v>
      </c>
      <c r="L13" s="8" t="s">
        <v>21</v>
      </c>
      <c r="M13" s="8" t="s">
        <v>17</v>
      </c>
      <c r="N13" s="8" t="s">
        <v>15</v>
      </c>
      <c r="O13" s="8" t="s">
        <v>14</v>
      </c>
      <c r="P13" s="8" t="s">
        <v>41</v>
      </c>
      <c r="Q13" s="8" t="s">
        <v>65</v>
      </c>
      <c r="R13" s="8" t="s">
        <v>59</v>
      </c>
      <c r="S13" s="8" t="s">
        <v>57</v>
      </c>
      <c r="T13" s="8" t="s">
        <v>51</v>
      </c>
      <c r="U13" s="8" t="s">
        <v>54</v>
      </c>
      <c r="V13" s="8" t="s">
        <v>53</v>
      </c>
      <c r="W13" s="8" t="s">
        <v>56</v>
      </c>
      <c r="Y13" s="21" t="s">
        <v>0</v>
      </c>
      <c r="Z13" s="21" t="s">
        <v>77</v>
      </c>
      <c r="AA13" s="21" t="s">
        <v>77</v>
      </c>
      <c r="AB13" s="21" t="s">
        <v>60</v>
      </c>
      <c r="AC13" s="21" t="s">
        <v>60</v>
      </c>
      <c r="AD13" s="21" t="s">
        <v>60</v>
      </c>
      <c r="AE13" s="21" t="s">
        <v>1</v>
      </c>
      <c r="AF13" s="21" t="s">
        <v>1</v>
      </c>
      <c r="AG13" s="21" t="s">
        <v>1</v>
      </c>
      <c r="AH13" s="21" t="s">
        <v>1</v>
      </c>
      <c r="AI13" s="21" t="s">
        <v>44</v>
      </c>
      <c r="AJ13" s="21" t="s">
        <v>1</v>
      </c>
      <c r="AK13" s="21" t="s">
        <v>1</v>
      </c>
    </row>
    <row r="14" spans="2:37" ht="16.5" thickBot="1" x14ac:dyDescent="0.4">
      <c r="J14" s="8" t="s">
        <v>0</v>
      </c>
      <c r="K14" s="8" t="s">
        <v>2</v>
      </c>
      <c r="L14" s="8" t="s">
        <v>2</v>
      </c>
      <c r="M14" s="8" t="s">
        <v>60</v>
      </c>
      <c r="N14" s="8" t="s">
        <v>60</v>
      </c>
      <c r="O14" s="8" t="s">
        <v>60</v>
      </c>
      <c r="P14" s="8" t="s">
        <v>1</v>
      </c>
      <c r="Q14" s="8" t="s">
        <v>64</v>
      </c>
      <c r="R14" s="8" t="s">
        <v>1</v>
      </c>
      <c r="S14" s="8" t="s">
        <v>1</v>
      </c>
      <c r="T14" s="8" t="s">
        <v>1</v>
      </c>
      <c r="U14" s="8" t="s">
        <v>44</v>
      </c>
      <c r="V14" s="8" t="s">
        <v>1</v>
      </c>
      <c r="W14" s="8" t="s">
        <v>1</v>
      </c>
      <c r="Y14" s="22"/>
      <c r="Z14" s="22"/>
      <c r="AA14" s="22"/>
      <c r="AB14" s="23"/>
      <c r="AC14" s="23"/>
      <c r="AD14" s="23"/>
      <c r="AE14" s="23"/>
      <c r="AF14" s="23"/>
      <c r="AG14" s="22"/>
      <c r="AH14" s="22"/>
      <c r="AI14" s="23"/>
      <c r="AJ14" s="23"/>
      <c r="AK14" s="23"/>
    </row>
    <row r="15" spans="2:37" x14ac:dyDescent="0.35">
      <c r="B15" s="24" t="s">
        <v>3</v>
      </c>
      <c r="C15" s="5" t="s">
        <v>4</v>
      </c>
      <c r="D15" s="5" t="s">
        <v>6</v>
      </c>
      <c r="E15" s="5" t="s">
        <v>68</v>
      </c>
      <c r="F15" s="5" t="s">
        <v>70</v>
      </c>
      <c r="G15" s="4"/>
      <c r="J15" s="8" t="s">
        <v>55</v>
      </c>
      <c r="K15" s="8" t="s">
        <v>55</v>
      </c>
      <c r="L15" s="8" t="s">
        <v>55</v>
      </c>
      <c r="M15" s="8" t="s">
        <v>61</v>
      </c>
      <c r="N15" s="8" t="s">
        <v>62</v>
      </c>
      <c r="O15" s="8" t="s">
        <v>63</v>
      </c>
      <c r="P15" s="8" t="s">
        <v>55</v>
      </c>
      <c r="Q15" s="8" t="s">
        <v>55</v>
      </c>
      <c r="R15" s="8" t="s">
        <v>72</v>
      </c>
      <c r="S15" s="8" t="s">
        <v>55</v>
      </c>
      <c r="T15" s="8" t="s">
        <v>55</v>
      </c>
      <c r="U15" s="8" t="s">
        <v>52</v>
      </c>
      <c r="V15" s="8" t="s">
        <v>52</v>
      </c>
      <c r="W15" s="8" t="s">
        <v>52</v>
      </c>
    </row>
    <row r="16" spans="2:37" ht="15" thickBot="1" x14ac:dyDescent="0.4">
      <c r="B16" s="25"/>
      <c r="C16" s="6" t="s">
        <v>5</v>
      </c>
      <c r="D16" s="6" t="s">
        <v>7</v>
      </c>
      <c r="E16" s="6" t="s">
        <v>69</v>
      </c>
      <c r="F16" s="6"/>
      <c r="J16" s="1">
        <v>0.5</v>
      </c>
      <c r="K16" s="2">
        <f>4*PI()*POWER((J16/2),2)</f>
        <v>0.78539816339744828</v>
      </c>
      <c r="L16" s="2">
        <f>(4/3)*PI()*POWER((J16/2),3)</f>
        <v>6.5449846949787352E-2</v>
      </c>
      <c r="M16" s="2">
        <f t="shared" ref="M16:M31" si="0">$C$24*$B$5*L16</f>
        <v>0.10479186305242405</v>
      </c>
      <c r="N16" s="2">
        <f>L16*$C$19*$B$5</f>
        <v>1.1413419200461106</v>
      </c>
      <c r="O16" s="2">
        <f>($C$19-$C$24)*L16*$B$5</f>
        <v>1.0365500569936865</v>
      </c>
      <c r="P16" s="2">
        <f t="shared" ref="P16:P31" si="1">O16/$B$5</f>
        <v>0.11686020935667267</v>
      </c>
      <c r="Q16" s="2">
        <f>$C$29</f>
        <v>0.17319999999999999</v>
      </c>
      <c r="R16" s="2">
        <f>(Q16*K16)+((Q16*K16)*0.22)</f>
        <v>0.16595777351853441</v>
      </c>
      <c r="S16" s="2">
        <f>P16-R16</f>
        <v>-4.9097564161861743E-2</v>
      </c>
      <c r="T16" s="2">
        <f t="shared" ref="T16:T31" si="2">M16/$B$5</f>
        <v>1.1814189746609251E-2</v>
      </c>
      <c r="U16" s="2">
        <f>L16/$M$8</f>
        <v>4.3220237915334025E-3</v>
      </c>
      <c r="V16" s="2">
        <f>U16*60</f>
        <v>0.25932142749200415</v>
      </c>
      <c r="W16" s="2">
        <f t="shared" ref="W16:W31" si="3">V16+(S16*$B$7/$B$5)+(R16*$B$7/$B$5)</f>
        <v>0.38856592059109762</v>
      </c>
      <c r="Y16" s="2">
        <f>J16</f>
        <v>0.5</v>
      </c>
      <c r="Z16" s="2">
        <f t="shared" ref="Z16:AE31" si="4">K16</f>
        <v>0.78539816339744828</v>
      </c>
      <c r="AA16" s="2">
        <f t="shared" si="4"/>
        <v>6.5449846949787352E-2</v>
      </c>
      <c r="AB16" s="2">
        <f t="shared" si="4"/>
        <v>0.10479186305242405</v>
      </c>
      <c r="AC16" s="2">
        <f t="shared" si="4"/>
        <v>1.1413419200461106</v>
      </c>
      <c r="AD16" s="2">
        <f t="shared" si="4"/>
        <v>1.0365500569936865</v>
      </c>
      <c r="AE16" s="2">
        <f t="shared" si="4"/>
        <v>0.11686020935667267</v>
      </c>
      <c r="AF16" s="2">
        <f>R16</f>
        <v>0.16595777351853441</v>
      </c>
      <c r="AG16" s="2">
        <f t="shared" ref="AG16:AK31" si="5">S16</f>
        <v>-4.9097564161861743E-2</v>
      </c>
      <c r="AH16" s="2">
        <f t="shared" si="5"/>
        <v>1.1814189746609251E-2</v>
      </c>
      <c r="AI16" s="2">
        <f t="shared" si="5"/>
        <v>4.3220237915334025E-3</v>
      </c>
      <c r="AJ16" s="2">
        <f t="shared" si="5"/>
        <v>0.25932142749200415</v>
      </c>
      <c r="AK16" s="2">
        <f t="shared" si="5"/>
        <v>0.38856592059109762</v>
      </c>
    </row>
    <row r="17" spans="2:37" x14ac:dyDescent="0.35">
      <c r="B17" s="4" t="s">
        <v>8</v>
      </c>
      <c r="C17" s="16">
        <v>95.45</v>
      </c>
      <c r="D17" s="16">
        <v>65.45</v>
      </c>
      <c r="E17" s="16">
        <v>20</v>
      </c>
      <c r="F17" s="4" t="s">
        <v>36</v>
      </c>
      <c r="G17" s="4"/>
      <c r="J17" s="1">
        <v>1</v>
      </c>
      <c r="K17" s="2">
        <f t="shared" ref="K17:K31" si="6">4*PI()*POWER((J17/2),2)</f>
        <v>3.1415926535897931</v>
      </c>
      <c r="L17" s="2">
        <f t="shared" ref="L17:L31" si="7">(4/3)*PI()*POWER((J17/2),3)</f>
        <v>0.52359877559829882</v>
      </c>
      <c r="M17" s="2">
        <f t="shared" si="0"/>
        <v>0.8383349044193924</v>
      </c>
      <c r="N17" s="2">
        <f>L17*$C$19*$B$5</f>
        <v>9.1307353603688846</v>
      </c>
      <c r="O17" s="2">
        <f>($C$19-$C$24)*L17*$B$5</f>
        <v>8.2924004559494922</v>
      </c>
      <c r="P17" s="2">
        <f t="shared" si="1"/>
        <v>0.93488167485338136</v>
      </c>
      <c r="Q17" s="2">
        <f t="shared" ref="Q17:Q31" si="8">$C$29</f>
        <v>0.17319999999999999</v>
      </c>
      <c r="R17" s="2">
        <f t="shared" ref="R17:R31" si="9">(Q17*K17)+((Q17*K17)*0.22)</f>
        <v>0.66383109407413765</v>
      </c>
      <c r="S17" s="2">
        <f t="shared" ref="S17:S31" si="10">P17-R17</f>
        <v>0.27105058077924371</v>
      </c>
      <c r="T17" s="2">
        <f t="shared" si="2"/>
        <v>9.4513517972874009E-2</v>
      </c>
      <c r="U17" s="2">
        <f t="shared" ref="U17:U31" si="11">L17/$M$8</f>
        <v>3.457619033226722E-2</v>
      </c>
      <c r="V17" s="2">
        <f t="shared" ref="V17:V31" si="12">U17*60</f>
        <v>2.0745714199360332</v>
      </c>
      <c r="W17" s="2">
        <f t="shared" si="3"/>
        <v>3.108527364728781</v>
      </c>
      <c r="Y17" s="2">
        <f t="shared" ref="Y17:Y31" si="13">J17</f>
        <v>1</v>
      </c>
      <c r="Z17" s="2">
        <f t="shared" si="4"/>
        <v>3.1415926535897931</v>
      </c>
      <c r="AA17" s="2">
        <f t="shared" si="4"/>
        <v>0.52359877559829882</v>
      </c>
      <c r="AB17" s="2">
        <f t="shared" si="4"/>
        <v>0.8383349044193924</v>
      </c>
      <c r="AC17" s="2">
        <f t="shared" si="4"/>
        <v>9.1307353603688846</v>
      </c>
      <c r="AD17" s="2">
        <f t="shared" si="4"/>
        <v>8.2924004559494922</v>
      </c>
      <c r="AE17" s="2">
        <f t="shared" si="4"/>
        <v>0.93488167485338136</v>
      </c>
      <c r="AF17" s="2">
        <f t="shared" ref="AF17:AF31" si="14">R17</f>
        <v>0.66383109407413765</v>
      </c>
      <c r="AG17" s="2">
        <f t="shared" si="5"/>
        <v>0.27105058077924371</v>
      </c>
      <c r="AH17" s="2">
        <f t="shared" si="5"/>
        <v>9.4513517972874009E-2</v>
      </c>
      <c r="AI17" s="2">
        <f t="shared" si="5"/>
        <v>3.457619033226722E-2</v>
      </c>
      <c r="AJ17" s="2">
        <f t="shared" si="5"/>
        <v>2.0745714199360332</v>
      </c>
      <c r="AK17" s="2">
        <f t="shared" si="5"/>
        <v>3.108527364728781</v>
      </c>
    </row>
    <row r="18" spans="2:37" x14ac:dyDescent="0.35">
      <c r="B18" s="4" t="s">
        <v>9</v>
      </c>
      <c r="C18" s="15">
        <v>1.3819999999999999</v>
      </c>
      <c r="D18" s="15">
        <v>0.94699999999999995</v>
      </c>
      <c r="E18" s="15">
        <v>0.45779999999999998</v>
      </c>
      <c r="F18" s="4" t="s">
        <v>35</v>
      </c>
      <c r="J18" s="1">
        <v>1.5</v>
      </c>
      <c r="K18" s="2">
        <f t="shared" si="6"/>
        <v>7.0685834705770345</v>
      </c>
      <c r="L18" s="2">
        <f t="shared" si="7"/>
        <v>1.7671458676442584</v>
      </c>
      <c r="M18" s="2">
        <f t="shared" si="0"/>
        <v>2.8293803024154491</v>
      </c>
      <c r="N18" s="2">
        <f>L18*$C$19*$B$5</f>
        <v>30.816231841244985</v>
      </c>
      <c r="O18" s="2">
        <f>($C$19-$C$24)*L18*$B$5</f>
        <v>27.986851538829534</v>
      </c>
      <c r="P18" s="2">
        <f t="shared" si="1"/>
        <v>3.1552256526301621</v>
      </c>
      <c r="Q18" s="2">
        <f t="shared" si="8"/>
        <v>0.17319999999999999</v>
      </c>
      <c r="R18" s="2">
        <f t="shared" si="9"/>
        <v>1.4936199616668095</v>
      </c>
      <c r="S18" s="2">
        <f t="shared" si="10"/>
        <v>1.6616056909633525</v>
      </c>
      <c r="T18" s="2">
        <f t="shared" si="2"/>
        <v>0.31898312315844979</v>
      </c>
      <c r="U18" s="2">
        <f t="shared" si="11"/>
        <v>0.11669464237140187</v>
      </c>
      <c r="V18" s="2">
        <f t="shared" si="12"/>
        <v>7.0016785422841119</v>
      </c>
      <c r="W18" s="2">
        <f t="shared" si="3"/>
        <v>10.491279855959634</v>
      </c>
      <c r="Y18" s="2">
        <f t="shared" si="13"/>
        <v>1.5</v>
      </c>
      <c r="Z18" s="2">
        <f t="shared" si="4"/>
        <v>7.0685834705770345</v>
      </c>
      <c r="AA18" s="2">
        <f t="shared" si="4"/>
        <v>1.7671458676442584</v>
      </c>
      <c r="AB18" s="2">
        <f t="shared" si="4"/>
        <v>2.8293803024154491</v>
      </c>
      <c r="AC18" s="2">
        <f t="shared" si="4"/>
        <v>30.816231841244985</v>
      </c>
      <c r="AD18" s="2">
        <f t="shared" si="4"/>
        <v>27.986851538829534</v>
      </c>
      <c r="AE18" s="2">
        <f t="shared" si="4"/>
        <v>3.1552256526301621</v>
      </c>
      <c r="AF18" s="2">
        <f t="shared" si="14"/>
        <v>1.4936199616668095</v>
      </c>
      <c r="AG18" s="2">
        <f t="shared" si="5"/>
        <v>1.6616056909633525</v>
      </c>
      <c r="AH18" s="2">
        <f t="shared" si="5"/>
        <v>0.31898312315844979</v>
      </c>
      <c r="AI18" s="2">
        <f t="shared" si="5"/>
        <v>0.11669464237140187</v>
      </c>
      <c r="AJ18" s="2">
        <f t="shared" si="5"/>
        <v>7.0016785422841119</v>
      </c>
      <c r="AK18" s="2">
        <f t="shared" si="5"/>
        <v>10.491279855959634</v>
      </c>
    </row>
    <row r="19" spans="2:37" x14ac:dyDescent="0.35">
      <c r="B19" s="4" t="s">
        <v>10</v>
      </c>
      <c r="C19" s="15">
        <v>1.966</v>
      </c>
      <c r="D19" s="15">
        <v>1.466</v>
      </c>
      <c r="E19" s="15">
        <v>0.87</v>
      </c>
      <c r="F19" s="15" t="s">
        <v>34</v>
      </c>
      <c r="J19" s="1">
        <v>2</v>
      </c>
      <c r="K19" s="2">
        <f t="shared" si="6"/>
        <v>12.566370614359172</v>
      </c>
      <c r="L19" s="2">
        <f t="shared" si="7"/>
        <v>4.1887902047863905</v>
      </c>
      <c r="M19" s="2">
        <f t="shared" si="0"/>
        <v>6.7066792353551392</v>
      </c>
      <c r="N19" s="2">
        <f>L19*$C$19*$B$5</f>
        <v>73.045882882951076</v>
      </c>
      <c r="O19" s="2">
        <f>($C$19-$C$24)*L19*$B$5</f>
        <v>66.339203647595937</v>
      </c>
      <c r="P19" s="2">
        <f t="shared" si="1"/>
        <v>7.4790533988270509</v>
      </c>
      <c r="Q19" s="2">
        <f t="shared" si="8"/>
        <v>0.17319999999999999</v>
      </c>
      <c r="R19" s="2">
        <f t="shared" si="9"/>
        <v>2.6553243762965506</v>
      </c>
      <c r="S19" s="2">
        <f t="shared" si="10"/>
        <v>4.8237290225305003</v>
      </c>
      <c r="T19" s="2">
        <f t="shared" si="2"/>
        <v>0.75610814378299207</v>
      </c>
      <c r="U19" s="2">
        <f t="shared" si="11"/>
        <v>0.27660952265813776</v>
      </c>
      <c r="V19" s="2">
        <f t="shared" si="12"/>
        <v>16.596571359488266</v>
      </c>
      <c r="W19" s="2">
        <f t="shared" si="3"/>
        <v>24.868218917830248</v>
      </c>
      <c r="Y19" s="2">
        <f t="shared" si="13"/>
        <v>2</v>
      </c>
      <c r="Z19" s="2">
        <f t="shared" si="4"/>
        <v>12.566370614359172</v>
      </c>
      <c r="AA19" s="2">
        <f t="shared" si="4"/>
        <v>4.1887902047863905</v>
      </c>
      <c r="AB19" s="2">
        <f t="shared" si="4"/>
        <v>6.7066792353551392</v>
      </c>
      <c r="AC19" s="2">
        <f t="shared" si="4"/>
        <v>73.045882882951076</v>
      </c>
      <c r="AD19" s="2">
        <f t="shared" si="4"/>
        <v>66.339203647595937</v>
      </c>
      <c r="AE19" s="2">
        <f t="shared" si="4"/>
        <v>7.4790533988270509</v>
      </c>
      <c r="AF19" s="2">
        <f t="shared" si="14"/>
        <v>2.6553243762965506</v>
      </c>
      <c r="AG19" s="2">
        <f t="shared" si="5"/>
        <v>4.8237290225305003</v>
      </c>
      <c r="AH19" s="2">
        <f t="shared" si="5"/>
        <v>0.75610814378299207</v>
      </c>
      <c r="AI19" s="2">
        <f t="shared" si="5"/>
        <v>0.27660952265813776</v>
      </c>
      <c r="AJ19" s="2">
        <f t="shared" si="5"/>
        <v>16.596571359488266</v>
      </c>
      <c r="AK19" s="2">
        <f t="shared" si="5"/>
        <v>24.868218917830248</v>
      </c>
    </row>
    <row r="20" spans="2:37" x14ac:dyDescent="0.35">
      <c r="J20" s="1">
        <v>2.5</v>
      </c>
      <c r="K20" s="2">
        <f t="shared" si="6"/>
        <v>19.634954084936208</v>
      </c>
      <c r="L20" s="2">
        <f t="shared" si="7"/>
        <v>8.1812308687234196</v>
      </c>
      <c r="M20" s="2">
        <f t="shared" si="0"/>
        <v>13.098982881553006</v>
      </c>
      <c r="N20" s="2">
        <f>L20*$C$19*$B$5</f>
        <v>142.66774000576382</v>
      </c>
      <c r="O20" s="2">
        <f>($C$19-$C$24)*L20*$B$5</f>
        <v>129.56875712421083</v>
      </c>
      <c r="P20" s="2">
        <f t="shared" si="1"/>
        <v>14.607526169584085</v>
      </c>
      <c r="Q20" s="2">
        <f t="shared" si="8"/>
        <v>0.17319999999999999</v>
      </c>
      <c r="R20" s="2">
        <f t="shared" si="9"/>
        <v>4.1489443379633606</v>
      </c>
      <c r="S20" s="2">
        <f t="shared" si="10"/>
        <v>10.458581831620725</v>
      </c>
      <c r="T20" s="2">
        <f t="shared" si="2"/>
        <v>1.4767737183261564</v>
      </c>
      <c r="U20" s="2">
        <f t="shared" si="11"/>
        <v>0.54025297394167537</v>
      </c>
      <c r="V20" s="2">
        <f t="shared" si="12"/>
        <v>32.415178436500526</v>
      </c>
      <c r="W20" s="2">
        <f t="shared" si="3"/>
        <v>48.570740073887208</v>
      </c>
      <c r="Y20" s="2">
        <f t="shared" si="13"/>
        <v>2.5</v>
      </c>
      <c r="Z20" s="2">
        <f t="shared" si="4"/>
        <v>19.634954084936208</v>
      </c>
      <c r="AA20" s="2">
        <f t="shared" si="4"/>
        <v>8.1812308687234196</v>
      </c>
      <c r="AB20" s="2">
        <f t="shared" si="4"/>
        <v>13.098982881553006</v>
      </c>
      <c r="AC20" s="2">
        <f t="shared" si="4"/>
        <v>142.66774000576382</v>
      </c>
      <c r="AD20" s="2">
        <f t="shared" si="4"/>
        <v>129.56875712421083</v>
      </c>
      <c r="AE20" s="2">
        <f t="shared" si="4"/>
        <v>14.607526169584085</v>
      </c>
      <c r="AF20" s="2">
        <f t="shared" si="14"/>
        <v>4.1489443379633606</v>
      </c>
      <c r="AG20" s="2">
        <f t="shared" si="5"/>
        <v>10.458581831620725</v>
      </c>
      <c r="AH20" s="2">
        <f t="shared" si="5"/>
        <v>1.4767737183261564</v>
      </c>
      <c r="AI20" s="2">
        <f t="shared" si="5"/>
        <v>0.54025297394167537</v>
      </c>
      <c r="AJ20" s="2">
        <f t="shared" si="5"/>
        <v>32.415178436500526</v>
      </c>
      <c r="AK20" s="2">
        <f t="shared" si="5"/>
        <v>48.570740073887208</v>
      </c>
    </row>
    <row r="21" spans="2:37" x14ac:dyDescent="0.35">
      <c r="B21" s="7" t="s">
        <v>12</v>
      </c>
      <c r="J21" s="1">
        <v>3</v>
      </c>
      <c r="K21" s="2">
        <f t="shared" si="6"/>
        <v>28.274333882308138</v>
      </c>
      <c r="L21" s="2">
        <f t="shared" si="7"/>
        <v>14.137166941154067</v>
      </c>
      <c r="M21" s="2">
        <f t="shared" si="0"/>
        <v>22.635042419323593</v>
      </c>
      <c r="N21" s="2">
        <f>L21*$C$19*$B$5</f>
        <v>246.52985472995988</v>
      </c>
      <c r="O21" s="2">
        <f>($C$19-$C$24)*L21*$B$5</f>
        <v>223.89481231063627</v>
      </c>
      <c r="P21" s="2">
        <f t="shared" si="1"/>
        <v>25.241805221041297</v>
      </c>
      <c r="Q21" s="2">
        <f t="shared" si="8"/>
        <v>0.17319999999999999</v>
      </c>
      <c r="R21" s="2">
        <f t="shared" si="9"/>
        <v>5.9744798466672382</v>
      </c>
      <c r="S21" s="2">
        <f t="shared" si="10"/>
        <v>19.26732537437406</v>
      </c>
      <c r="T21" s="2">
        <f t="shared" si="2"/>
        <v>2.5518649852675983</v>
      </c>
      <c r="U21" s="2">
        <f t="shared" si="11"/>
        <v>0.93355713897121495</v>
      </c>
      <c r="V21" s="2">
        <f t="shared" si="12"/>
        <v>56.013428338272895</v>
      </c>
      <c r="W21" s="2">
        <f t="shared" si="3"/>
        <v>83.930238847677089</v>
      </c>
      <c r="Y21" s="2">
        <f t="shared" si="13"/>
        <v>3</v>
      </c>
      <c r="Z21" s="2">
        <f t="shared" si="4"/>
        <v>28.274333882308138</v>
      </c>
      <c r="AA21" s="2">
        <f t="shared" si="4"/>
        <v>14.137166941154067</v>
      </c>
      <c r="AB21" s="2">
        <f t="shared" si="4"/>
        <v>22.635042419323593</v>
      </c>
      <c r="AC21" s="2">
        <f t="shared" si="4"/>
        <v>246.52985472995988</v>
      </c>
      <c r="AD21" s="2">
        <f t="shared" si="4"/>
        <v>223.89481231063627</v>
      </c>
      <c r="AE21" s="2">
        <f t="shared" si="4"/>
        <v>25.241805221041297</v>
      </c>
      <c r="AF21" s="2">
        <f t="shared" si="14"/>
        <v>5.9744798466672382</v>
      </c>
      <c r="AG21" s="2">
        <f t="shared" si="5"/>
        <v>19.26732537437406</v>
      </c>
      <c r="AH21" s="2">
        <f t="shared" si="5"/>
        <v>2.5518649852675983</v>
      </c>
      <c r="AI21" s="2">
        <f t="shared" si="5"/>
        <v>0.93355713897121495</v>
      </c>
      <c r="AJ21" s="2">
        <f t="shared" si="5"/>
        <v>56.013428338272895</v>
      </c>
      <c r="AK21" s="2">
        <f t="shared" si="5"/>
        <v>83.930238847677089</v>
      </c>
    </row>
    <row r="22" spans="2:37" x14ac:dyDescent="0.35">
      <c r="B22" t="s">
        <v>31</v>
      </c>
      <c r="J22" s="1">
        <v>3.5</v>
      </c>
      <c r="K22" s="2">
        <f t="shared" si="6"/>
        <v>38.484510006474963</v>
      </c>
      <c r="L22" s="2">
        <f t="shared" si="7"/>
        <v>22.449297503777061</v>
      </c>
      <c r="M22" s="2">
        <f t="shared" si="0"/>
        <v>35.943609026981449</v>
      </c>
      <c r="N22" s="2">
        <f>L22*$C$19*$B$5</f>
        <v>391.48027857581593</v>
      </c>
      <c r="O22" s="2">
        <f>($C$19-$C$24)*L22*$B$5</f>
        <v>355.53666954883448</v>
      </c>
      <c r="P22" s="2">
        <f t="shared" si="1"/>
        <v>40.083051809338727</v>
      </c>
      <c r="Q22" s="2">
        <f t="shared" si="8"/>
        <v>0.17319999999999999</v>
      </c>
      <c r="R22" s="2">
        <f t="shared" si="9"/>
        <v>8.1319309024081861</v>
      </c>
      <c r="S22" s="2">
        <f t="shared" si="10"/>
        <v>31.951120906930541</v>
      </c>
      <c r="T22" s="2">
        <f t="shared" si="2"/>
        <v>4.0522670830869734</v>
      </c>
      <c r="U22" s="2">
        <f t="shared" si="11"/>
        <v>1.4824541604959569</v>
      </c>
      <c r="V22" s="2">
        <f t="shared" si="12"/>
        <v>88.947249629757408</v>
      </c>
      <c r="W22" s="2">
        <f t="shared" si="3"/>
        <v>133.27811076274648</v>
      </c>
      <c r="Y22" s="2">
        <f t="shared" si="13"/>
        <v>3.5</v>
      </c>
      <c r="Z22" s="2">
        <f t="shared" si="4"/>
        <v>38.484510006474963</v>
      </c>
      <c r="AA22" s="2">
        <f t="shared" si="4"/>
        <v>22.449297503777061</v>
      </c>
      <c r="AB22" s="2">
        <f t="shared" si="4"/>
        <v>35.943609026981449</v>
      </c>
      <c r="AC22" s="2">
        <f t="shared" si="4"/>
        <v>391.48027857581593</v>
      </c>
      <c r="AD22" s="2">
        <f t="shared" si="4"/>
        <v>355.53666954883448</v>
      </c>
      <c r="AE22" s="2">
        <f t="shared" si="4"/>
        <v>40.083051809338727</v>
      </c>
      <c r="AF22" s="2">
        <f t="shared" si="14"/>
        <v>8.1319309024081861</v>
      </c>
      <c r="AG22" s="2">
        <f t="shared" si="5"/>
        <v>31.951120906930541</v>
      </c>
      <c r="AH22" s="2">
        <f t="shared" si="5"/>
        <v>4.0522670830869734</v>
      </c>
      <c r="AI22" s="2">
        <f t="shared" si="5"/>
        <v>1.4824541604959569</v>
      </c>
      <c r="AJ22" s="2">
        <f t="shared" si="5"/>
        <v>88.947249629757408</v>
      </c>
      <c r="AK22" s="2">
        <f t="shared" si="5"/>
        <v>133.27811076274648</v>
      </c>
    </row>
    <row r="23" spans="2:37" x14ac:dyDescent="0.35">
      <c r="B23" t="s">
        <v>9</v>
      </c>
      <c r="C23" s="9">
        <f>C18*100000</f>
        <v>138200</v>
      </c>
      <c r="D23" s="9">
        <f>D18*100000</f>
        <v>94700</v>
      </c>
      <c r="E23" s="9">
        <f>E18*100000</f>
        <v>45780</v>
      </c>
      <c r="F23" t="s">
        <v>29</v>
      </c>
      <c r="H23" t="s">
        <v>22</v>
      </c>
      <c r="J23" s="1">
        <v>4</v>
      </c>
      <c r="K23" s="2">
        <f t="shared" si="6"/>
        <v>50.26548245743669</v>
      </c>
      <c r="L23" s="2">
        <f t="shared" si="7"/>
        <v>33.510321638291124</v>
      </c>
      <c r="M23" s="2">
        <f t="shared" si="0"/>
        <v>53.653433882841114</v>
      </c>
      <c r="N23" s="2">
        <f>L23*$C$19*$B$5</f>
        <v>584.36706306360861</v>
      </c>
      <c r="O23" s="2">
        <f>($C$19-$C$24)*L23*$B$5</f>
        <v>530.7136291807675</v>
      </c>
      <c r="P23" s="2">
        <f t="shared" si="1"/>
        <v>59.832427190616407</v>
      </c>
      <c r="Q23" s="2">
        <f t="shared" si="8"/>
        <v>0.17319999999999999</v>
      </c>
      <c r="R23" s="2">
        <f t="shared" si="9"/>
        <v>10.621297505186202</v>
      </c>
      <c r="S23" s="2">
        <f t="shared" si="10"/>
        <v>49.211129685430208</v>
      </c>
      <c r="T23" s="2">
        <f t="shared" si="2"/>
        <v>6.0488651502639366</v>
      </c>
      <c r="U23" s="2">
        <f t="shared" si="11"/>
        <v>2.2128761812651021</v>
      </c>
      <c r="V23" s="2">
        <f t="shared" si="12"/>
        <v>132.77257087590613</v>
      </c>
      <c r="W23" s="2">
        <f t="shared" si="3"/>
        <v>198.94575134264198</v>
      </c>
      <c r="Y23" s="2">
        <f t="shared" si="13"/>
        <v>4</v>
      </c>
      <c r="Z23" s="2">
        <f t="shared" si="4"/>
        <v>50.26548245743669</v>
      </c>
      <c r="AA23" s="2">
        <f t="shared" si="4"/>
        <v>33.510321638291124</v>
      </c>
      <c r="AB23" s="2">
        <f t="shared" si="4"/>
        <v>53.653433882841114</v>
      </c>
      <c r="AC23" s="2">
        <f t="shared" si="4"/>
        <v>584.36706306360861</v>
      </c>
      <c r="AD23" s="2">
        <f t="shared" si="4"/>
        <v>530.7136291807675</v>
      </c>
      <c r="AE23" s="2">
        <f t="shared" si="4"/>
        <v>59.832427190616407</v>
      </c>
      <c r="AF23" s="2">
        <f t="shared" si="14"/>
        <v>10.621297505186202</v>
      </c>
      <c r="AG23" s="2">
        <f t="shared" si="5"/>
        <v>49.211129685430208</v>
      </c>
      <c r="AH23" s="2">
        <f t="shared" si="5"/>
        <v>6.0488651502639366</v>
      </c>
      <c r="AI23" s="2">
        <f t="shared" si="5"/>
        <v>2.2128761812651021</v>
      </c>
      <c r="AJ23" s="2">
        <f t="shared" si="5"/>
        <v>132.77257087590613</v>
      </c>
      <c r="AK23" s="2">
        <f t="shared" si="5"/>
        <v>198.94575134264198</v>
      </c>
    </row>
    <row r="24" spans="2:37" x14ac:dyDescent="0.35">
      <c r="B24" t="s">
        <v>10</v>
      </c>
      <c r="C24" s="14">
        <f>C23/(C25*C27)</f>
        <v>0.1805075228926511</v>
      </c>
      <c r="D24" s="14">
        <f>D23/(D25*D27)</f>
        <v>0.13464977111102955</v>
      </c>
      <c r="E24" s="14">
        <f>E23/(E25*E27)</f>
        <v>7.5184529119483007E-2</v>
      </c>
      <c r="F24" t="s">
        <v>28</v>
      </c>
      <c r="H24" t="s">
        <v>38</v>
      </c>
      <c r="J24" s="1">
        <v>4.5</v>
      </c>
      <c r="K24" s="2">
        <f t="shared" si="6"/>
        <v>63.617251235193308</v>
      </c>
      <c r="L24" s="2">
        <f t="shared" si="7"/>
        <v>47.712938426394977</v>
      </c>
      <c r="M24" s="2">
        <f t="shared" si="0"/>
        <v>76.393268165217123</v>
      </c>
      <c r="N24" s="2">
        <f>L24*$C$19*$B$5</f>
        <v>832.03825971361459</v>
      </c>
      <c r="O24" s="2">
        <f>($C$19-$C$24)*L24*$B$5</f>
        <v>755.64499154839746</v>
      </c>
      <c r="P24" s="2">
        <f t="shared" si="1"/>
        <v>85.191092621014377</v>
      </c>
      <c r="Q24" s="2">
        <f t="shared" si="8"/>
        <v>0.17319999999999999</v>
      </c>
      <c r="R24" s="2">
        <f t="shared" si="9"/>
        <v>13.442579655001285</v>
      </c>
      <c r="S24" s="2">
        <f t="shared" si="10"/>
        <v>71.748512966013095</v>
      </c>
      <c r="T24" s="2">
        <f t="shared" si="2"/>
        <v>8.6125443252781437</v>
      </c>
      <c r="U24" s="2">
        <f t="shared" si="11"/>
        <v>3.1507553440278504</v>
      </c>
      <c r="V24" s="2">
        <f t="shared" si="12"/>
        <v>189.04532064167103</v>
      </c>
      <c r="W24" s="2">
        <f t="shared" si="3"/>
        <v>283.26455611091012</v>
      </c>
      <c r="Y24" s="2">
        <f t="shared" si="13"/>
        <v>4.5</v>
      </c>
      <c r="Z24" s="2">
        <f t="shared" si="4"/>
        <v>63.617251235193308</v>
      </c>
      <c r="AA24" s="2">
        <f t="shared" si="4"/>
        <v>47.712938426394977</v>
      </c>
      <c r="AB24" s="2">
        <f t="shared" si="4"/>
        <v>76.393268165217123</v>
      </c>
      <c r="AC24" s="2">
        <f t="shared" si="4"/>
        <v>832.03825971361459</v>
      </c>
      <c r="AD24" s="2">
        <f t="shared" si="4"/>
        <v>755.64499154839746</v>
      </c>
      <c r="AE24" s="2">
        <f t="shared" si="4"/>
        <v>85.191092621014377</v>
      </c>
      <c r="AF24" s="2">
        <f t="shared" si="14"/>
        <v>13.442579655001285</v>
      </c>
      <c r="AG24" s="2">
        <f t="shared" si="5"/>
        <v>71.748512966013095</v>
      </c>
      <c r="AH24" s="2">
        <f t="shared" si="5"/>
        <v>8.6125443252781437</v>
      </c>
      <c r="AI24" s="2">
        <f t="shared" si="5"/>
        <v>3.1507553440278504</v>
      </c>
      <c r="AJ24" s="2">
        <f t="shared" si="5"/>
        <v>189.04532064167103</v>
      </c>
      <c r="AK24" s="2">
        <f t="shared" si="5"/>
        <v>283.26455611091012</v>
      </c>
    </row>
    <row r="25" spans="2:37" x14ac:dyDescent="0.35">
      <c r="B25" t="s">
        <v>23</v>
      </c>
      <c r="C25" s="1">
        <v>2077.1</v>
      </c>
      <c r="D25" s="1">
        <v>2077.1</v>
      </c>
      <c r="E25" s="1">
        <v>2077.1</v>
      </c>
      <c r="F25" t="s">
        <v>27</v>
      </c>
      <c r="H25" t="s">
        <v>24</v>
      </c>
      <c r="J25" s="1">
        <v>5</v>
      </c>
      <c r="K25" s="2">
        <f t="shared" si="6"/>
        <v>78.539816339744831</v>
      </c>
      <c r="L25" s="2">
        <f t="shared" si="7"/>
        <v>65.449846949787357</v>
      </c>
      <c r="M25" s="2">
        <f t="shared" si="0"/>
        <v>104.79186305242405</v>
      </c>
      <c r="N25" s="2">
        <f>L25*$C$19*$B$5</f>
        <v>1141.3419200461105</v>
      </c>
      <c r="O25" s="2">
        <f>($C$19-$C$24)*L25*$B$5</f>
        <v>1036.5500569936867</v>
      </c>
      <c r="P25" s="2">
        <f t="shared" si="1"/>
        <v>116.86020935667268</v>
      </c>
      <c r="Q25" s="2">
        <f t="shared" si="8"/>
        <v>0.17319999999999999</v>
      </c>
      <c r="R25" s="2">
        <f t="shared" si="9"/>
        <v>16.595777351853442</v>
      </c>
      <c r="S25" s="2">
        <f t="shared" si="10"/>
        <v>100.26443200481924</v>
      </c>
      <c r="T25" s="2">
        <f t="shared" si="2"/>
        <v>11.814189746609252</v>
      </c>
      <c r="U25" s="2">
        <f t="shared" si="11"/>
        <v>4.322023791533403</v>
      </c>
      <c r="V25" s="2">
        <f t="shared" si="12"/>
        <v>259.3214274920042</v>
      </c>
      <c r="W25" s="2">
        <f t="shared" si="3"/>
        <v>388.56592059109767</v>
      </c>
      <c r="Y25" s="2">
        <f t="shared" si="13"/>
        <v>5</v>
      </c>
      <c r="Z25" s="2">
        <f t="shared" si="4"/>
        <v>78.539816339744831</v>
      </c>
      <c r="AA25" s="2">
        <f t="shared" si="4"/>
        <v>65.449846949787357</v>
      </c>
      <c r="AB25" s="2">
        <f t="shared" si="4"/>
        <v>104.79186305242405</v>
      </c>
      <c r="AC25" s="2">
        <f t="shared" si="4"/>
        <v>1141.3419200461105</v>
      </c>
      <c r="AD25" s="2">
        <f t="shared" si="4"/>
        <v>1036.5500569936867</v>
      </c>
      <c r="AE25" s="2">
        <f t="shared" si="4"/>
        <v>116.86020935667268</v>
      </c>
      <c r="AF25" s="2">
        <f t="shared" si="14"/>
        <v>16.595777351853442</v>
      </c>
      <c r="AG25" s="2">
        <f t="shared" si="5"/>
        <v>100.26443200481924</v>
      </c>
      <c r="AH25" s="2">
        <f t="shared" si="5"/>
        <v>11.814189746609252</v>
      </c>
      <c r="AI25" s="2">
        <f t="shared" si="5"/>
        <v>4.322023791533403</v>
      </c>
      <c r="AJ25" s="2">
        <f t="shared" si="5"/>
        <v>259.3214274920042</v>
      </c>
      <c r="AK25" s="2">
        <f t="shared" si="5"/>
        <v>388.56592059109767</v>
      </c>
    </row>
    <row r="26" spans="2:37" x14ac:dyDescent="0.35">
      <c r="C26" s="14"/>
      <c r="D26" s="14"/>
      <c r="E26" s="14"/>
      <c r="J26" s="26">
        <v>5.5</v>
      </c>
      <c r="K26" s="27">
        <f t="shared" si="6"/>
        <v>95.033177771091246</v>
      </c>
      <c r="L26" s="27">
        <f t="shared" si="7"/>
        <v>87.113746290166972</v>
      </c>
      <c r="M26" s="27">
        <f t="shared" si="0"/>
        <v>139.47796972277641</v>
      </c>
      <c r="N26" s="27">
        <f>L26*$C$19*$B$5</f>
        <v>1519.1260955813734</v>
      </c>
      <c r="O26" s="27">
        <f>($C$19-$C$24)*L26*$B$5</f>
        <v>1379.648125858597</v>
      </c>
      <c r="P26" s="27">
        <f t="shared" si="1"/>
        <v>155.54093865373136</v>
      </c>
      <c r="Q26" s="27">
        <f t="shared" si="8"/>
        <v>0.17319999999999999</v>
      </c>
      <c r="R26" s="27">
        <f t="shared" si="9"/>
        <v>20.080890595742666</v>
      </c>
      <c r="S26" s="27">
        <f t="shared" si="10"/>
        <v>135.4600480579887</v>
      </c>
      <c r="T26" s="27">
        <f t="shared" si="2"/>
        <v>15.724686552736912</v>
      </c>
      <c r="U26" s="27">
        <f t="shared" si="11"/>
        <v>5.7526136665309595</v>
      </c>
      <c r="V26" s="27">
        <f t="shared" si="12"/>
        <v>345.15681999185756</v>
      </c>
      <c r="W26" s="27">
        <f t="shared" si="3"/>
        <v>517.18124030675108</v>
      </c>
      <c r="Y26" s="2">
        <f t="shared" si="13"/>
        <v>5.5</v>
      </c>
      <c r="Z26" s="2">
        <f t="shared" si="4"/>
        <v>95.033177771091246</v>
      </c>
      <c r="AA26" s="2">
        <f t="shared" si="4"/>
        <v>87.113746290166972</v>
      </c>
      <c r="AB26" s="2">
        <f t="shared" si="4"/>
        <v>139.47796972277641</v>
      </c>
      <c r="AC26" s="2">
        <f t="shared" si="4"/>
        <v>1519.1260955813734</v>
      </c>
      <c r="AD26" s="2">
        <f t="shared" si="4"/>
        <v>1379.648125858597</v>
      </c>
      <c r="AE26" s="2">
        <f t="shared" si="4"/>
        <v>155.54093865373136</v>
      </c>
      <c r="AF26" s="2">
        <f t="shared" si="14"/>
        <v>20.080890595742666</v>
      </c>
      <c r="AG26" s="2">
        <f t="shared" si="5"/>
        <v>135.4600480579887</v>
      </c>
      <c r="AH26" s="2">
        <f t="shared" si="5"/>
        <v>15.724686552736912</v>
      </c>
      <c r="AI26" s="2">
        <f t="shared" si="5"/>
        <v>5.7526136665309595</v>
      </c>
      <c r="AJ26" s="2">
        <f t="shared" si="5"/>
        <v>345.15681999185756</v>
      </c>
      <c r="AK26" s="2">
        <f t="shared" si="5"/>
        <v>517.18124030675108</v>
      </c>
    </row>
    <row r="27" spans="2:37" x14ac:dyDescent="0.35">
      <c r="B27" t="s">
        <v>8</v>
      </c>
      <c r="C27" s="2">
        <f>273.15+C17</f>
        <v>368.59999999999997</v>
      </c>
      <c r="D27" s="2">
        <f>273.15+D17</f>
        <v>338.59999999999997</v>
      </c>
      <c r="E27" s="2">
        <f>273.15+E17</f>
        <v>293.14999999999998</v>
      </c>
      <c r="F27" t="s">
        <v>26</v>
      </c>
      <c r="H27" t="s">
        <v>25</v>
      </c>
      <c r="J27" s="12">
        <v>6</v>
      </c>
      <c r="K27" s="13">
        <f t="shared" si="6"/>
        <v>113.09733552923255</v>
      </c>
      <c r="L27" s="13">
        <f t="shared" si="7"/>
        <v>113.09733552923254</v>
      </c>
      <c r="M27" s="13">
        <f t="shared" si="0"/>
        <v>181.08033935458874</v>
      </c>
      <c r="N27" s="13">
        <f>L27*$C$19*$B$5</f>
        <v>1972.238837839679</v>
      </c>
      <c r="O27" s="13">
        <f>($C$19-$C$24)*L27*$B$5</f>
        <v>1791.1584984850901</v>
      </c>
      <c r="P27" s="13">
        <f t="shared" si="1"/>
        <v>201.93444176833037</v>
      </c>
      <c r="Q27" s="13">
        <f t="shared" si="8"/>
        <v>0.17319999999999999</v>
      </c>
      <c r="R27" s="13">
        <f t="shared" si="9"/>
        <v>23.897919386668953</v>
      </c>
      <c r="S27" s="13">
        <f t="shared" si="10"/>
        <v>178.03652238166143</v>
      </c>
      <c r="T27" s="13">
        <f t="shared" si="2"/>
        <v>20.414919882140786</v>
      </c>
      <c r="U27" s="13">
        <f t="shared" si="11"/>
        <v>7.4684571117697196</v>
      </c>
      <c r="V27" s="13">
        <f t="shared" si="12"/>
        <v>448.10742670618316</v>
      </c>
      <c r="W27" s="13">
        <f t="shared" si="3"/>
        <v>671.4419107814166</v>
      </c>
      <c r="Y27" s="2">
        <f t="shared" si="13"/>
        <v>6</v>
      </c>
      <c r="Z27" s="2">
        <f t="shared" si="4"/>
        <v>113.09733552923255</v>
      </c>
      <c r="AA27" s="2">
        <f t="shared" si="4"/>
        <v>113.09733552923254</v>
      </c>
      <c r="AB27" s="2">
        <f t="shared" si="4"/>
        <v>181.08033935458874</v>
      </c>
      <c r="AC27" s="2">
        <f t="shared" si="4"/>
        <v>1972.238837839679</v>
      </c>
      <c r="AD27" s="2">
        <f t="shared" si="4"/>
        <v>1791.1584984850901</v>
      </c>
      <c r="AE27" s="2">
        <f t="shared" si="4"/>
        <v>201.93444176833037</v>
      </c>
      <c r="AF27" s="2">
        <f t="shared" si="14"/>
        <v>23.897919386668953</v>
      </c>
      <c r="AG27" s="2">
        <f t="shared" si="5"/>
        <v>178.03652238166143</v>
      </c>
      <c r="AH27" s="2">
        <f t="shared" si="5"/>
        <v>20.414919882140786</v>
      </c>
      <c r="AI27" s="2">
        <f t="shared" si="5"/>
        <v>7.4684571117697196</v>
      </c>
      <c r="AJ27" s="2">
        <f t="shared" si="5"/>
        <v>448.10742670618316</v>
      </c>
      <c r="AK27" s="2">
        <f t="shared" si="5"/>
        <v>671.4419107814166</v>
      </c>
    </row>
    <row r="28" spans="2:37" x14ac:dyDescent="0.35">
      <c r="C28" s="1"/>
      <c r="D28" s="14"/>
      <c r="E28" s="14"/>
      <c r="J28" s="1">
        <v>6.5</v>
      </c>
      <c r="K28" s="2">
        <f t="shared" si="6"/>
        <v>132.73228961416876</v>
      </c>
      <c r="L28" s="2">
        <f t="shared" si="7"/>
        <v>143.79331374868281</v>
      </c>
      <c r="M28" s="2">
        <f t="shared" si="0"/>
        <v>230.22772312617562</v>
      </c>
      <c r="N28" s="2">
        <f>L28*$C$19*$B$5</f>
        <v>2507.5281983413051</v>
      </c>
      <c r="O28" s="2">
        <f>($C$19-$C$24)*L28*$B$5</f>
        <v>2277.3004752151292</v>
      </c>
      <c r="P28" s="2">
        <f t="shared" si="1"/>
        <v>256.74187995660986</v>
      </c>
      <c r="Q28" s="2">
        <f t="shared" si="8"/>
        <v>0.17319999999999999</v>
      </c>
      <c r="R28" s="2">
        <f t="shared" si="9"/>
        <v>28.046863724632313</v>
      </c>
      <c r="S28" s="2">
        <f t="shared" si="10"/>
        <v>228.69501623197755</v>
      </c>
      <c r="T28" s="2">
        <f t="shared" si="2"/>
        <v>25.955774873300523</v>
      </c>
      <c r="U28" s="2">
        <f t="shared" si="11"/>
        <v>9.4954862699988851</v>
      </c>
      <c r="V28" s="2">
        <f t="shared" si="12"/>
        <v>569.72917619993314</v>
      </c>
      <c r="W28" s="2">
        <f t="shared" si="3"/>
        <v>853.67932753864147</v>
      </c>
      <c r="Y28" s="2">
        <f t="shared" si="13"/>
        <v>6.5</v>
      </c>
      <c r="Z28" s="2">
        <f t="shared" si="4"/>
        <v>132.73228961416876</v>
      </c>
      <c r="AA28" s="2">
        <f t="shared" si="4"/>
        <v>143.79331374868281</v>
      </c>
      <c r="AB28" s="2">
        <f t="shared" si="4"/>
        <v>230.22772312617562</v>
      </c>
      <c r="AC28" s="2">
        <f t="shared" si="4"/>
        <v>2507.5281983413051</v>
      </c>
      <c r="AD28" s="2">
        <f t="shared" si="4"/>
        <v>2277.3004752151292</v>
      </c>
      <c r="AE28" s="2">
        <f t="shared" si="4"/>
        <v>256.74187995660986</v>
      </c>
      <c r="AF28" s="2">
        <f t="shared" si="14"/>
        <v>28.046863724632313</v>
      </c>
      <c r="AG28" s="2">
        <f t="shared" si="5"/>
        <v>228.69501623197755</v>
      </c>
      <c r="AH28" s="2">
        <f t="shared" si="5"/>
        <v>25.955774873300523</v>
      </c>
      <c r="AI28" s="2">
        <f t="shared" si="5"/>
        <v>9.4954862699988851</v>
      </c>
      <c r="AJ28" s="2">
        <f t="shared" si="5"/>
        <v>569.72917619993314</v>
      </c>
      <c r="AK28" s="2">
        <f t="shared" si="5"/>
        <v>853.67932753864147</v>
      </c>
    </row>
    <row r="29" spans="2:37" x14ac:dyDescent="0.35">
      <c r="B29" t="s">
        <v>40</v>
      </c>
      <c r="C29" s="18">
        <v>0.17319999999999999</v>
      </c>
      <c r="D29" s="14" t="s">
        <v>64</v>
      </c>
      <c r="E29" s="14"/>
      <c r="H29" t="s">
        <v>42</v>
      </c>
      <c r="J29" s="1">
        <v>7</v>
      </c>
      <c r="K29" s="2">
        <f t="shared" si="6"/>
        <v>153.93804002589985</v>
      </c>
      <c r="L29" s="2">
        <f t="shared" si="7"/>
        <v>179.59438003021648</v>
      </c>
      <c r="M29" s="2">
        <f t="shared" si="0"/>
        <v>287.54887221585159</v>
      </c>
      <c r="N29" s="2">
        <f>L29*$C$19*$B$5</f>
        <v>3131.8422286065274</v>
      </c>
      <c r="O29" s="2">
        <f>($C$19-$C$24)*L29*$B$5</f>
        <v>2844.2933563906759</v>
      </c>
      <c r="P29" s="2">
        <f t="shared" si="1"/>
        <v>320.66441447470982</v>
      </c>
      <c r="Q29" s="2">
        <f t="shared" si="8"/>
        <v>0.17319999999999999</v>
      </c>
      <c r="R29" s="2">
        <f t="shared" si="9"/>
        <v>32.527723609632744</v>
      </c>
      <c r="S29" s="2">
        <f t="shared" si="10"/>
        <v>288.13669086507707</v>
      </c>
      <c r="T29" s="2">
        <f t="shared" si="2"/>
        <v>32.418136664695787</v>
      </c>
      <c r="U29" s="2">
        <f t="shared" si="11"/>
        <v>11.859633283967655</v>
      </c>
      <c r="V29" s="2">
        <f t="shared" si="12"/>
        <v>711.57799703805927</v>
      </c>
      <c r="W29" s="2">
        <f t="shared" si="3"/>
        <v>1066.2248861019716</v>
      </c>
      <c r="Y29" s="2">
        <f t="shared" si="13"/>
        <v>7</v>
      </c>
      <c r="Z29" s="2">
        <f t="shared" si="4"/>
        <v>153.93804002589985</v>
      </c>
      <c r="AA29" s="2">
        <f t="shared" si="4"/>
        <v>179.59438003021648</v>
      </c>
      <c r="AB29" s="2">
        <f t="shared" si="4"/>
        <v>287.54887221585159</v>
      </c>
      <c r="AC29" s="2">
        <f t="shared" si="4"/>
        <v>3131.8422286065274</v>
      </c>
      <c r="AD29" s="2">
        <f t="shared" si="4"/>
        <v>2844.2933563906759</v>
      </c>
      <c r="AE29" s="2">
        <f t="shared" si="4"/>
        <v>320.66441447470982</v>
      </c>
      <c r="AF29" s="2">
        <f t="shared" si="14"/>
        <v>32.527723609632744</v>
      </c>
      <c r="AG29" s="2">
        <f t="shared" si="5"/>
        <v>288.13669086507707</v>
      </c>
      <c r="AH29" s="2">
        <f t="shared" si="5"/>
        <v>32.418136664695787</v>
      </c>
      <c r="AI29" s="2">
        <f t="shared" si="5"/>
        <v>11.859633283967655</v>
      </c>
      <c r="AJ29" s="2">
        <f t="shared" si="5"/>
        <v>711.57799703805927</v>
      </c>
      <c r="AK29" s="2">
        <f t="shared" si="5"/>
        <v>1066.2248861019716</v>
      </c>
    </row>
    <row r="30" spans="2:37" ht="15" thickBot="1" x14ac:dyDescent="0.4">
      <c r="C30" s="14"/>
      <c r="D30" s="14"/>
      <c r="E30" s="14"/>
      <c r="J30" s="1">
        <v>7.5</v>
      </c>
      <c r="K30" s="2">
        <f t="shared" si="6"/>
        <v>176.71458676442586</v>
      </c>
      <c r="L30" s="2">
        <f t="shared" si="7"/>
        <v>220.89323345553231</v>
      </c>
      <c r="M30" s="2">
        <f t="shared" si="0"/>
        <v>353.67253780193113</v>
      </c>
      <c r="N30" s="2">
        <f>L30*$C$19*$B$5</f>
        <v>3852.0289801556232</v>
      </c>
      <c r="O30" s="2">
        <f>($C$19-$C$24)*L30*$B$5</f>
        <v>3498.3564423536918</v>
      </c>
      <c r="P30" s="2">
        <f t="shared" si="1"/>
        <v>394.40320657877027</v>
      </c>
      <c r="Q30" s="2">
        <f t="shared" si="8"/>
        <v>0.17319999999999999</v>
      </c>
      <c r="R30" s="2">
        <f t="shared" si="9"/>
        <v>37.340499041670242</v>
      </c>
      <c r="S30" s="2">
        <f t="shared" si="10"/>
        <v>357.06270753710004</v>
      </c>
      <c r="T30" s="2">
        <f t="shared" si="2"/>
        <v>39.87289039480622</v>
      </c>
      <c r="U30" s="2">
        <f t="shared" si="11"/>
        <v>14.586830296425234</v>
      </c>
      <c r="V30" s="2">
        <f t="shared" si="12"/>
        <v>875.20981778551402</v>
      </c>
      <c r="W30" s="2">
        <f t="shared" si="3"/>
        <v>1311.4099819949545</v>
      </c>
      <c r="Y30" s="2">
        <f t="shared" si="13"/>
        <v>7.5</v>
      </c>
      <c r="Z30" s="2">
        <f t="shared" si="4"/>
        <v>176.71458676442586</v>
      </c>
      <c r="AA30" s="2">
        <f t="shared" si="4"/>
        <v>220.89323345553231</v>
      </c>
      <c r="AB30" s="2">
        <f t="shared" si="4"/>
        <v>353.67253780193113</v>
      </c>
      <c r="AC30" s="2">
        <f t="shared" si="4"/>
        <v>3852.0289801556232</v>
      </c>
      <c r="AD30" s="2">
        <f t="shared" si="4"/>
        <v>3498.3564423536918</v>
      </c>
      <c r="AE30" s="2">
        <f t="shared" si="4"/>
        <v>394.40320657877027</v>
      </c>
      <c r="AF30" s="2">
        <f t="shared" si="14"/>
        <v>37.340499041670242</v>
      </c>
      <c r="AG30" s="2">
        <f t="shared" si="5"/>
        <v>357.06270753710004</v>
      </c>
      <c r="AH30" s="2">
        <f t="shared" si="5"/>
        <v>39.87289039480622</v>
      </c>
      <c r="AI30" s="2">
        <f t="shared" si="5"/>
        <v>14.586830296425234</v>
      </c>
      <c r="AJ30" s="2">
        <f t="shared" si="5"/>
        <v>875.20981778551402</v>
      </c>
      <c r="AK30" s="2">
        <f t="shared" si="5"/>
        <v>1311.4099819949545</v>
      </c>
    </row>
    <row r="31" spans="2:37" x14ac:dyDescent="0.35">
      <c r="B31" s="17"/>
      <c r="C31" s="17"/>
      <c r="D31" s="17"/>
      <c r="E31" s="17"/>
      <c r="F31" s="17"/>
      <c r="J31" s="1">
        <v>8</v>
      </c>
      <c r="K31" s="2">
        <f t="shared" si="6"/>
        <v>201.06192982974676</v>
      </c>
      <c r="L31" s="2">
        <f t="shared" si="7"/>
        <v>268.08257310632899</v>
      </c>
      <c r="M31" s="2">
        <f t="shared" si="0"/>
        <v>429.22747106272891</v>
      </c>
      <c r="N31" s="2">
        <f>L31*$C$19*$B$5</f>
        <v>4674.9365045088689</v>
      </c>
      <c r="O31" s="2">
        <f>($C$19-$C$24)*L31*$B$5</f>
        <v>4245.70903344614</v>
      </c>
      <c r="P31" s="2">
        <f t="shared" si="1"/>
        <v>478.65941752493126</v>
      </c>
      <c r="Q31" s="2">
        <f t="shared" si="8"/>
        <v>0.17319999999999999</v>
      </c>
      <c r="R31" s="2">
        <f t="shared" si="9"/>
        <v>42.48519002074481</v>
      </c>
      <c r="S31" s="2">
        <f t="shared" si="10"/>
        <v>436.17422750418643</v>
      </c>
      <c r="T31" s="2">
        <f t="shared" si="2"/>
        <v>48.390921202111493</v>
      </c>
      <c r="U31" s="2">
        <f t="shared" si="11"/>
        <v>17.703009450120817</v>
      </c>
      <c r="V31" s="2">
        <f t="shared" si="12"/>
        <v>1062.180567007249</v>
      </c>
      <c r="W31" s="2">
        <f t="shared" si="3"/>
        <v>1591.5660107411359</v>
      </c>
      <c r="Y31" s="2">
        <f t="shared" si="13"/>
        <v>8</v>
      </c>
      <c r="Z31" s="2">
        <f t="shared" si="4"/>
        <v>201.06192982974676</v>
      </c>
      <c r="AA31" s="2">
        <f t="shared" si="4"/>
        <v>268.08257310632899</v>
      </c>
      <c r="AB31" s="2">
        <f t="shared" si="4"/>
        <v>429.22747106272891</v>
      </c>
      <c r="AC31" s="2">
        <f t="shared" si="4"/>
        <v>4674.9365045088689</v>
      </c>
      <c r="AD31" s="2">
        <f t="shared" si="4"/>
        <v>4245.70903344614</v>
      </c>
      <c r="AE31" s="2">
        <f t="shared" si="4"/>
        <v>478.65941752493126</v>
      </c>
      <c r="AF31" s="2">
        <f t="shared" si="14"/>
        <v>42.48519002074481</v>
      </c>
      <c r="AG31" s="2">
        <f t="shared" si="5"/>
        <v>436.17422750418643</v>
      </c>
      <c r="AH31" s="2">
        <f t="shared" si="5"/>
        <v>48.390921202111493</v>
      </c>
      <c r="AI31" s="2">
        <f t="shared" si="5"/>
        <v>17.703009450120817</v>
      </c>
      <c r="AJ31" s="2">
        <f t="shared" si="5"/>
        <v>1062.180567007249</v>
      </c>
      <c r="AK31" s="2">
        <f t="shared" si="5"/>
        <v>1591.5660107411359</v>
      </c>
    </row>
    <row r="32" spans="2:37" x14ac:dyDescent="0.35">
      <c r="B32" t="s">
        <v>32</v>
      </c>
    </row>
    <row r="33" spans="2:37" x14ac:dyDescent="0.35">
      <c r="J33" s="3" t="s">
        <v>39</v>
      </c>
    </row>
    <row r="34" spans="2:37" x14ac:dyDescent="0.35">
      <c r="J34" s="8" t="s">
        <v>55</v>
      </c>
      <c r="K34" s="8" t="s">
        <v>55</v>
      </c>
      <c r="L34" s="8" t="s">
        <v>20</v>
      </c>
      <c r="M34" s="11" t="s">
        <v>16</v>
      </c>
      <c r="N34" s="10" t="s">
        <v>58</v>
      </c>
      <c r="O34" s="10" t="s">
        <v>13</v>
      </c>
    </row>
    <row r="35" spans="2:37" x14ac:dyDescent="0.35">
      <c r="J35" s="8" t="s">
        <v>55</v>
      </c>
      <c r="K35" s="8" t="s">
        <v>55</v>
      </c>
      <c r="L35" s="8" t="s">
        <v>55</v>
      </c>
      <c r="M35" s="8" t="s">
        <v>50</v>
      </c>
      <c r="N35" s="8" t="s">
        <v>50</v>
      </c>
      <c r="O35" s="8" t="s">
        <v>50</v>
      </c>
      <c r="P35" s="8" t="s">
        <v>50</v>
      </c>
      <c r="Q35" s="8" t="s">
        <v>50</v>
      </c>
      <c r="R35" s="8" t="s">
        <v>50</v>
      </c>
      <c r="S35" s="8" t="s">
        <v>55</v>
      </c>
      <c r="T35" s="8" t="s">
        <v>55</v>
      </c>
      <c r="U35" s="8" t="s">
        <v>48</v>
      </c>
      <c r="V35" s="8" t="s">
        <v>48</v>
      </c>
      <c r="W35" s="8" t="s">
        <v>48</v>
      </c>
    </row>
    <row r="36" spans="2:37" ht="58.5" thickBot="1" x14ac:dyDescent="0.4">
      <c r="J36" s="8" t="s">
        <v>30</v>
      </c>
      <c r="K36" s="8" t="s">
        <v>37</v>
      </c>
      <c r="L36" s="8" t="s">
        <v>21</v>
      </c>
      <c r="M36" s="8" t="s">
        <v>17</v>
      </c>
      <c r="N36" s="8" t="s">
        <v>15</v>
      </c>
      <c r="O36" s="8" t="s">
        <v>14</v>
      </c>
      <c r="P36" s="8" t="s">
        <v>41</v>
      </c>
      <c r="Q36" s="8" t="s">
        <v>65</v>
      </c>
      <c r="R36" s="8" t="s">
        <v>59</v>
      </c>
      <c r="S36" s="8" t="s">
        <v>57</v>
      </c>
      <c r="T36" s="8" t="s">
        <v>51</v>
      </c>
      <c r="U36" s="8" t="s">
        <v>54</v>
      </c>
      <c r="V36" s="8" t="s">
        <v>53</v>
      </c>
      <c r="W36" s="8" t="s">
        <v>56</v>
      </c>
    </row>
    <row r="37" spans="2:37" x14ac:dyDescent="0.35">
      <c r="B37" s="30" t="s">
        <v>93</v>
      </c>
      <c r="C37" s="17">
        <v>12.98</v>
      </c>
      <c r="D37" s="17" t="s">
        <v>94</v>
      </c>
      <c r="E37" s="17"/>
      <c r="F37" s="17" t="s">
        <v>2</v>
      </c>
      <c r="J37" s="8" t="s">
        <v>0</v>
      </c>
      <c r="K37" s="8" t="s">
        <v>2</v>
      </c>
      <c r="L37" s="8" t="s">
        <v>2</v>
      </c>
      <c r="M37" s="8" t="s">
        <v>60</v>
      </c>
      <c r="N37" s="8" t="s">
        <v>60</v>
      </c>
      <c r="O37" s="8" t="s">
        <v>60</v>
      </c>
      <c r="P37" s="8" t="s">
        <v>1</v>
      </c>
      <c r="Q37" s="8" t="s">
        <v>64</v>
      </c>
      <c r="R37" s="8" t="s">
        <v>1</v>
      </c>
      <c r="S37" s="8" t="s">
        <v>1</v>
      </c>
      <c r="T37" s="8" t="s">
        <v>1</v>
      </c>
      <c r="U37" s="8" t="s">
        <v>44</v>
      </c>
      <c r="V37" s="8" t="s">
        <v>1</v>
      </c>
      <c r="W37" s="8" t="s">
        <v>1</v>
      </c>
    </row>
    <row r="38" spans="2:37" x14ac:dyDescent="0.35">
      <c r="B38" s="31" t="s">
        <v>97</v>
      </c>
      <c r="C38" s="32">
        <f>D24</f>
        <v>0.13464977111102955</v>
      </c>
      <c r="D38" s="31" t="s">
        <v>96</v>
      </c>
      <c r="E38" s="31"/>
      <c r="F38" s="31" t="s">
        <v>86</v>
      </c>
      <c r="J38" s="8" t="s">
        <v>55</v>
      </c>
      <c r="K38" s="8" t="s">
        <v>55</v>
      </c>
      <c r="L38" s="8" t="s">
        <v>55</v>
      </c>
      <c r="M38" s="8" t="s">
        <v>61</v>
      </c>
      <c r="N38" s="8" t="s">
        <v>62</v>
      </c>
      <c r="O38" s="8" t="s">
        <v>63</v>
      </c>
      <c r="P38" s="8" t="s">
        <v>55</v>
      </c>
      <c r="Q38" s="8" t="s">
        <v>55</v>
      </c>
      <c r="R38" s="8" t="s">
        <v>71</v>
      </c>
      <c r="S38" s="8" t="s">
        <v>55</v>
      </c>
      <c r="T38" s="8" t="s">
        <v>55</v>
      </c>
      <c r="U38" s="8" t="s">
        <v>52</v>
      </c>
      <c r="V38" s="8" t="s">
        <v>52</v>
      </c>
      <c r="W38" s="8" t="s">
        <v>52</v>
      </c>
    </row>
    <row r="39" spans="2:37" ht="15" thickBot="1" x14ac:dyDescent="0.4">
      <c r="B39" s="33"/>
      <c r="C39" s="33">
        <f>C38*C37</f>
        <v>1.7477540290211635</v>
      </c>
      <c r="D39" s="33" t="s">
        <v>95</v>
      </c>
      <c r="E39" s="33"/>
      <c r="F39" s="33" t="s">
        <v>91</v>
      </c>
      <c r="J39" s="1">
        <v>0.5</v>
      </c>
      <c r="K39" s="2">
        <f>4*PI()*POWER((J39/2),2)</f>
        <v>0.78539816339744828</v>
      </c>
      <c r="L39" s="2">
        <f>(4/3)*PI()*POWER((J39/2),3)</f>
        <v>6.5449846949787352E-2</v>
      </c>
      <c r="M39" s="2">
        <f t="shared" ref="M39:M54" si="15">$D$24*$B$5*L39</f>
        <v>7.8169597300931745E-2</v>
      </c>
      <c r="N39" s="2">
        <f>L39*$D$19*$B$5</f>
        <v>0.85107184882380371</v>
      </c>
      <c r="O39" s="2">
        <f>($D$19-$D$24)*L39*$B$5</f>
        <v>0.77290225152287206</v>
      </c>
      <c r="P39" s="2">
        <f t="shared" ref="P39:P54" si="16">O39/$B$5</f>
        <v>8.7136668717347474E-2</v>
      </c>
      <c r="Q39" s="2">
        <f t="shared" ref="Q39:Q54" si="17">$C$29</f>
        <v>0.17319999999999999</v>
      </c>
      <c r="R39" s="2">
        <f t="shared" ref="R39:R54" si="18">(Q39*K39)+((Q39*K39)*0.22)</f>
        <v>0.16595777351853441</v>
      </c>
      <c r="S39" s="2">
        <f>P39-R39</f>
        <v>-7.8821104801186939E-2</v>
      </c>
      <c r="T39" s="2">
        <f t="shared" ref="T39:T54" si="19">M39/$B$5</f>
        <v>8.8128069110407839E-3</v>
      </c>
      <c r="U39" s="2">
        <f>L39/$M$8</f>
        <v>4.3220237915334025E-3</v>
      </c>
      <c r="V39" s="2">
        <f>U39*60</f>
        <v>0.25932142749200415</v>
      </c>
      <c r="W39" s="2">
        <f t="shared" ref="W39:W54" si="20">V39+(S39*$B$7/$B$5)+(R39*$B$7/$B$5)</f>
        <v>0.35569242186823624</v>
      </c>
      <c r="Y39" s="2">
        <f>J39</f>
        <v>0.5</v>
      </c>
      <c r="Z39" s="2">
        <f t="shared" ref="Z39:Z54" si="21">K39</f>
        <v>0.78539816339744828</v>
      </c>
      <c r="AA39" s="2">
        <f t="shared" ref="AA39:AA54" si="22">L39</f>
        <v>6.5449846949787352E-2</v>
      </c>
      <c r="AB39" s="2">
        <f t="shared" ref="AB39:AB54" si="23">M39</f>
        <v>7.8169597300931745E-2</v>
      </c>
      <c r="AC39" s="2">
        <f t="shared" ref="AC39:AC54" si="24">N39</f>
        <v>0.85107184882380371</v>
      </c>
      <c r="AD39" s="2">
        <f t="shared" ref="AD39:AD54" si="25">O39</f>
        <v>0.77290225152287206</v>
      </c>
      <c r="AE39" s="2">
        <f t="shared" ref="AE39:AE54" si="26">P39</f>
        <v>8.7136668717347474E-2</v>
      </c>
      <c r="AF39" s="2">
        <f>R39</f>
        <v>0.16595777351853441</v>
      </c>
      <c r="AG39" s="2">
        <f t="shared" ref="AG39:AG54" si="27">S39</f>
        <v>-7.8821104801186939E-2</v>
      </c>
      <c r="AH39" s="2">
        <f t="shared" ref="AH39:AH54" si="28">T39</f>
        <v>8.8128069110407839E-3</v>
      </c>
      <c r="AI39" s="2">
        <f t="shared" ref="AI39:AI54" si="29">U39</f>
        <v>4.3220237915334025E-3</v>
      </c>
      <c r="AJ39" s="2">
        <f t="shared" ref="AJ39:AJ54" si="30">V39</f>
        <v>0.25932142749200415</v>
      </c>
      <c r="AK39" s="2">
        <f t="shared" ref="AK39:AK54" si="31">W39</f>
        <v>0.35569242186823624</v>
      </c>
    </row>
    <row r="40" spans="2:37" x14ac:dyDescent="0.35">
      <c r="J40" s="1">
        <v>1</v>
      </c>
      <c r="K40" s="2">
        <f t="shared" ref="K40:K54" si="32">4*PI()*POWER((J40/2),2)</f>
        <v>3.1415926535897931</v>
      </c>
      <c r="L40" s="2">
        <f t="shared" ref="L40:L54" si="33">(4/3)*PI()*POWER((J40/2),3)</f>
        <v>0.52359877559829882</v>
      </c>
      <c r="M40" s="2">
        <f t="shared" si="15"/>
        <v>0.62535677840745396</v>
      </c>
      <c r="N40" s="2">
        <f>L40*$D$19*$B$5</f>
        <v>6.8085747905904297</v>
      </c>
      <c r="O40" s="2">
        <f>($D$19-$D$24)*L40*$B$5</f>
        <v>6.1832180121829765</v>
      </c>
      <c r="P40" s="2">
        <f t="shared" si="16"/>
        <v>0.69709334973877979</v>
      </c>
      <c r="Q40" s="2">
        <f t="shared" si="17"/>
        <v>0.17319999999999999</v>
      </c>
      <c r="R40" s="2">
        <f t="shared" si="18"/>
        <v>0.66383109407413765</v>
      </c>
      <c r="S40" s="2">
        <f t="shared" ref="S40:S54" si="34">P40-R40</f>
        <v>3.3262255664642137E-2</v>
      </c>
      <c r="T40" s="2">
        <f t="shared" si="19"/>
        <v>7.0502455288326271E-2</v>
      </c>
      <c r="U40" s="2">
        <f t="shared" ref="U40:U54" si="35">L40/$M$8</f>
        <v>3.457619033226722E-2</v>
      </c>
      <c r="V40" s="2">
        <f t="shared" ref="V40:V54" si="36">U40*60</f>
        <v>2.0745714199360332</v>
      </c>
      <c r="W40" s="2">
        <f t="shared" si="20"/>
        <v>2.8455393749458899</v>
      </c>
      <c r="Y40" s="2">
        <f t="shared" ref="Y40:Y54" si="37">J40</f>
        <v>1</v>
      </c>
      <c r="Z40" s="2">
        <f t="shared" si="21"/>
        <v>3.1415926535897931</v>
      </c>
      <c r="AA40" s="2">
        <f t="shared" si="22"/>
        <v>0.52359877559829882</v>
      </c>
      <c r="AB40" s="2">
        <f t="shared" si="23"/>
        <v>0.62535677840745396</v>
      </c>
      <c r="AC40" s="2">
        <f t="shared" si="24"/>
        <v>6.8085747905904297</v>
      </c>
      <c r="AD40" s="2">
        <f t="shared" si="25"/>
        <v>6.1832180121829765</v>
      </c>
      <c r="AE40" s="2">
        <f t="shared" si="26"/>
        <v>0.69709334973877979</v>
      </c>
      <c r="AF40" s="2">
        <f t="shared" ref="AF40:AF54" si="38">R40</f>
        <v>0.66383109407413765</v>
      </c>
      <c r="AG40" s="2">
        <f t="shared" si="27"/>
        <v>3.3262255664642137E-2</v>
      </c>
      <c r="AH40" s="2">
        <f t="shared" si="28"/>
        <v>7.0502455288326271E-2</v>
      </c>
      <c r="AI40" s="2">
        <f t="shared" si="29"/>
        <v>3.457619033226722E-2</v>
      </c>
      <c r="AJ40" s="2">
        <f t="shared" si="30"/>
        <v>2.0745714199360332</v>
      </c>
      <c r="AK40" s="2">
        <f t="shared" si="31"/>
        <v>2.8455393749458899</v>
      </c>
    </row>
    <row r="41" spans="2:37" ht="15" thickBot="1" x14ac:dyDescent="0.4">
      <c r="J41" s="1">
        <v>1.5</v>
      </c>
      <c r="K41" s="2">
        <f t="shared" si="32"/>
        <v>7.0685834705770345</v>
      </c>
      <c r="L41" s="2">
        <f t="shared" si="33"/>
        <v>1.7671458676442584</v>
      </c>
      <c r="M41" s="2">
        <f t="shared" si="15"/>
        <v>2.1105791271251566</v>
      </c>
      <c r="N41" s="2">
        <f>L41*$D$19*$B$5</f>
        <v>22.978939918242698</v>
      </c>
      <c r="O41" s="2">
        <f>($D$19-$D$24)*L41*$B$5</f>
        <v>20.868360791117546</v>
      </c>
      <c r="P41" s="2">
        <f t="shared" si="16"/>
        <v>2.3526900553683818</v>
      </c>
      <c r="Q41" s="2">
        <f t="shared" si="17"/>
        <v>0.17319999999999999</v>
      </c>
      <c r="R41" s="2">
        <f t="shared" si="18"/>
        <v>1.4936199616668095</v>
      </c>
      <c r="S41" s="2">
        <f t="shared" si="34"/>
        <v>0.85907009370157228</v>
      </c>
      <c r="T41" s="2">
        <f t="shared" si="19"/>
        <v>0.23794578659810112</v>
      </c>
      <c r="U41" s="2">
        <f t="shared" si="35"/>
        <v>0.11669464237140187</v>
      </c>
      <c r="V41" s="2">
        <f t="shared" si="36"/>
        <v>7.0016785422841119</v>
      </c>
      <c r="W41" s="2">
        <f t="shared" si="20"/>
        <v>9.603695390442379</v>
      </c>
      <c r="Y41" s="2">
        <f t="shared" si="37"/>
        <v>1.5</v>
      </c>
      <c r="Z41" s="2">
        <f t="shared" si="21"/>
        <v>7.0685834705770345</v>
      </c>
      <c r="AA41" s="2">
        <f t="shared" si="22"/>
        <v>1.7671458676442584</v>
      </c>
      <c r="AB41" s="2">
        <f t="shared" si="23"/>
        <v>2.1105791271251566</v>
      </c>
      <c r="AC41" s="2">
        <f t="shared" si="24"/>
        <v>22.978939918242698</v>
      </c>
      <c r="AD41" s="2">
        <f t="shared" si="25"/>
        <v>20.868360791117546</v>
      </c>
      <c r="AE41" s="2">
        <f t="shared" si="26"/>
        <v>2.3526900553683818</v>
      </c>
      <c r="AF41" s="2">
        <f t="shared" si="38"/>
        <v>1.4936199616668095</v>
      </c>
      <c r="AG41" s="2">
        <f t="shared" si="27"/>
        <v>0.85907009370157228</v>
      </c>
      <c r="AH41" s="2">
        <f t="shared" si="28"/>
        <v>0.23794578659810112</v>
      </c>
      <c r="AI41" s="2">
        <f t="shared" si="29"/>
        <v>0.11669464237140187</v>
      </c>
      <c r="AJ41" s="2">
        <f t="shared" si="30"/>
        <v>7.0016785422841119</v>
      </c>
      <c r="AK41" s="2">
        <f t="shared" si="31"/>
        <v>9.603695390442379</v>
      </c>
    </row>
    <row r="42" spans="2:37" x14ac:dyDescent="0.35">
      <c r="B42" s="30" t="s">
        <v>78</v>
      </c>
      <c r="C42" s="29" t="s">
        <v>4</v>
      </c>
      <c r="D42" s="29" t="s">
        <v>6</v>
      </c>
      <c r="E42" s="17"/>
      <c r="F42" s="17"/>
      <c r="J42" s="1">
        <v>2</v>
      </c>
      <c r="K42" s="2">
        <f t="shared" si="32"/>
        <v>12.566370614359172</v>
      </c>
      <c r="L42" s="2">
        <f t="shared" si="33"/>
        <v>4.1887902047863905</v>
      </c>
      <c r="M42" s="2">
        <f t="shared" si="15"/>
        <v>5.0028542272596317</v>
      </c>
      <c r="N42" s="2">
        <f>L42*$D$19*$B$5</f>
        <v>54.468598324723438</v>
      </c>
      <c r="O42" s="2">
        <f>($D$19-$D$24)*L42*$B$5</f>
        <v>49.465744097463812</v>
      </c>
      <c r="P42" s="2">
        <f t="shared" si="16"/>
        <v>5.5767467979102383</v>
      </c>
      <c r="Q42" s="2">
        <f t="shared" si="17"/>
        <v>0.17319999999999999</v>
      </c>
      <c r="R42" s="2">
        <f t="shared" si="18"/>
        <v>2.6553243762965506</v>
      </c>
      <c r="S42" s="2">
        <f t="shared" si="34"/>
        <v>2.9214224216136877</v>
      </c>
      <c r="T42" s="2">
        <f t="shared" si="19"/>
        <v>0.56401964230661017</v>
      </c>
      <c r="U42" s="2">
        <f t="shared" si="35"/>
        <v>0.27660952265813776</v>
      </c>
      <c r="V42" s="2">
        <f t="shared" si="36"/>
        <v>16.596571359488266</v>
      </c>
      <c r="W42" s="2">
        <f t="shared" si="20"/>
        <v>22.764314999567119</v>
      </c>
      <c r="Y42" s="2">
        <f t="shared" si="37"/>
        <v>2</v>
      </c>
      <c r="Z42" s="2">
        <f t="shared" si="21"/>
        <v>12.566370614359172</v>
      </c>
      <c r="AA42" s="2">
        <f t="shared" si="22"/>
        <v>4.1887902047863905</v>
      </c>
      <c r="AB42" s="2">
        <f t="shared" si="23"/>
        <v>5.0028542272596317</v>
      </c>
      <c r="AC42" s="2">
        <f t="shared" si="24"/>
        <v>54.468598324723438</v>
      </c>
      <c r="AD42" s="2">
        <f t="shared" si="25"/>
        <v>49.465744097463812</v>
      </c>
      <c r="AE42" s="2">
        <f t="shared" si="26"/>
        <v>5.5767467979102383</v>
      </c>
      <c r="AF42" s="2">
        <f t="shared" si="38"/>
        <v>2.6553243762965506</v>
      </c>
      <c r="AG42" s="2">
        <f t="shared" si="27"/>
        <v>2.9214224216136877</v>
      </c>
      <c r="AH42" s="2">
        <f t="shared" si="28"/>
        <v>0.56401964230661017</v>
      </c>
      <c r="AI42" s="2">
        <f t="shared" si="29"/>
        <v>0.27660952265813776</v>
      </c>
      <c r="AJ42" s="2">
        <f t="shared" si="30"/>
        <v>16.596571359488266</v>
      </c>
      <c r="AK42" s="2">
        <f t="shared" si="31"/>
        <v>22.764314999567119</v>
      </c>
    </row>
    <row r="43" spans="2:37" x14ac:dyDescent="0.35">
      <c r="B43" s="31" t="s">
        <v>79</v>
      </c>
      <c r="C43" s="31">
        <f>B5*8</f>
        <v>70.959999999999994</v>
      </c>
      <c r="D43" s="31">
        <f>$B$5*8</f>
        <v>70.959999999999994</v>
      </c>
      <c r="E43" s="31"/>
      <c r="F43" s="31" t="s">
        <v>90</v>
      </c>
      <c r="J43" s="1">
        <v>2.5</v>
      </c>
      <c r="K43" s="2">
        <f t="shared" si="32"/>
        <v>19.634954084936208</v>
      </c>
      <c r="L43" s="2">
        <f t="shared" si="33"/>
        <v>8.1812308687234196</v>
      </c>
      <c r="M43" s="2">
        <f t="shared" si="15"/>
        <v>9.7711996626164677</v>
      </c>
      <c r="N43" s="2">
        <f>L43*$D$19*$B$5</f>
        <v>106.38398110297547</v>
      </c>
      <c r="O43" s="2">
        <f>($D$19-$D$24)*L43*$B$5</f>
        <v>96.612781440359015</v>
      </c>
      <c r="P43" s="2">
        <f t="shared" si="16"/>
        <v>10.892083589668436</v>
      </c>
      <c r="Q43" s="2">
        <f t="shared" si="17"/>
        <v>0.17319999999999999</v>
      </c>
      <c r="R43" s="2">
        <f t="shared" si="18"/>
        <v>4.1489443379633606</v>
      </c>
      <c r="S43" s="2">
        <f t="shared" si="34"/>
        <v>6.7431392517050757</v>
      </c>
      <c r="T43" s="2">
        <f t="shared" si="19"/>
        <v>1.1016008638800978</v>
      </c>
      <c r="U43" s="2">
        <f t="shared" si="35"/>
        <v>0.54025297394167537</v>
      </c>
      <c r="V43" s="2">
        <f t="shared" si="36"/>
        <v>32.415178436500526</v>
      </c>
      <c r="W43" s="2">
        <f t="shared" si="20"/>
        <v>44.461552733529544</v>
      </c>
      <c r="Y43" s="2">
        <f t="shared" si="37"/>
        <v>2.5</v>
      </c>
      <c r="Z43" s="2">
        <f t="shared" si="21"/>
        <v>19.634954084936208</v>
      </c>
      <c r="AA43" s="2">
        <f t="shared" si="22"/>
        <v>8.1812308687234196</v>
      </c>
      <c r="AB43" s="2">
        <f t="shared" si="23"/>
        <v>9.7711996626164677</v>
      </c>
      <c r="AC43" s="2">
        <f t="shared" si="24"/>
        <v>106.38398110297547</v>
      </c>
      <c r="AD43" s="2">
        <f t="shared" si="25"/>
        <v>96.612781440359015</v>
      </c>
      <c r="AE43" s="2">
        <f t="shared" si="26"/>
        <v>10.892083589668436</v>
      </c>
      <c r="AF43" s="2">
        <f t="shared" si="38"/>
        <v>4.1489443379633606</v>
      </c>
      <c r="AG43" s="2">
        <f t="shared" si="27"/>
        <v>6.7431392517050757</v>
      </c>
      <c r="AH43" s="2">
        <f t="shared" si="28"/>
        <v>1.1016008638800978</v>
      </c>
      <c r="AI43" s="2">
        <f t="shared" si="29"/>
        <v>0.54025297394167537</v>
      </c>
      <c r="AJ43" s="2">
        <f t="shared" si="30"/>
        <v>32.415178436500526</v>
      </c>
      <c r="AK43" s="2">
        <f t="shared" si="31"/>
        <v>44.461552733529544</v>
      </c>
    </row>
    <row r="44" spans="2:37" x14ac:dyDescent="0.35">
      <c r="B44" s="31" t="s">
        <v>80</v>
      </c>
      <c r="C44" s="32">
        <f>C19-C24</f>
        <v>1.7854924771073488</v>
      </c>
      <c r="D44" s="32">
        <f>D19-D24</f>
        <v>1.3313502288889705</v>
      </c>
      <c r="E44" s="31"/>
      <c r="F44" s="31" t="s">
        <v>86</v>
      </c>
      <c r="J44" s="1">
        <v>3</v>
      </c>
      <c r="K44" s="2">
        <f t="shared" si="32"/>
        <v>28.274333882308138</v>
      </c>
      <c r="L44" s="2">
        <f t="shared" si="33"/>
        <v>14.137166941154067</v>
      </c>
      <c r="M44" s="2">
        <f t="shared" si="15"/>
        <v>16.884633017001253</v>
      </c>
      <c r="N44" s="2">
        <f>L44*$D$19*$B$5</f>
        <v>183.83151934594159</v>
      </c>
      <c r="O44" s="2">
        <f>($D$19-$D$24)*L44*$B$5</f>
        <v>166.94688632894037</v>
      </c>
      <c r="P44" s="2">
        <f t="shared" si="16"/>
        <v>18.821520442947055</v>
      </c>
      <c r="Q44" s="2">
        <f t="shared" si="17"/>
        <v>0.17319999999999999</v>
      </c>
      <c r="R44" s="2">
        <f t="shared" si="18"/>
        <v>5.9744798466672382</v>
      </c>
      <c r="S44" s="2">
        <f t="shared" si="34"/>
        <v>12.847040596279816</v>
      </c>
      <c r="T44" s="2">
        <f t="shared" si="19"/>
        <v>1.9035662927848089</v>
      </c>
      <c r="U44" s="2">
        <f t="shared" si="35"/>
        <v>0.93355713897121495</v>
      </c>
      <c r="V44" s="2">
        <f t="shared" si="36"/>
        <v>56.013428338272895</v>
      </c>
      <c r="W44" s="2">
        <f t="shared" si="20"/>
        <v>76.829563123539032</v>
      </c>
      <c r="Y44" s="2">
        <f t="shared" si="37"/>
        <v>3</v>
      </c>
      <c r="Z44" s="2">
        <f t="shared" si="21"/>
        <v>28.274333882308138</v>
      </c>
      <c r="AA44" s="2">
        <f t="shared" si="22"/>
        <v>14.137166941154067</v>
      </c>
      <c r="AB44" s="2">
        <f t="shared" si="23"/>
        <v>16.884633017001253</v>
      </c>
      <c r="AC44" s="2">
        <f t="shared" si="24"/>
        <v>183.83151934594159</v>
      </c>
      <c r="AD44" s="2">
        <f t="shared" si="25"/>
        <v>166.94688632894037</v>
      </c>
      <c r="AE44" s="2">
        <f t="shared" si="26"/>
        <v>18.821520442947055</v>
      </c>
      <c r="AF44" s="2">
        <f t="shared" si="38"/>
        <v>5.9744798466672382</v>
      </c>
      <c r="AG44" s="2">
        <f t="shared" si="27"/>
        <v>12.847040596279816</v>
      </c>
      <c r="AH44" s="2">
        <f t="shared" si="28"/>
        <v>1.9035662927848089</v>
      </c>
      <c r="AI44" s="2">
        <f t="shared" si="29"/>
        <v>0.93355713897121495</v>
      </c>
      <c r="AJ44" s="2">
        <f t="shared" si="30"/>
        <v>56.013428338272895</v>
      </c>
      <c r="AK44" s="2">
        <f t="shared" si="31"/>
        <v>76.829563123539032</v>
      </c>
    </row>
    <row r="45" spans="2:37" x14ac:dyDescent="0.35">
      <c r="B45" s="31" t="s">
        <v>82</v>
      </c>
      <c r="C45" s="31">
        <f>(PI()*POWER(6,3))/6</f>
        <v>113.09733552923255</v>
      </c>
      <c r="D45" s="31">
        <f>(PI()*POWER(6,3))/6</f>
        <v>113.09733552923255</v>
      </c>
      <c r="E45" s="31"/>
      <c r="F45" s="31" t="s">
        <v>2</v>
      </c>
      <c r="J45" s="1">
        <v>3.5</v>
      </c>
      <c r="K45" s="2">
        <f t="shared" si="32"/>
        <v>38.484510006474963</v>
      </c>
      <c r="L45" s="2">
        <f t="shared" si="33"/>
        <v>22.449297503777061</v>
      </c>
      <c r="M45" s="2">
        <f t="shared" si="15"/>
        <v>26.812171874219587</v>
      </c>
      <c r="N45" s="2">
        <f>L45*$D$19*$B$5</f>
        <v>291.91764414656467</v>
      </c>
      <c r="O45" s="2">
        <f>($D$19-$D$24)*L45*$B$5</f>
        <v>265.10547227234508</v>
      </c>
      <c r="P45" s="2">
        <f t="shared" si="16"/>
        <v>29.88787737005018</v>
      </c>
      <c r="Q45" s="2">
        <f t="shared" si="17"/>
        <v>0.17319999999999999</v>
      </c>
      <c r="R45" s="2">
        <f t="shared" si="18"/>
        <v>8.1319309024081861</v>
      </c>
      <c r="S45" s="2">
        <f t="shared" si="34"/>
        <v>21.755946467641994</v>
      </c>
      <c r="T45" s="2">
        <f t="shared" si="19"/>
        <v>3.0227927704869888</v>
      </c>
      <c r="U45" s="2">
        <f t="shared" si="35"/>
        <v>1.4824541604959569</v>
      </c>
      <c r="V45" s="2">
        <f t="shared" si="36"/>
        <v>88.947249629757408</v>
      </c>
      <c r="W45" s="2">
        <f t="shared" si="20"/>
        <v>122.00250070080503</v>
      </c>
      <c r="Y45" s="2">
        <f t="shared" si="37"/>
        <v>3.5</v>
      </c>
      <c r="Z45" s="2">
        <f t="shared" si="21"/>
        <v>38.484510006474963</v>
      </c>
      <c r="AA45" s="2">
        <f t="shared" si="22"/>
        <v>22.449297503777061</v>
      </c>
      <c r="AB45" s="2">
        <f t="shared" si="23"/>
        <v>26.812171874219587</v>
      </c>
      <c r="AC45" s="2">
        <f t="shared" si="24"/>
        <v>291.91764414656467</v>
      </c>
      <c r="AD45" s="2">
        <f t="shared" si="25"/>
        <v>265.10547227234508</v>
      </c>
      <c r="AE45" s="2">
        <f t="shared" si="26"/>
        <v>29.88787737005018</v>
      </c>
      <c r="AF45" s="2">
        <f t="shared" si="38"/>
        <v>8.1319309024081861</v>
      </c>
      <c r="AG45" s="2">
        <f t="shared" si="27"/>
        <v>21.755946467641994</v>
      </c>
      <c r="AH45" s="2">
        <f t="shared" si="28"/>
        <v>3.0227927704869888</v>
      </c>
      <c r="AI45" s="2">
        <f t="shared" si="29"/>
        <v>1.4824541604959569</v>
      </c>
      <c r="AJ45" s="2">
        <f t="shared" si="30"/>
        <v>88.947249629757408</v>
      </c>
      <c r="AK45" s="2">
        <f t="shared" si="31"/>
        <v>122.00250070080503</v>
      </c>
    </row>
    <row r="46" spans="2:37" x14ac:dyDescent="0.35">
      <c r="B46" s="31" t="s">
        <v>0</v>
      </c>
      <c r="C46" s="31">
        <v>201.93</v>
      </c>
      <c r="D46" s="31">
        <v>150.57</v>
      </c>
      <c r="E46" s="31"/>
      <c r="F46" s="31" t="s">
        <v>91</v>
      </c>
      <c r="J46" s="1">
        <v>4</v>
      </c>
      <c r="K46" s="2">
        <f t="shared" si="32"/>
        <v>50.26548245743669</v>
      </c>
      <c r="L46" s="2">
        <f t="shared" si="33"/>
        <v>33.510321638291124</v>
      </c>
      <c r="M46" s="2">
        <f t="shared" si="15"/>
        <v>40.022833818077054</v>
      </c>
      <c r="N46" s="2">
        <f>L46*$D$19*$B$5</f>
        <v>435.7487865977875</v>
      </c>
      <c r="O46" s="2">
        <f>($D$19-$D$24)*L46*$B$5</f>
        <v>395.7259527797105</v>
      </c>
      <c r="P46" s="2">
        <f t="shared" si="16"/>
        <v>44.613974383281906</v>
      </c>
      <c r="Q46" s="2">
        <f t="shared" si="17"/>
        <v>0.17319999999999999</v>
      </c>
      <c r="R46" s="2">
        <f t="shared" si="18"/>
        <v>10.621297505186202</v>
      </c>
      <c r="S46" s="2">
        <f t="shared" si="34"/>
        <v>33.992676878095708</v>
      </c>
      <c r="T46" s="2">
        <f t="shared" si="19"/>
        <v>4.5121571384528814</v>
      </c>
      <c r="U46" s="2">
        <f t="shared" si="35"/>
        <v>2.2128761812651021</v>
      </c>
      <c r="V46" s="2">
        <f t="shared" si="36"/>
        <v>132.77257087590613</v>
      </c>
      <c r="W46" s="2">
        <f t="shared" si="20"/>
        <v>182.11451999653698</v>
      </c>
      <c r="Y46" s="2">
        <f t="shared" si="37"/>
        <v>4</v>
      </c>
      <c r="Z46" s="2">
        <f t="shared" si="21"/>
        <v>50.26548245743669</v>
      </c>
      <c r="AA46" s="2">
        <f t="shared" si="22"/>
        <v>33.510321638291124</v>
      </c>
      <c r="AB46" s="2">
        <f t="shared" si="23"/>
        <v>40.022833818077054</v>
      </c>
      <c r="AC46" s="2">
        <f t="shared" si="24"/>
        <v>435.7487865977875</v>
      </c>
      <c r="AD46" s="2">
        <f t="shared" si="25"/>
        <v>395.7259527797105</v>
      </c>
      <c r="AE46" s="2">
        <f t="shared" si="26"/>
        <v>44.613974383281906</v>
      </c>
      <c r="AF46" s="2">
        <f t="shared" si="38"/>
        <v>10.621297505186202</v>
      </c>
      <c r="AG46" s="2">
        <f t="shared" si="27"/>
        <v>33.992676878095708</v>
      </c>
      <c r="AH46" s="2">
        <f t="shared" si="28"/>
        <v>4.5121571384528814</v>
      </c>
      <c r="AI46" s="2">
        <f t="shared" si="29"/>
        <v>2.2128761812651021</v>
      </c>
      <c r="AJ46" s="2">
        <f t="shared" si="30"/>
        <v>132.77257087590613</v>
      </c>
      <c r="AK46" s="2">
        <f t="shared" si="31"/>
        <v>182.11451999653698</v>
      </c>
    </row>
    <row r="47" spans="2:37" x14ac:dyDescent="0.35">
      <c r="B47" s="31" t="s">
        <v>81</v>
      </c>
      <c r="C47" s="31">
        <f>0.47*C18*PI()*POWER(6,2)</f>
        <v>73.461243319657697</v>
      </c>
      <c r="D47" s="31">
        <f>0.47*D18*PI()*POWER(6,2)</f>
        <v>50.338493070706107</v>
      </c>
      <c r="E47" s="31"/>
      <c r="F47" s="31"/>
      <c r="J47" s="1">
        <v>4.5</v>
      </c>
      <c r="K47" s="2">
        <f t="shared" si="32"/>
        <v>63.617251235193308</v>
      </c>
      <c r="L47" s="2">
        <f t="shared" si="33"/>
        <v>47.712938426394977</v>
      </c>
      <c r="M47" s="2">
        <f t="shared" si="15"/>
        <v>56.985636432379238</v>
      </c>
      <c r="N47" s="2">
        <f>L47*$D$19*$B$5</f>
        <v>620.43137779255289</v>
      </c>
      <c r="O47" s="2">
        <f>($D$19-$D$24)*L47*$B$5</f>
        <v>563.44574136017377</v>
      </c>
      <c r="P47" s="2">
        <f t="shared" si="16"/>
        <v>63.522631494946317</v>
      </c>
      <c r="Q47" s="2">
        <f t="shared" si="17"/>
        <v>0.17319999999999999</v>
      </c>
      <c r="R47" s="2">
        <f t="shared" si="18"/>
        <v>13.442579655001285</v>
      </c>
      <c r="S47" s="2">
        <f t="shared" si="34"/>
        <v>50.080051839945028</v>
      </c>
      <c r="T47" s="2">
        <f t="shared" si="19"/>
        <v>6.4245362381487308</v>
      </c>
      <c r="U47" s="2">
        <f t="shared" si="35"/>
        <v>3.1507553440278504</v>
      </c>
      <c r="V47" s="2">
        <f t="shared" si="36"/>
        <v>189.04532064167103</v>
      </c>
      <c r="W47" s="2">
        <f t="shared" si="20"/>
        <v>259.29977554194426</v>
      </c>
      <c r="Y47" s="2">
        <f t="shared" si="37"/>
        <v>4.5</v>
      </c>
      <c r="Z47" s="2">
        <f t="shared" si="21"/>
        <v>63.617251235193308</v>
      </c>
      <c r="AA47" s="2">
        <f t="shared" si="22"/>
        <v>47.712938426394977</v>
      </c>
      <c r="AB47" s="2">
        <f t="shared" si="23"/>
        <v>56.985636432379238</v>
      </c>
      <c r="AC47" s="2">
        <f t="shared" si="24"/>
        <v>620.43137779255289</v>
      </c>
      <c r="AD47" s="2">
        <f t="shared" si="25"/>
        <v>563.44574136017377</v>
      </c>
      <c r="AE47" s="2">
        <f t="shared" si="26"/>
        <v>63.522631494946317</v>
      </c>
      <c r="AF47" s="2">
        <f t="shared" si="38"/>
        <v>13.442579655001285</v>
      </c>
      <c r="AG47" s="2">
        <f t="shared" si="27"/>
        <v>50.080051839945028</v>
      </c>
      <c r="AH47" s="2">
        <f t="shared" si="28"/>
        <v>6.4245362381487308</v>
      </c>
      <c r="AI47" s="2">
        <f t="shared" si="29"/>
        <v>3.1507553440278504</v>
      </c>
      <c r="AJ47" s="2">
        <f t="shared" si="30"/>
        <v>189.04532064167103</v>
      </c>
      <c r="AK47" s="2">
        <f t="shared" si="31"/>
        <v>259.29977554194426</v>
      </c>
    </row>
    <row r="48" spans="2:37" x14ac:dyDescent="0.35">
      <c r="B48" s="31" t="s">
        <v>83</v>
      </c>
      <c r="C48" s="31">
        <f>C43*((C44*C45)-C46)</f>
        <v>0.31518788072481352</v>
      </c>
      <c r="D48" s="31">
        <f>D43*((D44*D45)-D46)</f>
        <v>0.15352505218646684</v>
      </c>
      <c r="E48" s="31"/>
      <c r="F48" s="31"/>
      <c r="J48" s="1">
        <v>5</v>
      </c>
      <c r="K48" s="2">
        <f t="shared" si="32"/>
        <v>78.539816339744831</v>
      </c>
      <c r="L48" s="2">
        <f t="shared" si="33"/>
        <v>65.449846949787357</v>
      </c>
      <c r="M48" s="2">
        <f t="shared" si="15"/>
        <v>78.169597300931741</v>
      </c>
      <c r="N48" s="2">
        <f>L48*$D$19*$B$5</f>
        <v>851.07184882380375</v>
      </c>
      <c r="O48" s="2">
        <f>($D$19-$D$24)*L48*$B$5</f>
        <v>772.90225152287212</v>
      </c>
      <c r="P48" s="2">
        <f t="shared" si="16"/>
        <v>87.13666871734749</v>
      </c>
      <c r="Q48" s="2">
        <f t="shared" si="17"/>
        <v>0.17319999999999999</v>
      </c>
      <c r="R48" s="2">
        <f t="shared" si="18"/>
        <v>16.595777351853442</v>
      </c>
      <c r="S48" s="2">
        <f t="shared" si="34"/>
        <v>70.540891365494048</v>
      </c>
      <c r="T48" s="2">
        <f t="shared" si="19"/>
        <v>8.8128069110407825</v>
      </c>
      <c r="U48" s="2">
        <f t="shared" si="35"/>
        <v>4.322023791533403</v>
      </c>
      <c r="V48" s="2">
        <f t="shared" si="36"/>
        <v>259.3214274920042</v>
      </c>
      <c r="W48" s="2">
        <f t="shared" si="20"/>
        <v>355.69242186823635</v>
      </c>
      <c r="Y48" s="2">
        <f t="shared" si="37"/>
        <v>5</v>
      </c>
      <c r="Z48" s="2">
        <f t="shared" si="21"/>
        <v>78.539816339744831</v>
      </c>
      <c r="AA48" s="2">
        <f t="shared" si="22"/>
        <v>65.449846949787357</v>
      </c>
      <c r="AB48" s="2">
        <f t="shared" si="23"/>
        <v>78.169597300931741</v>
      </c>
      <c r="AC48" s="2">
        <f t="shared" si="24"/>
        <v>851.07184882380375</v>
      </c>
      <c r="AD48" s="2">
        <f t="shared" si="25"/>
        <v>772.90225152287212</v>
      </c>
      <c r="AE48" s="2">
        <f t="shared" si="26"/>
        <v>87.13666871734749</v>
      </c>
      <c r="AF48" s="2">
        <f t="shared" si="38"/>
        <v>16.595777351853442</v>
      </c>
      <c r="AG48" s="2">
        <f t="shared" si="27"/>
        <v>70.540891365494048</v>
      </c>
      <c r="AH48" s="2">
        <f t="shared" si="28"/>
        <v>8.8128069110407825</v>
      </c>
      <c r="AI48" s="2">
        <f t="shared" si="29"/>
        <v>4.322023791533403</v>
      </c>
      <c r="AJ48" s="2">
        <f t="shared" si="30"/>
        <v>259.3214274920042</v>
      </c>
      <c r="AK48" s="2">
        <f t="shared" si="31"/>
        <v>355.69242186823635</v>
      </c>
    </row>
    <row r="49" spans="2:37" x14ac:dyDescent="0.35">
      <c r="B49" s="31" t="s">
        <v>84</v>
      </c>
      <c r="C49" s="31">
        <f>C47</f>
        <v>73.461243319657697</v>
      </c>
      <c r="D49" s="31">
        <f>D47</f>
        <v>50.338493070706107</v>
      </c>
      <c r="E49" s="31"/>
      <c r="F49" s="31"/>
      <c r="J49" s="26">
        <v>5.5</v>
      </c>
      <c r="K49" s="27">
        <f t="shared" si="32"/>
        <v>95.033177771091246</v>
      </c>
      <c r="L49" s="27">
        <f t="shared" si="33"/>
        <v>87.113746290166972</v>
      </c>
      <c r="M49" s="27">
        <f t="shared" si="15"/>
        <v>104.04373400754015</v>
      </c>
      <c r="N49" s="27">
        <f>L49*$D$19*$B$5</f>
        <v>1132.7766307844829</v>
      </c>
      <c r="O49" s="27">
        <f>($D$19-$D$24)*L49*$B$5</f>
        <v>1028.7328967769429</v>
      </c>
      <c r="P49" s="27">
        <f t="shared" si="16"/>
        <v>115.97890606278951</v>
      </c>
      <c r="Q49" s="27">
        <f t="shared" si="17"/>
        <v>0.17319999999999999</v>
      </c>
      <c r="R49" s="27">
        <f t="shared" si="18"/>
        <v>20.080890595742666</v>
      </c>
      <c r="S49" s="27">
        <f t="shared" si="34"/>
        <v>95.898015467046832</v>
      </c>
      <c r="T49" s="27">
        <f t="shared" si="19"/>
        <v>11.729845998595284</v>
      </c>
      <c r="U49" s="27">
        <f t="shared" si="35"/>
        <v>5.7526136665309595</v>
      </c>
      <c r="V49" s="27">
        <f t="shared" si="36"/>
        <v>345.15681999185756</v>
      </c>
      <c r="W49" s="27">
        <f t="shared" si="20"/>
        <v>473.42661350662252</v>
      </c>
      <c r="Y49" s="2">
        <f t="shared" si="37"/>
        <v>5.5</v>
      </c>
      <c r="Z49" s="2">
        <f t="shared" si="21"/>
        <v>95.033177771091246</v>
      </c>
      <c r="AA49" s="2">
        <f t="shared" si="22"/>
        <v>87.113746290166972</v>
      </c>
      <c r="AB49" s="2">
        <f t="shared" si="23"/>
        <v>104.04373400754015</v>
      </c>
      <c r="AC49" s="2">
        <f t="shared" si="24"/>
        <v>1132.7766307844829</v>
      </c>
      <c r="AD49" s="2">
        <f t="shared" si="25"/>
        <v>1028.7328967769429</v>
      </c>
      <c r="AE49" s="2">
        <f t="shared" si="26"/>
        <v>115.97890606278951</v>
      </c>
      <c r="AF49" s="2">
        <f t="shared" si="38"/>
        <v>20.080890595742666</v>
      </c>
      <c r="AG49" s="2">
        <f t="shared" si="27"/>
        <v>95.898015467046832</v>
      </c>
      <c r="AH49" s="2">
        <f t="shared" si="28"/>
        <v>11.729845998595284</v>
      </c>
      <c r="AI49" s="2">
        <f t="shared" si="29"/>
        <v>5.7526136665309595</v>
      </c>
      <c r="AJ49" s="2">
        <f t="shared" si="30"/>
        <v>345.15681999185756</v>
      </c>
      <c r="AK49" s="2">
        <f t="shared" si="31"/>
        <v>473.42661350662252</v>
      </c>
    </row>
    <row r="50" spans="2:37" x14ac:dyDescent="0.35">
      <c r="B50" s="31" t="s">
        <v>85</v>
      </c>
      <c r="C50" s="31">
        <f>C48/C49</f>
        <v>4.2905328916543334E-3</v>
      </c>
      <c r="D50" s="31">
        <f>D48/D49</f>
        <v>3.0498539551198629E-3</v>
      </c>
      <c r="E50" s="31"/>
      <c r="F50" s="31"/>
      <c r="J50" s="12">
        <v>6</v>
      </c>
      <c r="K50" s="13">
        <f t="shared" si="32"/>
        <v>113.09733552923255</v>
      </c>
      <c r="L50" s="13">
        <f t="shared" si="33"/>
        <v>113.09733552923254</v>
      </c>
      <c r="M50" s="13">
        <f t="shared" si="15"/>
        <v>135.07706413601002</v>
      </c>
      <c r="N50" s="13">
        <f>L50*$D$19*$B$5</f>
        <v>1470.6521547675327</v>
      </c>
      <c r="O50" s="13">
        <f>($D$19-$D$24)*L50*$B$5</f>
        <v>1335.5750906315229</v>
      </c>
      <c r="P50" s="13">
        <f t="shared" si="16"/>
        <v>150.57216354357644</v>
      </c>
      <c r="Q50" s="13">
        <f t="shared" si="17"/>
        <v>0.17319999999999999</v>
      </c>
      <c r="R50" s="13">
        <f t="shared" si="18"/>
        <v>23.897919386668953</v>
      </c>
      <c r="S50" s="13">
        <f t="shared" si="34"/>
        <v>126.67424415690749</v>
      </c>
      <c r="T50" s="13">
        <f t="shared" si="19"/>
        <v>15.228530342278471</v>
      </c>
      <c r="U50" s="13">
        <f t="shared" si="35"/>
        <v>7.4684571117697196</v>
      </c>
      <c r="V50" s="13">
        <f t="shared" si="36"/>
        <v>448.10742670618316</v>
      </c>
      <c r="W50" s="13">
        <f t="shared" si="20"/>
        <v>614.63650498831225</v>
      </c>
      <c r="Y50" s="2">
        <f t="shared" si="37"/>
        <v>6</v>
      </c>
      <c r="Z50" s="2">
        <f t="shared" si="21"/>
        <v>113.09733552923255</v>
      </c>
      <c r="AA50" s="2">
        <f t="shared" si="22"/>
        <v>113.09733552923254</v>
      </c>
      <c r="AB50" s="2">
        <f t="shared" si="23"/>
        <v>135.07706413601002</v>
      </c>
      <c r="AC50" s="2">
        <f t="shared" si="24"/>
        <v>1470.6521547675327</v>
      </c>
      <c r="AD50" s="2">
        <f t="shared" si="25"/>
        <v>1335.5750906315229</v>
      </c>
      <c r="AE50" s="2">
        <f t="shared" si="26"/>
        <v>150.57216354357644</v>
      </c>
      <c r="AF50" s="2">
        <f t="shared" si="38"/>
        <v>23.897919386668953</v>
      </c>
      <c r="AG50" s="2">
        <f t="shared" si="27"/>
        <v>126.67424415690749</v>
      </c>
      <c r="AH50" s="2">
        <f t="shared" si="28"/>
        <v>15.228530342278471</v>
      </c>
      <c r="AI50" s="2">
        <f t="shared" si="29"/>
        <v>7.4684571117697196</v>
      </c>
      <c r="AJ50" s="2">
        <f t="shared" si="30"/>
        <v>448.10742670618316</v>
      </c>
      <c r="AK50" s="2">
        <f t="shared" si="31"/>
        <v>614.63650498831225</v>
      </c>
    </row>
    <row r="51" spans="2:37" ht="15" thickBot="1" x14ac:dyDescent="0.4">
      <c r="B51" s="33" t="s">
        <v>20</v>
      </c>
      <c r="C51" s="33">
        <f>SQRT(C50)</f>
        <v>6.5502159442680466E-2</v>
      </c>
      <c r="D51" s="33">
        <f>SQRT(D50)</f>
        <v>5.5225482841889786E-2</v>
      </c>
      <c r="E51" s="33"/>
      <c r="F51" s="33" t="s">
        <v>92</v>
      </c>
      <c r="J51" s="1">
        <v>6.5</v>
      </c>
      <c r="K51" s="2">
        <f t="shared" si="32"/>
        <v>132.73228961416876</v>
      </c>
      <c r="L51" s="2">
        <f t="shared" si="33"/>
        <v>143.79331374868281</v>
      </c>
      <c r="M51" s="2">
        <f t="shared" si="15"/>
        <v>171.73860527014702</v>
      </c>
      <c r="N51" s="2">
        <f>L51*$D$19*$B$5</f>
        <v>1869.8048518658968</v>
      </c>
      <c r="O51" s="2">
        <f>($D$19-$D$24)*L51*$B$5</f>
        <v>1698.0662465957498</v>
      </c>
      <c r="P51" s="2">
        <f t="shared" si="16"/>
        <v>191.43926117201241</v>
      </c>
      <c r="Q51" s="2">
        <f t="shared" si="17"/>
        <v>0.17319999999999999</v>
      </c>
      <c r="R51" s="2">
        <f t="shared" si="18"/>
        <v>28.046863724632313</v>
      </c>
      <c r="S51" s="2">
        <f t="shared" si="34"/>
        <v>163.39239744738009</v>
      </c>
      <c r="T51" s="2">
        <f t="shared" si="19"/>
        <v>19.361736783556598</v>
      </c>
      <c r="U51" s="2">
        <f t="shared" si="35"/>
        <v>9.4954862699988851</v>
      </c>
      <c r="V51" s="2">
        <f t="shared" si="36"/>
        <v>569.72917619993314</v>
      </c>
      <c r="W51" s="2">
        <f t="shared" si="20"/>
        <v>781.45625084451513</v>
      </c>
      <c r="Y51" s="2">
        <f t="shared" si="37"/>
        <v>6.5</v>
      </c>
      <c r="Z51" s="2">
        <f t="shared" si="21"/>
        <v>132.73228961416876</v>
      </c>
      <c r="AA51" s="2">
        <f t="shared" si="22"/>
        <v>143.79331374868281</v>
      </c>
      <c r="AB51" s="2">
        <f t="shared" si="23"/>
        <v>171.73860527014702</v>
      </c>
      <c r="AC51" s="2">
        <f t="shared" si="24"/>
        <v>1869.8048518658968</v>
      </c>
      <c r="AD51" s="2">
        <f t="shared" si="25"/>
        <v>1698.0662465957498</v>
      </c>
      <c r="AE51" s="2">
        <f t="shared" si="26"/>
        <v>191.43926117201241</v>
      </c>
      <c r="AF51" s="2">
        <f t="shared" si="38"/>
        <v>28.046863724632313</v>
      </c>
      <c r="AG51" s="2">
        <f t="shared" si="27"/>
        <v>163.39239744738009</v>
      </c>
      <c r="AH51" s="2">
        <f t="shared" si="28"/>
        <v>19.361736783556598</v>
      </c>
      <c r="AI51" s="2">
        <f t="shared" si="29"/>
        <v>9.4954862699988851</v>
      </c>
      <c r="AJ51" s="2">
        <f t="shared" si="30"/>
        <v>569.72917619993314</v>
      </c>
      <c r="AK51" s="2">
        <f t="shared" si="31"/>
        <v>781.45625084451513</v>
      </c>
    </row>
    <row r="52" spans="2:37" x14ac:dyDescent="0.35">
      <c r="J52" s="1">
        <v>7</v>
      </c>
      <c r="K52" s="2">
        <f t="shared" si="32"/>
        <v>153.93804002589985</v>
      </c>
      <c r="L52" s="2">
        <f t="shared" si="33"/>
        <v>179.59438003021648</v>
      </c>
      <c r="M52" s="2">
        <f t="shared" si="15"/>
        <v>214.49737499375669</v>
      </c>
      <c r="N52" s="2">
        <f>L52*$D$19*$B$5</f>
        <v>2335.3411531725174</v>
      </c>
      <c r="O52" s="2">
        <f>($D$19-$D$24)*L52*$B$5</f>
        <v>2120.8437781787607</v>
      </c>
      <c r="P52" s="2">
        <f t="shared" si="16"/>
        <v>239.10301896040144</v>
      </c>
      <c r="Q52" s="2">
        <f t="shared" si="17"/>
        <v>0.17319999999999999</v>
      </c>
      <c r="R52" s="2">
        <f t="shared" si="18"/>
        <v>32.527723609632744</v>
      </c>
      <c r="S52" s="2">
        <f t="shared" si="34"/>
        <v>206.5752953507687</v>
      </c>
      <c r="T52" s="2">
        <f t="shared" si="19"/>
        <v>24.18234216389591</v>
      </c>
      <c r="U52" s="2">
        <f t="shared" si="35"/>
        <v>11.859633283967655</v>
      </c>
      <c r="V52" s="2">
        <f t="shared" si="36"/>
        <v>711.57799703805927</v>
      </c>
      <c r="W52" s="2">
        <f t="shared" si="20"/>
        <v>976.02000560644012</v>
      </c>
      <c r="Y52" s="2">
        <f t="shared" si="37"/>
        <v>7</v>
      </c>
      <c r="Z52" s="2">
        <f t="shared" si="21"/>
        <v>153.93804002589985</v>
      </c>
      <c r="AA52" s="2">
        <f t="shared" si="22"/>
        <v>179.59438003021648</v>
      </c>
      <c r="AB52" s="2">
        <f t="shared" si="23"/>
        <v>214.49737499375669</v>
      </c>
      <c r="AC52" s="2">
        <f t="shared" si="24"/>
        <v>2335.3411531725174</v>
      </c>
      <c r="AD52" s="2">
        <f t="shared" si="25"/>
        <v>2120.8437781787607</v>
      </c>
      <c r="AE52" s="2">
        <f t="shared" si="26"/>
        <v>239.10301896040144</v>
      </c>
      <c r="AF52" s="2">
        <f t="shared" si="38"/>
        <v>32.527723609632744</v>
      </c>
      <c r="AG52" s="2">
        <f t="shared" si="27"/>
        <v>206.5752953507687</v>
      </c>
      <c r="AH52" s="2">
        <f t="shared" si="28"/>
        <v>24.18234216389591</v>
      </c>
      <c r="AI52" s="2">
        <f t="shared" si="29"/>
        <v>11.859633283967655</v>
      </c>
      <c r="AJ52" s="2">
        <f t="shared" si="30"/>
        <v>711.57799703805927</v>
      </c>
      <c r="AK52" s="2">
        <f t="shared" si="31"/>
        <v>976.02000560644012</v>
      </c>
    </row>
    <row r="53" spans="2:37" x14ac:dyDescent="0.35">
      <c r="J53" s="1">
        <v>7.5</v>
      </c>
      <c r="K53" s="2">
        <f t="shared" si="32"/>
        <v>176.71458676442586</v>
      </c>
      <c r="L53" s="2">
        <f t="shared" si="33"/>
        <v>220.89323345553231</v>
      </c>
      <c r="M53" s="2">
        <f t="shared" si="15"/>
        <v>263.82239089064461</v>
      </c>
      <c r="N53" s="2">
        <f>L53*$D$19*$B$5</f>
        <v>2872.3674897803376</v>
      </c>
      <c r="O53" s="2">
        <f>($D$19-$D$24)*L53*$B$5</f>
        <v>2608.5450988896932</v>
      </c>
      <c r="P53" s="2">
        <f t="shared" si="16"/>
        <v>294.08625692104772</v>
      </c>
      <c r="Q53" s="2">
        <f t="shared" si="17"/>
        <v>0.17319999999999999</v>
      </c>
      <c r="R53" s="2">
        <f t="shared" si="18"/>
        <v>37.340499041670242</v>
      </c>
      <c r="S53" s="2">
        <f t="shared" si="34"/>
        <v>256.74575787937749</v>
      </c>
      <c r="T53" s="2">
        <f t="shared" si="19"/>
        <v>29.743223324762642</v>
      </c>
      <c r="U53" s="2">
        <f t="shared" si="35"/>
        <v>14.586830296425234</v>
      </c>
      <c r="V53" s="2">
        <f t="shared" si="36"/>
        <v>875.20981778551402</v>
      </c>
      <c r="W53" s="2">
        <f t="shared" si="20"/>
        <v>1200.4619238052974</v>
      </c>
      <c r="Y53" s="2">
        <f t="shared" si="37"/>
        <v>7.5</v>
      </c>
      <c r="Z53" s="2">
        <f t="shared" si="21"/>
        <v>176.71458676442586</v>
      </c>
      <c r="AA53" s="2">
        <f t="shared" si="22"/>
        <v>220.89323345553231</v>
      </c>
      <c r="AB53" s="2">
        <f t="shared" si="23"/>
        <v>263.82239089064461</v>
      </c>
      <c r="AC53" s="2">
        <f t="shared" si="24"/>
        <v>2872.3674897803376</v>
      </c>
      <c r="AD53" s="2">
        <f t="shared" si="25"/>
        <v>2608.5450988896932</v>
      </c>
      <c r="AE53" s="2">
        <f t="shared" si="26"/>
        <v>294.08625692104772</v>
      </c>
      <c r="AF53" s="2">
        <f t="shared" si="38"/>
        <v>37.340499041670242</v>
      </c>
      <c r="AG53" s="2">
        <f t="shared" si="27"/>
        <v>256.74575787937749</v>
      </c>
      <c r="AH53" s="2">
        <f t="shared" si="28"/>
        <v>29.743223324762642</v>
      </c>
      <c r="AI53" s="2">
        <f t="shared" si="29"/>
        <v>14.586830296425234</v>
      </c>
      <c r="AJ53" s="2">
        <f t="shared" si="30"/>
        <v>875.20981778551402</v>
      </c>
      <c r="AK53" s="2">
        <f t="shared" si="31"/>
        <v>1200.4619238052974</v>
      </c>
    </row>
    <row r="54" spans="2:37" x14ac:dyDescent="0.35">
      <c r="J54" s="1">
        <v>8</v>
      </c>
      <c r="K54" s="2">
        <f t="shared" si="32"/>
        <v>201.06192982974676</v>
      </c>
      <c r="L54" s="2">
        <f t="shared" si="33"/>
        <v>268.08257310632899</v>
      </c>
      <c r="M54" s="2">
        <f t="shared" si="15"/>
        <v>320.18267054461643</v>
      </c>
      <c r="N54" s="2">
        <f>L54*$D$19*$B$5</f>
        <v>3485.9902927823</v>
      </c>
      <c r="O54" s="2">
        <f>($D$19-$D$24)*L54*$B$5</f>
        <v>3165.807622237684</v>
      </c>
      <c r="P54" s="2">
        <f t="shared" si="16"/>
        <v>356.91179506625525</v>
      </c>
      <c r="Q54" s="2">
        <f t="shared" si="17"/>
        <v>0.17319999999999999</v>
      </c>
      <c r="R54" s="2">
        <f t="shared" si="18"/>
        <v>42.48519002074481</v>
      </c>
      <c r="S54" s="2">
        <f t="shared" si="34"/>
        <v>314.42660504551043</v>
      </c>
      <c r="T54" s="2">
        <f t="shared" si="19"/>
        <v>36.097257107623051</v>
      </c>
      <c r="U54" s="2">
        <f t="shared" si="35"/>
        <v>17.703009450120817</v>
      </c>
      <c r="V54" s="2">
        <f t="shared" si="36"/>
        <v>1062.180567007249</v>
      </c>
      <c r="W54" s="2">
        <f t="shared" si="20"/>
        <v>1456.9161599722956</v>
      </c>
      <c r="Y54" s="2">
        <f t="shared" si="37"/>
        <v>8</v>
      </c>
      <c r="Z54" s="2">
        <f t="shared" si="21"/>
        <v>201.06192982974676</v>
      </c>
      <c r="AA54" s="2">
        <f t="shared" si="22"/>
        <v>268.08257310632899</v>
      </c>
      <c r="AB54" s="2">
        <f t="shared" si="23"/>
        <v>320.18267054461643</v>
      </c>
      <c r="AC54" s="2">
        <f t="shared" si="24"/>
        <v>3485.9902927823</v>
      </c>
      <c r="AD54" s="2">
        <f t="shared" si="25"/>
        <v>3165.807622237684</v>
      </c>
      <c r="AE54" s="2">
        <f t="shared" si="26"/>
        <v>356.91179506625525</v>
      </c>
      <c r="AF54" s="2">
        <f t="shared" si="38"/>
        <v>42.48519002074481</v>
      </c>
      <c r="AG54" s="2">
        <f t="shared" si="27"/>
        <v>314.42660504551043</v>
      </c>
      <c r="AH54" s="2">
        <f t="shared" si="28"/>
        <v>36.097257107623051</v>
      </c>
      <c r="AI54" s="2">
        <f t="shared" si="29"/>
        <v>17.703009450120817</v>
      </c>
      <c r="AJ54" s="2">
        <f t="shared" si="30"/>
        <v>1062.180567007249</v>
      </c>
      <c r="AK54" s="2">
        <f t="shared" si="31"/>
        <v>1456.9161599722956</v>
      </c>
    </row>
    <row r="56" spans="2:37" x14ac:dyDescent="0.35">
      <c r="J56" s="3" t="s">
        <v>66</v>
      </c>
    </row>
    <row r="57" spans="2:37" x14ac:dyDescent="0.35">
      <c r="J57" s="8" t="s">
        <v>55</v>
      </c>
      <c r="K57" s="8" t="s">
        <v>55</v>
      </c>
      <c r="L57" s="8" t="s">
        <v>20</v>
      </c>
      <c r="M57" s="11" t="s">
        <v>16</v>
      </c>
      <c r="N57" s="10" t="s">
        <v>58</v>
      </c>
      <c r="O57" s="10" t="s">
        <v>13</v>
      </c>
    </row>
    <row r="58" spans="2:37" x14ac:dyDescent="0.35">
      <c r="J58" s="8" t="s">
        <v>55</v>
      </c>
      <c r="K58" s="8" t="s">
        <v>55</v>
      </c>
      <c r="L58" s="8" t="s">
        <v>55</v>
      </c>
      <c r="M58" s="8" t="s">
        <v>50</v>
      </c>
      <c r="N58" s="8" t="s">
        <v>50</v>
      </c>
      <c r="O58" s="8" t="s">
        <v>50</v>
      </c>
      <c r="P58" s="8" t="s">
        <v>50</v>
      </c>
      <c r="Q58" s="8" t="s">
        <v>50</v>
      </c>
      <c r="R58" s="8" t="s">
        <v>50</v>
      </c>
      <c r="S58" s="8" t="s">
        <v>55</v>
      </c>
      <c r="T58" s="8" t="s">
        <v>55</v>
      </c>
      <c r="U58" s="8" t="s">
        <v>48</v>
      </c>
      <c r="V58" s="8" t="s">
        <v>48</v>
      </c>
      <c r="W58" s="8" t="s">
        <v>48</v>
      </c>
    </row>
    <row r="59" spans="2:37" ht="58" x14ac:dyDescent="0.35">
      <c r="J59" s="8" t="s">
        <v>30</v>
      </c>
      <c r="K59" s="8" t="s">
        <v>37</v>
      </c>
      <c r="L59" s="8" t="s">
        <v>21</v>
      </c>
      <c r="M59" s="8" t="s">
        <v>17</v>
      </c>
      <c r="N59" s="8" t="s">
        <v>15</v>
      </c>
      <c r="O59" s="8" t="s">
        <v>14</v>
      </c>
      <c r="P59" s="8" t="s">
        <v>41</v>
      </c>
      <c r="Q59" s="8" t="s">
        <v>65</v>
      </c>
      <c r="R59" s="8" t="s">
        <v>59</v>
      </c>
      <c r="S59" s="8" t="s">
        <v>57</v>
      </c>
      <c r="T59" s="8" t="s">
        <v>51</v>
      </c>
      <c r="U59" s="8" t="s">
        <v>54</v>
      </c>
      <c r="V59" s="8" t="s">
        <v>53</v>
      </c>
      <c r="W59" s="8" t="s">
        <v>56</v>
      </c>
    </row>
    <row r="60" spans="2:37" x14ac:dyDescent="0.35">
      <c r="J60" s="8" t="s">
        <v>0</v>
      </c>
      <c r="K60" s="8" t="s">
        <v>2</v>
      </c>
      <c r="L60" s="8" t="s">
        <v>2</v>
      </c>
      <c r="M60" s="8" t="s">
        <v>60</v>
      </c>
      <c r="N60" s="8" t="s">
        <v>60</v>
      </c>
      <c r="O60" s="8" t="s">
        <v>60</v>
      </c>
      <c r="P60" s="8" t="s">
        <v>1</v>
      </c>
      <c r="Q60" s="8" t="s">
        <v>64</v>
      </c>
      <c r="R60" s="8" t="s">
        <v>1</v>
      </c>
      <c r="S60" s="8" t="s">
        <v>1</v>
      </c>
      <c r="T60" s="8" t="s">
        <v>1</v>
      </c>
      <c r="U60" s="8" t="s">
        <v>44</v>
      </c>
      <c r="V60" s="8" t="s">
        <v>1</v>
      </c>
      <c r="W60" s="8" t="s">
        <v>1</v>
      </c>
    </row>
    <row r="61" spans="2:37" x14ac:dyDescent="0.35">
      <c r="J61" s="8" t="s">
        <v>55</v>
      </c>
      <c r="K61" s="8" t="s">
        <v>55</v>
      </c>
      <c r="L61" s="8" t="s">
        <v>55</v>
      </c>
      <c r="M61" s="8" t="s">
        <v>61</v>
      </c>
      <c r="N61" s="8" t="s">
        <v>62</v>
      </c>
      <c r="O61" s="8" t="s">
        <v>63</v>
      </c>
      <c r="P61" s="8" t="s">
        <v>55</v>
      </c>
      <c r="Q61" s="8" t="s">
        <v>55</v>
      </c>
      <c r="R61" s="8" t="s">
        <v>71</v>
      </c>
      <c r="S61" s="8" t="s">
        <v>55</v>
      </c>
      <c r="T61" s="8" t="s">
        <v>55</v>
      </c>
      <c r="U61" s="8" t="s">
        <v>52</v>
      </c>
      <c r="V61" s="8" t="s">
        <v>52</v>
      </c>
      <c r="W61" s="8" t="s">
        <v>52</v>
      </c>
    </row>
    <row r="62" spans="2:37" x14ac:dyDescent="0.35">
      <c r="J62" s="1">
        <v>0.5</v>
      </c>
      <c r="K62" s="2">
        <f>4*PI()*POWER((J62/2),2)</f>
        <v>0.78539816339744828</v>
      </c>
      <c r="L62" s="2">
        <f>(4/3)*PI()*POWER((J62/2),3)</f>
        <v>6.5449846949787352E-2</v>
      </c>
      <c r="M62" s="2">
        <f t="shared" ref="M62:M77" si="39">$E$24*$B$5*L62</f>
        <v>4.3647637244655875E-2</v>
      </c>
      <c r="N62" s="2">
        <f>L62*$E$19*$B$5</f>
        <v>0.50506992392681394</v>
      </c>
      <c r="O62" s="2">
        <f>($E$19-$E$24)*L62*$B$5</f>
        <v>0.46142228668215807</v>
      </c>
      <c r="P62" s="2">
        <f t="shared" ref="P62:P77" si="40">O62/$B$5</f>
        <v>5.2020550922453002E-2</v>
      </c>
      <c r="Q62" s="2">
        <f t="shared" ref="Q62:Q77" si="41">$C$29</f>
        <v>0.17319999999999999</v>
      </c>
      <c r="R62" s="2">
        <f t="shared" ref="R62:R77" si="42">(Q62*K62)+((Q62*K62)*0.22)</f>
        <v>0.16595777351853441</v>
      </c>
      <c r="S62" s="2">
        <f>P62-R62</f>
        <v>-0.11393722259608141</v>
      </c>
      <c r="T62" s="2">
        <f t="shared" ref="T62:T77" si="43">M62/$B$5</f>
        <v>4.9208159238619932E-3</v>
      </c>
      <c r="U62" s="2">
        <f>L62/$M$8</f>
        <v>4.3220237915334025E-3</v>
      </c>
      <c r="V62" s="2">
        <f>U62*60</f>
        <v>0.25932142749200415</v>
      </c>
      <c r="W62" s="2">
        <f t="shared" ref="W62:W77" si="44">V62+(S62*$B$7/$B$5)+(R62*$B$7/$B$5)</f>
        <v>0.31685486656181971</v>
      </c>
    </row>
    <row r="63" spans="2:37" x14ac:dyDescent="0.35">
      <c r="J63" s="1">
        <v>1</v>
      </c>
      <c r="K63" s="2">
        <f t="shared" ref="K63:K77" si="45">4*PI()*POWER((J63/2),2)</f>
        <v>3.1415926535897931</v>
      </c>
      <c r="L63" s="2">
        <f t="shared" ref="L63:L77" si="46">(4/3)*PI()*POWER((J63/2),3)</f>
        <v>0.52359877559829882</v>
      </c>
      <c r="M63" s="2">
        <f t="shared" si="39"/>
        <v>0.349181097957247</v>
      </c>
      <c r="N63" s="2">
        <f>L63*$E$19*$B$5</f>
        <v>4.0405593914145115</v>
      </c>
      <c r="O63" s="2">
        <f>($E$19-$E$24)*L63*$B$5</f>
        <v>3.6913782934572645</v>
      </c>
      <c r="P63" s="2">
        <f t="shared" si="40"/>
        <v>0.41616440737962401</v>
      </c>
      <c r="Q63" s="2">
        <f t="shared" si="41"/>
        <v>0.17319999999999999</v>
      </c>
      <c r="R63" s="2">
        <f t="shared" si="42"/>
        <v>0.66383109407413765</v>
      </c>
      <c r="S63" s="2">
        <f t="shared" ref="S63:S77" si="47">P63-R63</f>
        <v>-0.24766668669451364</v>
      </c>
      <c r="T63" s="2">
        <f t="shared" si="43"/>
        <v>3.9366527390895946E-2</v>
      </c>
      <c r="U63" s="2">
        <f t="shared" ref="U63:U77" si="48">L63/$M$8</f>
        <v>3.457619033226722E-2</v>
      </c>
      <c r="V63" s="2">
        <f t="shared" ref="V63:V77" si="49">U63*60</f>
        <v>2.0745714199360332</v>
      </c>
      <c r="W63" s="2">
        <f t="shared" si="44"/>
        <v>2.5348389324945577</v>
      </c>
    </row>
    <row r="64" spans="2:37" x14ac:dyDescent="0.35">
      <c r="J64" s="1">
        <v>1.5</v>
      </c>
      <c r="K64" s="2">
        <f t="shared" si="45"/>
        <v>7.0685834705770345</v>
      </c>
      <c r="L64" s="2">
        <f t="shared" si="46"/>
        <v>1.7671458676442584</v>
      </c>
      <c r="M64" s="2">
        <f t="shared" si="39"/>
        <v>1.1784862056057086</v>
      </c>
      <c r="N64" s="2">
        <f>L64*$E$19*$B$5</f>
        <v>13.636887946023977</v>
      </c>
      <c r="O64" s="2">
        <f>($E$19-$E$24)*L64*$B$5</f>
        <v>12.458401740418267</v>
      </c>
      <c r="P64" s="2">
        <f t="shared" si="40"/>
        <v>1.4045548749062309</v>
      </c>
      <c r="Q64" s="2">
        <f t="shared" si="41"/>
        <v>0.17319999999999999</v>
      </c>
      <c r="R64" s="2">
        <f t="shared" si="42"/>
        <v>1.4936199616668095</v>
      </c>
      <c r="S64" s="2">
        <f t="shared" si="47"/>
        <v>-8.9065086760578671E-2</v>
      </c>
      <c r="T64" s="2">
        <f t="shared" si="43"/>
        <v>0.13286202994427382</v>
      </c>
      <c r="U64" s="2">
        <f t="shared" si="48"/>
        <v>0.11669464237140187</v>
      </c>
      <c r="V64" s="2">
        <f t="shared" si="49"/>
        <v>7.0016785422841119</v>
      </c>
      <c r="W64" s="2">
        <f t="shared" si="44"/>
        <v>8.5550813971691309</v>
      </c>
    </row>
    <row r="65" spans="10:23" x14ac:dyDescent="0.35">
      <c r="J65" s="1">
        <v>2</v>
      </c>
      <c r="K65" s="2">
        <f t="shared" si="45"/>
        <v>12.566370614359172</v>
      </c>
      <c r="L65" s="2">
        <f t="shared" si="46"/>
        <v>4.1887902047863905</v>
      </c>
      <c r="M65" s="2">
        <f t="shared" si="39"/>
        <v>2.793448783657976</v>
      </c>
      <c r="N65" s="2">
        <f>L65*$E$19*$B$5</f>
        <v>32.324475131316092</v>
      </c>
      <c r="O65" s="2">
        <f>($E$19-$E$24)*L65*$B$5</f>
        <v>29.531026347658116</v>
      </c>
      <c r="P65" s="2">
        <f t="shared" si="40"/>
        <v>3.3293152590369921</v>
      </c>
      <c r="Q65" s="2">
        <f t="shared" si="41"/>
        <v>0.17319999999999999</v>
      </c>
      <c r="R65" s="2">
        <f t="shared" si="42"/>
        <v>2.6553243762965506</v>
      </c>
      <c r="S65" s="2">
        <f t="shared" si="47"/>
        <v>0.6739908827404415</v>
      </c>
      <c r="T65" s="2">
        <f t="shared" si="43"/>
        <v>0.31493221912716757</v>
      </c>
      <c r="U65" s="2">
        <f t="shared" si="48"/>
        <v>0.27660952265813776</v>
      </c>
      <c r="V65" s="2">
        <f t="shared" si="49"/>
        <v>16.596571359488266</v>
      </c>
      <c r="W65" s="2">
        <f t="shared" si="44"/>
        <v>20.278711459956462</v>
      </c>
    </row>
    <row r="66" spans="10:23" x14ac:dyDescent="0.35">
      <c r="J66" s="1">
        <v>2.5</v>
      </c>
      <c r="K66" s="2">
        <f t="shared" si="45"/>
        <v>19.634954084936208</v>
      </c>
      <c r="L66" s="2">
        <f t="shared" si="46"/>
        <v>8.1812308687234196</v>
      </c>
      <c r="M66" s="2">
        <f t="shared" si="39"/>
        <v>5.4559546555819844</v>
      </c>
      <c r="N66" s="2">
        <f>L66*$E$19*$B$5</f>
        <v>63.13374049085175</v>
      </c>
      <c r="O66" s="2">
        <f>($E$19-$E$24)*L66*$B$5</f>
        <v>57.677785835269766</v>
      </c>
      <c r="P66" s="2">
        <f t="shared" si="40"/>
        <v>6.5025688653066256</v>
      </c>
      <c r="Q66" s="2">
        <f t="shared" si="41"/>
        <v>0.17319999999999999</v>
      </c>
      <c r="R66" s="2">
        <f t="shared" si="42"/>
        <v>4.1489443379633606</v>
      </c>
      <c r="S66" s="2">
        <f t="shared" si="47"/>
        <v>2.353624527343265</v>
      </c>
      <c r="T66" s="2">
        <f t="shared" si="43"/>
        <v>0.61510199048274916</v>
      </c>
      <c r="U66" s="2">
        <f t="shared" si="48"/>
        <v>0.54025297394167537</v>
      </c>
      <c r="V66" s="2">
        <f t="shared" si="49"/>
        <v>32.415178436500526</v>
      </c>
      <c r="W66" s="2">
        <f t="shared" si="44"/>
        <v>39.606858320227474</v>
      </c>
    </row>
    <row r="67" spans="10:23" x14ac:dyDescent="0.35">
      <c r="J67" s="1">
        <v>3</v>
      </c>
      <c r="K67" s="2">
        <f t="shared" si="45"/>
        <v>28.274333882308138</v>
      </c>
      <c r="L67" s="2">
        <f t="shared" si="46"/>
        <v>14.137166941154067</v>
      </c>
      <c r="M67" s="2">
        <f t="shared" si="39"/>
        <v>9.4278896448456688</v>
      </c>
      <c r="N67" s="2">
        <f>L67*$E$19*$B$5</f>
        <v>109.09510356819182</v>
      </c>
      <c r="O67" s="2">
        <f>($E$19-$E$24)*L67*$B$5</f>
        <v>99.667213923346139</v>
      </c>
      <c r="P67" s="2">
        <f t="shared" si="40"/>
        <v>11.236438999249847</v>
      </c>
      <c r="Q67" s="2">
        <f t="shared" si="41"/>
        <v>0.17319999999999999</v>
      </c>
      <c r="R67" s="2">
        <f t="shared" si="42"/>
        <v>5.9744798466672382</v>
      </c>
      <c r="S67" s="2">
        <f t="shared" si="47"/>
        <v>5.2619591525826088</v>
      </c>
      <c r="T67" s="2">
        <f t="shared" si="43"/>
        <v>1.0628962395541905</v>
      </c>
      <c r="U67" s="2">
        <f t="shared" si="48"/>
        <v>0.93355713897121495</v>
      </c>
      <c r="V67" s="2">
        <f t="shared" si="49"/>
        <v>56.013428338272895</v>
      </c>
      <c r="W67" s="2">
        <f t="shared" si="44"/>
        <v>68.440651177353061</v>
      </c>
    </row>
    <row r="68" spans="10:23" x14ac:dyDescent="0.35">
      <c r="J68" s="1">
        <v>3.5</v>
      </c>
      <c r="K68" s="2">
        <f t="shared" si="45"/>
        <v>38.484510006474963</v>
      </c>
      <c r="L68" s="2">
        <f t="shared" si="46"/>
        <v>22.449297503777061</v>
      </c>
      <c r="M68" s="2">
        <f t="shared" si="39"/>
        <v>14.971139574916963</v>
      </c>
      <c r="N68" s="2">
        <f>L68*$E$19*$B$5</f>
        <v>173.23898390689718</v>
      </c>
      <c r="O68" s="2">
        <f>($E$19-$E$24)*L68*$B$5</f>
        <v>158.26784433198023</v>
      </c>
      <c r="P68" s="2">
        <f t="shared" si="40"/>
        <v>17.84304896640138</v>
      </c>
      <c r="Q68" s="2">
        <f t="shared" si="41"/>
        <v>0.17319999999999999</v>
      </c>
      <c r="R68" s="2">
        <f t="shared" si="42"/>
        <v>8.1319309024081861</v>
      </c>
      <c r="S68" s="2">
        <f t="shared" si="47"/>
        <v>9.7111180639931938</v>
      </c>
      <c r="T68" s="2">
        <f t="shared" si="43"/>
        <v>1.6878398618846633</v>
      </c>
      <c r="U68" s="2">
        <f t="shared" si="48"/>
        <v>1.4824541604959569</v>
      </c>
      <c r="V68" s="2">
        <f t="shared" si="49"/>
        <v>88.947249629757408</v>
      </c>
      <c r="W68" s="2">
        <f t="shared" si="44"/>
        <v>108.68121923070416</v>
      </c>
    </row>
    <row r="69" spans="10:23" x14ac:dyDescent="0.35">
      <c r="J69" s="1">
        <v>4</v>
      </c>
      <c r="K69" s="2">
        <f t="shared" si="45"/>
        <v>50.26548245743669</v>
      </c>
      <c r="L69" s="2">
        <f t="shared" si="46"/>
        <v>33.510321638291124</v>
      </c>
      <c r="M69" s="2">
        <f t="shared" si="39"/>
        <v>22.347590269263808</v>
      </c>
      <c r="N69" s="2">
        <f>L69*$E$19*$B$5</f>
        <v>258.59580105052873</v>
      </c>
      <c r="O69" s="2">
        <f>($E$19-$E$24)*L69*$B$5</f>
        <v>236.24821078126493</v>
      </c>
      <c r="P69" s="2">
        <f t="shared" si="40"/>
        <v>26.634522072295937</v>
      </c>
      <c r="Q69" s="2">
        <f t="shared" si="41"/>
        <v>0.17319999999999999</v>
      </c>
      <c r="R69" s="2">
        <f t="shared" si="42"/>
        <v>10.621297505186202</v>
      </c>
      <c r="S69" s="2">
        <f t="shared" si="47"/>
        <v>16.013224567109734</v>
      </c>
      <c r="T69" s="2">
        <f t="shared" si="43"/>
        <v>2.5194577530173405</v>
      </c>
      <c r="U69" s="2">
        <f t="shared" si="48"/>
        <v>2.2128761812651021</v>
      </c>
      <c r="V69" s="2">
        <f t="shared" si="49"/>
        <v>132.77257087590613</v>
      </c>
      <c r="W69" s="2">
        <f t="shared" si="44"/>
        <v>162.22969167965169</v>
      </c>
    </row>
    <row r="70" spans="10:23" x14ac:dyDescent="0.35">
      <c r="J70" s="1">
        <v>4.5</v>
      </c>
      <c r="K70" s="2">
        <f t="shared" si="45"/>
        <v>63.617251235193308</v>
      </c>
      <c r="L70" s="2">
        <f t="shared" si="46"/>
        <v>47.712938426394977</v>
      </c>
      <c r="M70" s="2">
        <f t="shared" si="39"/>
        <v>31.819127551354129</v>
      </c>
      <c r="N70" s="2">
        <f>L70*$E$19*$B$5</f>
        <v>368.19597454264738</v>
      </c>
      <c r="O70" s="2">
        <f>($E$19-$E$24)*L70*$B$5</f>
        <v>336.37684699129323</v>
      </c>
      <c r="P70" s="2">
        <f t="shared" si="40"/>
        <v>37.922981622468235</v>
      </c>
      <c r="Q70" s="2">
        <f t="shared" si="41"/>
        <v>0.17319999999999999</v>
      </c>
      <c r="R70" s="2">
        <f t="shared" si="42"/>
        <v>13.442579655001285</v>
      </c>
      <c r="S70" s="2">
        <f t="shared" si="47"/>
        <v>24.48040196746695</v>
      </c>
      <c r="T70" s="2">
        <f t="shared" si="43"/>
        <v>3.5872748084953923</v>
      </c>
      <c r="U70" s="2">
        <f t="shared" si="48"/>
        <v>3.1507553440278504</v>
      </c>
      <c r="V70" s="2">
        <f t="shared" si="49"/>
        <v>189.04532064167103</v>
      </c>
      <c r="W70" s="2">
        <f t="shared" si="44"/>
        <v>230.98719772356657</v>
      </c>
    </row>
    <row r="71" spans="10:23" x14ac:dyDescent="0.35">
      <c r="J71" s="1">
        <v>5</v>
      </c>
      <c r="K71" s="2">
        <f t="shared" si="45"/>
        <v>78.539816339744831</v>
      </c>
      <c r="L71" s="2">
        <f t="shared" si="46"/>
        <v>65.449846949787357</v>
      </c>
      <c r="M71" s="2">
        <f t="shared" si="39"/>
        <v>43.647637244655876</v>
      </c>
      <c r="N71" s="2">
        <f>L71*$E$19*$B$5</f>
        <v>505.069923926814</v>
      </c>
      <c r="O71" s="2">
        <f>($E$19-$E$24)*L71*$B$5</f>
        <v>461.42228668215813</v>
      </c>
      <c r="P71" s="2">
        <f t="shared" si="40"/>
        <v>52.020550922453005</v>
      </c>
      <c r="Q71" s="2">
        <f t="shared" si="41"/>
        <v>0.17319999999999999</v>
      </c>
      <c r="R71" s="2">
        <f t="shared" si="42"/>
        <v>16.595777351853442</v>
      </c>
      <c r="S71" s="2">
        <f t="shared" si="47"/>
        <v>35.424773570599562</v>
      </c>
      <c r="T71" s="2">
        <f t="shared" si="43"/>
        <v>4.9208159238619933</v>
      </c>
      <c r="U71" s="2">
        <f t="shared" si="48"/>
        <v>4.322023791533403</v>
      </c>
      <c r="V71" s="2">
        <f t="shared" si="49"/>
        <v>259.3214274920042</v>
      </c>
      <c r="W71" s="2">
        <f t="shared" si="44"/>
        <v>316.85486656181979</v>
      </c>
    </row>
    <row r="72" spans="10:23" x14ac:dyDescent="0.35">
      <c r="J72" s="26">
        <v>5.5</v>
      </c>
      <c r="K72" s="27">
        <f t="shared" si="45"/>
        <v>95.033177771091246</v>
      </c>
      <c r="L72" s="27">
        <f t="shared" si="46"/>
        <v>87.113746290166972</v>
      </c>
      <c r="M72" s="27">
        <f t="shared" si="39"/>
        <v>58.095005172636974</v>
      </c>
      <c r="N72" s="27">
        <f>L72*$E$19*$B$5</f>
        <v>672.24806874658952</v>
      </c>
      <c r="O72" s="27">
        <f>($E$19-$E$24)*L72*$B$5</f>
        <v>614.15306357395241</v>
      </c>
      <c r="P72" s="27">
        <f t="shared" si="40"/>
        <v>69.239353277784943</v>
      </c>
      <c r="Q72" s="27">
        <f t="shared" si="41"/>
        <v>0.17319999999999999</v>
      </c>
      <c r="R72" s="27">
        <f t="shared" si="42"/>
        <v>20.080890595742666</v>
      </c>
      <c r="S72" s="27">
        <f t="shared" si="47"/>
        <v>49.158462682042277</v>
      </c>
      <c r="T72" s="27">
        <f t="shared" si="43"/>
        <v>6.5496059946603129</v>
      </c>
      <c r="U72" s="27">
        <f t="shared" si="48"/>
        <v>5.7526136665309595</v>
      </c>
      <c r="V72" s="27">
        <f t="shared" si="49"/>
        <v>345.15681999185756</v>
      </c>
      <c r="W72" s="27">
        <f t="shared" si="44"/>
        <v>421.73382739378212</v>
      </c>
    </row>
    <row r="73" spans="10:23" x14ac:dyDescent="0.35">
      <c r="J73" s="12">
        <v>6</v>
      </c>
      <c r="K73" s="13">
        <f t="shared" si="45"/>
        <v>113.09733552923255</v>
      </c>
      <c r="L73" s="13">
        <f t="shared" si="46"/>
        <v>113.09733552923254</v>
      </c>
      <c r="M73" s="13">
        <f t="shared" si="39"/>
        <v>75.423117158765351</v>
      </c>
      <c r="N73" s="13">
        <f>L73*$E$19*$B$5</f>
        <v>872.76082854553454</v>
      </c>
      <c r="O73" s="13">
        <f>($E$19-$E$24)*L73*$B$5</f>
        <v>797.33771138676912</v>
      </c>
      <c r="P73" s="13">
        <f t="shared" si="40"/>
        <v>89.891511993998776</v>
      </c>
      <c r="Q73" s="13">
        <f t="shared" si="41"/>
        <v>0.17319999999999999</v>
      </c>
      <c r="R73" s="13">
        <f t="shared" si="42"/>
        <v>23.897919386668953</v>
      </c>
      <c r="S73" s="13">
        <f t="shared" si="47"/>
        <v>65.993592607329816</v>
      </c>
      <c r="T73" s="13">
        <f t="shared" si="43"/>
        <v>8.5031699164335244</v>
      </c>
      <c r="U73" s="13">
        <f t="shared" si="48"/>
        <v>7.4684571117697196</v>
      </c>
      <c r="V73" s="13">
        <f t="shared" si="49"/>
        <v>448.10742670618316</v>
      </c>
      <c r="W73" s="13">
        <f t="shared" si="44"/>
        <v>547.52520941882437</v>
      </c>
    </row>
    <row r="74" spans="10:23" x14ac:dyDescent="0.35">
      <c r="J74" s="1">
        <v>6.5</v>
      </c>
      <c r="K74" s="2">
        <f t="shared" si="45"/>
        <v>132.73228961416876</v>
      </c>
      <c r="L74" s="2">
        <f t="shared" si="46"/>
        <v>143.79331374868281</v>
      </c>
      <c r="M74" s="2">
        <f t="shared" si="39"/>
        <v>95.893859026508949</v>
      </c>
      <c r="N74" s="2">
        <f>L74*$E$19*$B$5</f>
        <v>1109.6386228672102</v>
      </c>
      <c r="O74" s="2">
        <f>($E$19-$E$24)*L74*$B$5</f>
        <v>1013.7447638407012</v>
      </c>
      <c r="P74" s="2">
        <f t="shared" si="40"/>
        <v>114.28915037662924</v>
      </c>
      <c r="Q74" s="2">
        <f t="shared" si="41"/>
        <v>0.17319999999999999</v>
      </c>
      <c r="R74" s="2">
        <f t="shared" si="42"/>
        <v>28.046863724632313</v>
      </c>
      <c r="S74" s="2">
        <f t="shared" si="47"/>
        <v>86.24228665199692</v>
      </c>
      <c r="T74" s="2">
        <f t="shared" si="43"/>
        <v>10.811032584724797</v>
      </c>
      <c r="U74" s="2">
        <f t="shared" si="48"/>
        <v>9.4954862699988851</v>
      </c>
      <c r="V74" s="2">
        <f t="shared" si="49"/>
        <v>569.72917619993314</v>
      </c>
      <c r="W74" s="2">
        <f t="shared" si="44"/>
        <v>696.13014183631788</v>
      </c>
    </row>
    <row r="75" spans="10:23" x14ac:dyDescent="0.35">
      <c r="J75" s="1">
        <v>7</v>
      </c>
      <c r="K75" s="2">
        <f t="shared" si="45"/>
        <v>153.93804002589985</v>
      </c>
      <c r="L75" s="2">
        <f t="shared" si="46"/>
        <v>179.59438003021648</v>
      </c>
      <c r="M75" s="2">
        <f t="shared" si="39"/>
        <v>119.7691165993357</v>
      </c>
      <c r="N75" s="2">
        <f>L75*$E$19*$B$5</f>
        <v>1385.9118712551774</v>
      </c>
      <c r="O75" s="2">
        <f>($E$19-$E$24)*L75*$B$5</f>
        <v>1266.1427546558418</v>
      </c>
      <c r="P75" s="2">
        <f t="shared" si="40"/>
        <v>142.74439173121104</v>
      </c>
      <c r="Q75" s="2">
        <f t="shared" si="41"/>
        <v>0.17319999999999999</v>
      </c>
      <c r="R75" s="2">
        <f t="shared" si="42"/>
        <v>32.527723609632744</v>
      </c>
      <c r="S75" s="2">
        <f t="shared" si="47"/>
        <v>110.21666812157829</v>
      </c>
      <c r="T75" s="2">
        <f t="shared" si="43"/>
        <v>13.502718895077306</v>
      </c>
      <c r="U75" s="2">
        <f t="shared" si="48"/>
        <v>11.859633283967655</v>
      </c>
      <c r="V75" s="2">
        <f t="shared" si="49"/>
        <v>711.57799703805927</v>
      </c>
      <c r="W75" s="2">
        <f t="shared" si="44"/>
        <v>869.44975384563315</v>
      </c>
    </row>
    <row r="76" spans="10:23" x14ac:dyDescent="0.35">
      <c r="J76" s="1">
        <v>7.5</v>
      </c>
      <c r="K76" s="2">
        <f t="shared" si="45"/>
        <v>176.71458676442586</v>
      </c>
      <c r="L76" s="2">
        <f t="shared" si="46"/>
        <v>220.89323345553231</v>
      </c>
      <c r="M76" s="2">
        <f t="shared" si="39"/>
        <v>147.31077570071358</v>
      </c>
      <c r="N76" s="2">
        <f>L76*$E$19*$B$5</f>
        <v>1704.6109932529971</v>
      </c>
      <c r="O76" s="2">
        <f>($E$19-$E$24)*L76*$B$5</f>
        <v>1557.3002175522834</v>
      </c>
      <c r="P76" s="2">
        <f t="shared" si="40"/>
        <v>175.56935936327886</v>
      </c>
      <c r="Q76" s="2">
        <f t="shared" si="41"/>
        <v>0.17319999999999999</v>
      </c>
      <c r="R76" s="2">
        <f t="shared" si="42"/>
        <v>37.340499041670242</v>
      </c>
      <c r="S76" s="2">
        <f t="shared" si="47"/>
        <v>138.22886032160864</v>
      </c>
      <c r="T76" s="2">
        <f t="shared" si="43"/>
        <v>16.607753743034227</v>
      </c>
      <c r="U76" s="2">
        <f t="shared" si="48"/>
        <v>14.586830296425234</v>
      </c>
      <c r="V76" s="2">
        <f t="shared" si="49"/>
        <v>875.20981778551402</v>
      </c>
      <c r="W76" s="2">
        <f t="shared" si="44"/>
        <v>1069.3851746461414</v>
      </c>
    </row>
    <row r="77" spans="10:23" x14ac:dyDescent="0.35">
      <c r="J77" s="1">
        <v>8</v>
      </c>
      <c r="K77" s="2">
        <f t="shared" si="45"/>
        <v>201.06192982974676</v>
      </c>
      <c r="L77" s="2">
        <f t="shared" si="46"/>
        <v>268.08257310632899</v>
      </c>
      <c r="M77" s="2">
        <f t="shared" si="39"/>
        <v>178.78072215411046</v>
      </c>
      <c r="N77" s="2">
        <f>L77*$E$19*$B$5</f>
        <v>2068.7664084042299</v>
      </c>
      <c r="O77" s="2">
        <f>($E$19-$E$24)*L77*$B$5</f>
        <v>1889.9856862501194</v>
      </c>
      <c r="P77" s="2">
        <f t="shared" si="40"/>
        <v>213.07617657836749</v>
      </c>
      <c r="Q77" s="2">
        <f t="shared" si="41"/>
        <v>0.17319999999999999</v>
      </c>
      <c r="R77" s="2">
        <f t="shared" si="42"/>
        <v>42.48519002074481</v>
      </c>
      <c r="S77" s="2">
        <f t="shared" si="47"/>
        <v>170.59098655762267</v>
      </c>
      <c r="T77" s="2">
        <f t="shared" si="43"/>
        <v>20.155662024138724</v>
      </c>
      <c r="U77" s="2">
        <f t="shared" si="48"/>
        <v>17.703009450120817</v>
      </c>
      <c r="V77" s="2">
        <f t="shared" si="49"/>
        <v>1062.180567007249</v>
      </c>
      <c r="W77" s="2">
        <f t="shared" si="44"/>
        <v>1297.8375334372136</v>
      </c>
    </row>
    <row r="79" spans="10:23" x14ac:dyDescent="0.35">
      <c r="J79" s="3" t="s">
        <v>88</v>
      </c>
    </row>
    <row r="81" spans="10:13" x14ac:dyDescent="0.35">
      <c r="J81" t="s">
        <v>47</v>
      </c>
      <c r="K81" t="s">
        <v>45</v>
      </c>
      <c r="L81" t="s">
        <v>46</v>
      </c>
      <c r="M81" t="s">
        <v>67</v>
      </c>
    </row>
    <row r="82" spans="10:13" x14ac:dyDescent="0.35">
      <c r="J82" s="1">
        <v>0.5</v>
      </c>
      <c r="K82" s="9">
        <f t="shared" ref="K82:K97" si="50">IF(S16&lt;0,0,S16)</f>
        <v>0</v>
      </c>
      <c r="L82" s="9">
        <f t="shared" ref="L82:L97" si="51">IF(S39&lt;0,0,S39)</f>
        <v>0</v>
      </c>
      <c r="M82" s="9">
        <f t="shared" ref="M82:M97" si="52">IF(S62&lt;0,0,S62)</f>
        <v>0</v>
      </c>
    </row>
    <row r="83" spans="10:13" x14ac:dyDescent="0.35">
      <c r="J83" s="1">
        <v>1</v>
      </c>
      <c r="K83" s="9">
        <f t="shared" si="50"/>
        <v>0.27105058077924371</v>
      </c>
      <c r="L83" s="9">
        <f t="shared" si="51"/>
        <v>3.3262255664642137E-2</v>
      </c>
      <c r="M83" s="9">
        <f t="shared" si="52"/>
        <v>0</v>
      </c>
    </row>
    <row r="84" spans="10:13" x14ac:dyDescent="0.35">
      <c r="J84" s="1">
        <v>1.5</v>
      </c>
      <c r="K84" s="9">
        <f t="shared" si="50"/>
        <v>1.6616056909633525</v>
      </c>
      <c r="L84" s="9">
        <f t="shared" si="51"/>
        <v>0.85907009370157228</v>
      </c>
      <c r="M84" s="9">
        <f t="shared" si="52"/>
        <v>0</v>
      </c>
    </row>
    <row r="85" spans="10:13" x14ac:dyDescent="0.35">
      <c r="J85" s="1">
        <v>2</v>
      </c>
      <c r="K85" s="9">
        <f t="shared" si="50"/>
        <v>4.8237290225305003</v>
      </c>
      <c r="L85" s="9">
        <f t="shared" si="51"/>
        <v>2.9214224216136877</v>
      </c>
      <c r="M85" s="9">
        <f t="shared" si="52"/>
        <v>0.6739908827404415</v>
      </c>
    </row>
    <row r="86" spans="10:13" x14ac:dyDescent="0.35">
      <c r="J86" s="1">
        <v>2.5</v>
      </c>
      <c r="K86" s="9">
        <f t="shared" si="50"/>
        <v>10.458581831620725</v>
      </c>
      <c r="L86" s="9">
        <f t="shared" si="51"/>
        <v>6.7431392517050757</v>
      </c>
      <c r="M86" s="9">
        <f t="shared" si="52"/>
        <v>2.353624527343265</v>
      </c>
    </row>
    <row r="87" spans="10:13" x14ac:dyDescent="0.35">
      <c r="J87" s="1">
        <v>3</v>
      </c>
      <c r="K87" s="9">
        <f t="shared" si="50"/>
        <v>19.26732537437406</v>
      </c>
      <c r="L87" s="9">
        <f t="shared" si="51"/>
        <v>12.847040596279816</v>
      </c>
      <c r="M87" s="9">
        <f t="shared" si="52"/>
        <v>5.2619591525826088</v>
      </c>
    </row>
    <row r="88" spans="10:13" x14ac:dyDescent="0.35">
      <c r="J88" s="1">
        <v>3.5</v>
      </c>
      <c r="K88" s="9">
        <f t="shared" si="50"/>
        <v>31.951120906930541</v>
      </c>
      <c r="L88" s="9">
        <f t="shared" si="51"/>
        <v>21.755946467641994</v>
      </c>
      <c r="M88" s="9">
        <f t="shared" si="52"/>
        <v>9.7111180639931938</v>
      </c>
    </row>
    <row r="89" spans="10:13" x14ac:dyDescent="0.35">
      <c r="J89" s="1">
        <v>4</v>
      </c>
      <c r="K89" s="9">
        <f t="shared" si="50"/>
        <v>49.211129685430208</v>
      </c>
      <c r="L89" s="9">
        <f t="shared" si="51"/>
        <v>33.992676878095708</v>
      </c>
      <c r="M89" s="9">
        <f t="shared" si="52"/>
        <v>16.013224567109734</v>
      </c>
    </row>
    <row r="90" spans="10:13" x14ac:dyDescent="0.35">
      <c r="J90" s="1">
        <v>4.5</v>
      </c>
      <c r="K90" s="9">
        <f t="shared" si="50"/>
        <v>71.748512966013095</v>
      </c>
      <c r="L90" s="9">
        <f t="shared" si="51"/>
        <v>50.080051839945028</v>
      </c>
      <c r="M90" s="9">
        <f t="shared" si="52"/>
        <v>24.48040196746695</v>
      </c>
    </row>
    <row r="91" spans="10:13" x14ac:dyDescent="0.35">
      <c r="J91" s="1">
        <v>5</v>
      </c>
      <c r="K91" s="9">
        <f t="shared" si="50"/>
        <v>100.26443200481924</v>
      </c>
      <c r="L91" s="9">
        <f t="shared" si="51"/>
        <v>70.540891365494048</v>
      </c>
      <c r="M91" s="9">
        <f t="shared" si="52"/>
        <v>35.424773570599562</v>
      </c>
    </row>
    <row r="92" spans="10:13" x14ac:dyDescent="0.35">
      <c r="J92" s="1">
        <v>5.5</v>
      </c>
      <c r="K92" s="9">
        <f t="shared" si="50"/>
        <v>135.4600480579887</v>
      </c>
      <c r="L92" s="9">
        <f t="shared" si="51"/>
        <v>95.898015467046832</v>
      </c>
      <c r="M92" s="9">
        <f t="shared" si="52"/>
        <v>49.158462682042277</v>
      </c>
    </row>
    <row r="93" spans="10:13" x14ac:dyDescent="0.35">
      <c r="J93" s="1">
        <v>6</v>
      </c>
      <c r="K93" s="9">
        <f t="shared" si="50"/>
        <v>178.03652238166143</v>
      </c>
      <c r="L93" s="9">
        <f t="shared" si="51"/>
        <v>126.67424415690749</v>
      </c>
      <c r="M93" s="9">
        <f t="shared" si="52"/>
        <v>65.993592607329816</v>
      </c>
    </row>
    <row r="94" spans="10:13" x14ac:dyDescent="0.35">
      <c r="J94" s="1">
        <v>6.5</v>
      </c>
      <c r="K94" s="9">
        <f t="shared" si="50"/>
        <v>228.69501623197755</v>
      </c>
      <c r="L94" s="9">
        <f t="shared" si="51"/>
        <v>163.39239744738009</v>
      </c>
      <c r="M94" s="9">
        <f t="shared" si="52"/>
        <v>86.24228665199692</v>
      </c>
    </row>
    <row r="95" spans="10:13" x14ac:dyDescent="0.35">
      <c r="J95" s="1">
        <v>7</v>
      </c>
      <c r="K95" s="9">
        <f t="shared" si="50"/>
        <v>288.13669086507707</v>
      </c>
      <c r="L95" s="9">
        <f t="shared" si="51"/>
        <v>206.5752953507687</v>
      </c>
      <c r="M95" s="9">
        <f t="shared" si="52"/>
        <v>110.21666812157829</v>
      </c>
    </row>
    <row r="96" spans="10:13" x14ac:dyDescent="0.35">
      <c r="J96" s="1">
        <v>7.5</v>
      </c>
      <c r="K96" s="9">
        <f t="shared" si="50"/>
        <v>357.06270753710004</v>
      </c>
      <c r="L96" s="9">
        <f t="shared" si="51"/>
        <v>256.74575787937749</v>
      </c>
      <c r="M96" s="9">
        <f t="shared" si="52"/>
        <v>138.22886032160864</v>
      </c>
    </row>
    <row r="97" spans="10:13" x14ac:dyDescent="0.35">
      <c r="J97" s="1">
        <v>8</v>
      </c>
      <c r="K97" s="9">
        <f t="shared" si="50"/>
        <v>436.17422750418643</v>
      </c>
      <c r="L97" s="9">
        <f t="shared" si="51"/>
        <v>314.42660504551043</v>
      </c>
      <c r="M97" s="9">
        <f t="shared" si="52"/>
        <v>170.59098655762267</v>
      </c>
    </row>
  </sheetData>
  <mergeCells count="1">
    <mergeCell ref="B15:B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Aerostatics in Venus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Smith</dc:creator>
  <cp:lastModifiedBy>Stuart Smith</cp:lastModifiedBy>
  <dcterms:created xsi:type="dcterms:W3CDTF">2023-02-27T12:59:40Z</dcterms:created>
  <dcterms:modified xsi:type="dcterms:W3CDTF">2025-08-29T11:39:20Z</dcterms:modified>
</cp:coreProperties>
</file>