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a5061b34a5b619dd/Open University/SXS841/Venus Spacecraft Specification/"/>
    </mc:Choice>
  </mc:AlternateContent>
  <xr:revisionPtr revIDLastSave="5412" documentId="8_{0ACBFF11-2DE3-4C14-AF5F-E1B3031992AD}" xr6:coauthVersionLast="47" xr6:coauthVersionMax="47" xr10:uidLastSave="{2C7337E4-8144-4214-BA50-91831C1FFA9E}"/>
  <bookViews>
    <workbookView xWindow="-110" yWindow="-110" windowWidth="38620" windowHeight="21100" xr2:uid="{40587255-9BEA-404D-94BF-D98EB4004CBE}"/>
  </bookViews>
  <sheets>
    <sheet name="Delta-V" sheetId="1" r:id="rId1"/>
    <sheet name="Communications" sheetId="3" r:id="rId2"/>
    <sheet name="Product Breakdown" sheetId="8" r:id="rId3"/>
    <sheet name="Data Budget" sheetId="16" r:id="rId4"/>
    <sheet name="Power Budget" sheetId="1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6" l="1"/>
  <c r="D12" i="16" s="1"/>
  <c r="E12" i="16" s="1"/>
  <c r="F12" i="16" s="1"/>
  <c r="G12" i="16" s="1"/>
  <c r="H12" i="16" s="1"/>
  <c r="I12" i="16" s="1"/>
  <c r="J12" i="16" s="1"/>
  <c r="K12" i="16" s="1"/>
  <c r="L12" i="16" s="1"/>
  <c r="M12" i="16" s="1"/>
  <c r="N12" i="16" s="1"/>
  <c r="O12" i="16" s="1"/>
  <c r="P12" i="16" s="1"/>
  <c r="D8" i="16"/>
  <c r="E8" i="16" s="1"/>
  <c r="F8" i="16" s="1"/>
  <c r="G8" i="16" s="1"/>
  <c r="H8" i="16" s="1"/>
  <c r="I8" i="16" s="1"/>
  <c r="J8" i="16" s="1"/>
  <c r="K8" i="16" s="1"/>
  <c r="L8" i="16" s="1"/>
  <c r="M8" i="16" s="1"/>
  <c r="N8" i="16" s="1"/>
  <c r="O8" i="16" s="1"/>
  <c r="P8" i="16" s="1"/>
  <c r="Q8" i="16" s="1"/>
  <c r="D7" i="16"/>
  <c r="D10" i="16" s="1"/>
  <c r="E169" i="8"/>
  <c r="E175" i="8" s="1"/>
  <c r="E156" i="8"/>
  <c r="E160" i="8" s="1"/>
  <c r="D9" i="16" l="1"/>
  <c r="E158" i="8"/>
  <c r="E174" i="8" l="1"/>
  <c r="C10" i="3"/>
  <c r="D10" i="3"/>
  <c r="C13" i="16"/>
  <c r="C14" i="16" s="1"/>
  <c r="P13" i="16"/>
  <c r="P18" i="16" s="1"/>
  <c r="O13" i="16"/>
  <c r="O18" i="16" s="1"/>
  <c r="N13" i="16"/>
  <c r="N18" i="16" s="1"/>
  <c r="M13" i="16"/>
  <c r="M18" i="16" s="1"/>
  <c r="L13" i="16"/>
  <c r="L18" i="16" s="1"/>
  <c r="K13" i="16"/>
  <c r="J13" i="16"/>
  <c r="J18" i="16" s="1"/>
  <c r="I13" i="16"/>
  <c r="I18" i="16" s="1"/>
  <c r="H13" i="16"/>
  <c r="H18" i="16" s="1"/>
  <c r="G13" i="16"/>
  <c r="G18" i="16" s="1"/>
  <c r="F13" i="16"/>
  <c r="E13" i="16"/>
  <c r="E18" i="16" s="1"/>
  <c r="D13" i="16"/>
  <c r="D18" i="16" s="1"/>
  <c r="L5" i="3"/>
  <c r="L6" i="3"/>
  <c r="L7" i="3"/>
  <c r="L8" i="3"/>
  <c r="L9" i="3"/>
  <c r="L10" i="3"/>
  <c r="L11" i="3"/>
  <c r="L12" i="3"/>
  <c r="L13" i="3"/>
  <c r="L14" i="3"/>
  <c r="L15" i="3"/>
  <c r="L16" i="3"/>
  <c r="J27" i="3"/>
  <c r="J26" i="3"/>
  <c r="J25" i="3"/>
  <c r="J24" i="3"/>
  <c r="J23" i="3"/>
  <c r="J22" i="3"/>
  <c r="J21" i="3"/>
  <c r="L21" i="3" s="1"/>
  <c r="J20" i="3"/>
  <c r="J19" i="3"/>
  <c r="J18" i="3"/>
  <c r="J17" i="3"/>
  <c r="H27" i="3"/>
  <c r="H26" i="3"/>
  <c r="H25" i="3"/>
  <c r="H24" i="3"/>
  <c r="H23" i="3"/>
  <c r="H22" i="3"/>
  <c r="H21" i="3"/>
  <c r="H20" i="3"/>
  <c r="H19" i="3"/>
  <c r="H18" i="3"/>
  <c r="H17" i="3"/>
  <c r="I6" i="3"/>
  <c r="I26" i="3" s="1"/>
  <c r="I7" i="3"/>
  <c r="I25" i="3" s="1"/>
  <c r="I8" i="3"/>
  <c r="I24" i="3" s="1"/>
  <c r="I9" i="3"/>
  <c r="I23" i="3" s="1"/>
  <c r="I10" i="3"/>
  <c r="I22" i="3" s="1"/>
  <c r="I11" i="3"/>
  <c r="I21" i="3" s="1"/>
  <c r="I12" i="3"/>
  <c r="I20" i="3" s="1"/>
  <c r="I13" i="3"/>
  <c r="I19" i="3" s="1"/>
  <c r="I14" i="3"/>
  <c r="I18" i="3" s="1"/>
  <c r="I15" i="3"/>
  <c r="I17" i="3" s="1"/>
  <c r="I16" i="3"/>
  <c r="D11" i="3" s="1"/>
  <c r="I5" i="3"/>
  <c r="I27" i="3" s="1"/>
  <c r="D6" i="3"/>
  <c r="L16" i="14"/>
  <c r="L15" i="14"/>
  <c r="L14" i="14"/>
  <c r="L13" i="14"/>
  <c r="L17" i="14" s="1"/>
  <c r="L12" i="14"/>
  <c r="L11" i="14"/>
  <c r="L10" i="14"/>
  <c r="L9" i="14"/>
  <c r="K17" i="14"/>
  <c r="J17" i="14"/>
  <c r="I17" i="14"/>
  <c r="H17" i="14"/>
  <c r="K8" i="14"/>
  <c r="K14" i="14"/>
  <c r="K13" i="14"/>
  <c r="K12" i="14"/>
  <c r="K10" i="14"/>
  <c r="K9" i="14"/>
  <c r="J16" i="14"/>
  <c r="K15" i="14"/>
  <c r="J14" i="14"/>
  <c r="J13" i="14"/>
  <c r="J12" i="14"/>
  <c r="J11" i="14"/>
  <c r="J10" i="14"/>
  <c r="J9" i="14"/>
  <c r="J8" i="14"/>
  <c r="I14" i="14"/>
  <c r="I13" i="14"/>
  <c r="I12" i="14"/>
  <c r="I8" i="14"/>
  <c r="I9" i="14"/>
  <c r="H14" i="14"/>
  <c r="H13" i="14"/>
  <c r="H12" i="14"/>
  <c r="H10" i="14"/>
  <c r="I10" i="14" s="1"/>
  <c r="H9" i="14"/>
  <c r="Q7" i="16"/>
  <c r="E67" i="8"/>
  <c r="N40" i="8" s="1"/>
  <c r="AB32" i="8"/>
  <c r="AB33" i="8" s="1"/>
  <c r="AB9" i="8" s="1"/>
  <c r="AB11" i="8" s="1"/>
  <c r="AA52" i="8"/>
  <c r="AA32" i="8" s="1"/>
  <c r="AA33" i="8" s="1"/>
  <c r="AA9" i="8" s="1"/>
  <c r="Z52" i="8"/>
  <c r="Z32" i="8" s="1"/>
  <c r="Z33" i="8" s="1"/>
  <c r="Z9" i="8" s="1"/>
  <c r="Y52" i="8"/>
  <c r="Y32" i="8" s="1"/>
  <c r="Y33" i="8" s="1"/>
  <c r="Y9" i="8" s="1"/>
  <c r="S32" i="8"/>
  <c r="S33" i="8" s="1"/>
  <c r="S9" i="8" s="1"/>
  <c r="X52" i="8"/>
  <c r="X32" i="8" s="1"/>
  <c r="X33" i="8" s="1"/>
  <c r="X9" i="8" s="1"/>
  <c r="AN16" i="8"/>
  <c r="W52" i="8"/>
  <c r="W32" i="8" s="1"/>
  <c r="W33" i="8" s="1"/>
  <c r="W9" i="8" s="1"/>
  <c r="V52" i="8"/>
  <c r="Q52" i="8"/>
  <c r="Q32" i="8" s="1"/>
  <c r="Q33" i="8" s="1"/>
  <c r="Q9" i="8" s="1"/>
  <c r="Q10" i="8" s="1"/>
  <c r="K45" i="8"/>
  <c r="H45" i="8"/>
  <c r="G45" i="8"/>
  <c r="AH51" i="8"/>
  <c r="AH50" i="8"/>
  <c r="AH49" i="8"/>
  <c r="AH48" i="8"/>
  <c r="AH47" i="8"/>
  <c r="AH46" i="8"/>
  <c r="AH45" i="8"/>
  <c r="AH44" i="8"/>
  <c r="AH43" i="8"/>
  <c r="AH42" i="8"/>
  <c r="AH41" i="8"/>
  <c r="AH40" i="8"/>
  <c r="AH39" i="8"/>
  <c r="AH17" i="8"/>
  <c r="AH18" i="8"/>
  <c r="AH19" i="8"/>
  <c r="AH20" i="8"/>
  <c r="AH21" i="8"/>
  <c r="AH22" i="8"/>
  <c r="AH23" i="8"/>
  <c r="AH24" i="8"/>
  <c r="AH25" i="8"/>
  <c r="AH26" i="8"/>
  <c r="AH27" i="8"/>
  <c r="AH28" i="8"/>
  <c r="AH29" i="8"/>
  <c r="AH30" i="8"/>
  <c r="AH31" i="8"/>
  <c r="AH32" i="8"/>
  <c r="AH16" i="8"/>
  <c r="AN51" i="8"/>
  <c r="AN50" i="8"/>
  <c r="AN49" i="8"/>
  <c r="AN48" i="8"/>
  <c r="AN47" i="8"/>
  <c r="AN46" i="8"/>
  <c r="AN45" i="8"/>
  <c r="AN44" i="8"/>
  <c r="AN43" i="8"/>
  <c r="AN42" i="8"/>
  <c r="AN41" i="8"/>
  <c r="AN40" i="8"/>
  <c r="AN39" i="8"/>
  <c r="AN17" i="8"/>
  <c r="AN18" i="8"/>
  <c r="AN19" i="8"/>
  <c r="AN20" i="8"/>
  <c r="AN21" i="8"/>
  <c r="AN22" i="8"/>
  <c r="AN23" i="8"/>
  <c r="AN24" i="8"/>
  <c r="AN25" i="8"/>
  <c r="AN26" i="8"/>
  <c r="AN27" i="8"/>
  <c r="AN28" i="8"/>
  <c r="AN29" i="8"/>
  <c r="AN30" i="8"/>
  <c r="AN31" i="8"/>
  <c r="AN32" i="8"/>
  <c r="AG51" i="8"/>
  <c r="AG50" i="8"/>
  <c r="AG49" i="8"/>
  <c r="AG48" i="8"/>
  <c r="AG47" i="8"/>
  <c r="AG46" i="8"/>
  <c r="AG45" i="8"/>
  <c r="AG44" i="8"/>
  <c r="AG43" i="8"/>
  <c r="AG42" i="8"/>
  <c r="AG41" i="8"/>
  <c r="AG40" i="8"/>
  <c r="AG39" i="8"/>
  <c r="AG17" i="8"/>
  <c r="AG18" i="8"/>
  <c r="AG19" i="8"/>
  <c r="AG20" i="8"/>
  <c r="AG21" i="8"/>
  <c r="AG22" i="8"/>
  <c r="AG23" i="8"/>
  <c r="AG24" i="8"/>
  <c r="AG25" i="8"/>
  <c r="AG26" i="8"/>
  <c r="AG27" i="8"/>
  <c r="AG28" i="8"/>
  <c r="AG29" i="8"/>
  <c r="AG30" i="8"/>
  <c r="AG31" i="8"/>
  <c r="AG32" i="8"/>
  <c r="AG16" i="8"/>
  <c r="AJ40" i="8"/>
  <c r="AJ43" i="8"/>
  <c r="AJ44" i="8"/>
  <c r="AJ45" i="8"/>
  <c r="AJ46" i="8"/>
  <c r="AJ48" i="8"/>
  <c r="AJ49" i="8"/>
  <c r="AJ51" i="8"/>
  <c r="J29" i="8"/>
  <c r="N26" i="8"/>
  <c r="N27" i="8"/>
  <c r="N30" i="8"/>
  <c r="D14" i="16" l="1"/>
  <c r="C17" i="16"/>
  <c r="C19" i="16"/>
  <c r="K18" i="16"/>
  <c r="F18" i="16"/>
  <c r="L24" i="3"/>
  <c r="L17" i="3"/>
  <c r="L25" i="3"/>
  <c r="L18" i="3"/>
  <c r="C11" i="3"/>
  <c r="L27" i="3"/>
  <c r="L26" i="3"/>
  <c r="L23" i="3"/>
  <c r="L22" i="3"/>
  <c r="L20" i="3"/>
  <c r="L19" i="3"/>
  <c r="AL52" i="8"/>
  <c r="Q13" i="16"/>
  <c r="Q14" i="16" s="1"/>
  <c r="Q12" i="16"/>
  <c r="V32" i="8"/>
  <c r="V33" i="8" s="1"/>
  <c r="V9" i="8" s="1"/>
  <c r="G17" i="14"/>
  <c r="M31" i="8"/>
  <c r="J31" i="8"/>
  <c r="M28" i="8"/>
  <c r="J28" i="8"/>
  <c r="M22" i="8"/>
  <c r="J22" i="8"/>
  <c r="M17" i="8"/>
  <c r="J17" i="8"/>
  <c r="M18" i="8"/>
  <c r="E142" i="8"/>
  <c r="E122" i="8"/>
  <c r="E124" i="8" s="1"/>
  <c r="E125" i="8" s="1"/>
  <c r="E89" i="8"/>
  <c r="E79" i="8"/>
  <c r="U7" i="8"/>
  <c r="E14" i="16" l="1"/>
  <c r="D17" i="16"/>
  <c r="D19" i="16"/>
  <c r="C18" i="16"/>
  <c r="Q18" i="16" s="1"/>
  <c r="L28" i="3"/>
  <c r="L29" i="3" s="1"/>
  <c r="E144" i="8"/>
  <c r="E145" i="8" s="1"/>
  <c r="N16" i="8"/>
  <c r="E130" i="8"/>
  <c r="E134" i="8" s="1"/>
  <c r="E135" i="8" s="1"/>
  <c r="N39" i="8" s="1"/>
  <c r="E167" i="8"/>
  <c r="E166" i="8"/>
  <c r="E170" i="8" s="1"/>
  <c r="F14" i="16" l="1"/>
  <c r="E17" i="16"/>
  <c r="E19" i="16"/>
  <c r="C20" i="16"/>
  <c r="C21" i="16" s="1"/>
  <c r="L30" i="3"/>
  <c r="L31" i="3" s="1"/>
  <c r="L32" i="3" s="1"/>
  <c r="L33" i="3" s="1"/>
  <c r="L34" i="3" s="1"/>
  <c r="L35" i="3" s="1"/>
  <c r="N17" i="8"/>
  <c r="N28" i="8"/>
  <c r="P28" i="8" s="1"/>
  <c r="N31" i="8"/>
  <c r="P31" i="8" s="1"/>
  <c r="E132" i="8"/>
  <c r="E136" i="8" s="1"/>
  <c r="R47" i="8"/>
  <c r="AJ47" i="8" s="1"/>
  <c r="K47" i="8"/>
  <c r="M47" i="8" s="1"/>
  <c r="M48" i="8"/>
  <c r="M42" i="8"/>
  <c r="E155" i="8"/>
  <c r="E154" i="8"/>
  <c r="J42" i="8"/>
  <c r="E111" i="8"/>
  <c r="E113" i="8" s="1"/>
  <c r="E115" i="8" s="1"/>
  <c r="E116" i="8" s="1"/>
  <c r="N42" i="8" s="1"/>
  <c r="E99" i="8"/>
  <c r="E101" i="8" s="1"/>
  <c r="E103" i="8" s="1"/>
  <c r="E88" i="8"/>
  <c r="E90" i="8" s="1"/>
  <c r="E93" i="8" s="1"/>
  <c r="E78" i="8"/>
  <c r="J18" i="8"/>
  <c r="J16" i="8"/>
  <c r="J30" i="8"/>
  <c r="J39" i="8"/>
  <c r="J51" i="8"/>
  <c r="J50" i="8"/>
  <c r="J49" i="8"/>
  <c r="J48" i="8"/>
  <c r="J46" i="8"/>
  <c r="M30" i="8"/>
  <c r="O52" i="8"/>
  <c r="U52" i="8"/>
  <c r="U32" i="8" s="1"/>
  <c r="U33" i="8" s="1"/>
  <c r="U9" i="8" s="1"/>
  <c r="AK17" i="8"/>
  <c r="AK19" i="8"/>
  <c r="AK20" i="8"/>
  <c r="AK21" i="8"/>
  <c r="AK23" i="8"/>
  <c r="AK25" i="8"/>
  <c r="AK26" i="8"/>
  <c r="AK28" i="8"/>
  <c r="M49" i="8"/>
  <c r="M39" i="8"/>
  <c r="M51" i="8"/>
  <c r="M50" i="8"/>
  <c r="M46" i="8"/>
  <c r="G14" i="16" l="1"/>
  <c r="F17" i="16"/>
  <c r="F19" i="16"/>
  <c r="D16" i="16"/>
  <c r="D20" i="16" s="1"/>
  <c r="E16" i="16" s="1"/>
  <c r="E20" i="16" s="1"/>
  <c r="E157" i="8"/>
  <c r="E80" i="8"/>
  <c r="E81" i="8" s="1"/>
  <c r="E82" i="8" s="1"/>
  <c r="N22" i="8" s="1"/>
  <c r="P22" i="8" s="1"/>
  <c r="AI22" i="8" s="1"/>
  <c r="G78" i="8"/>
  <c r="E104" i="8"/>
  <c r="N29" i="8" s="1"/>
  <c r="J47" i="8"/>
  <c r="J43" i="8"/>
  <c r="M43" i="8"/>
  <c r="AK43" i="8" s="1"/>
  <c r="E91" i="8"/>
  <c r="E92" i="8" s="1"/>
  <c r="N18" i="8" s="1"/>
  <c r="P18" i="8" s="1"/>
  <c r="AI18" i="8" s="1"/>
  <c r="K33" i="8"/>
  <c r="K9" i="8" s="1"/>
  <c r="M29" i="8"/>
  <c r="AK29" i="8" s="1"/>
  <c r="M16" i="8"/>
  <c r="I33" i="8"/>
  <c r="I9" i="8" s="1"/>
  <c r="AI28" i="8"/>
  <c r="P27" i="8"/>
  <c r="AI27" i="8" s="1"/>
  <c r="P26" i="8"/>
  <c r="AI26" i="8" s="1"/>
  <c r="P25" i="8"/>
  <c r="AI25" i="8" s="1"/>
  <c r="P24" i="8"/>
  <c r="AI24" i="8" s="1"/>
  <c r="P23" i="8"/>
  <c r="AI23" i="8" s="1"/>
  <c r="P21" i="8"/>
  <c r="AI21" i="8" s="1"/>
  <c r="P20" i="8"/>
  <c r="AI20" i="8" s="1"/>
  <c r="P19" i="8"/>
  <c r="AI19" i="8" s="1"/>
  <c r="P17" i="8"/>
  <c r="AI17" i="8" s="1"/>
  <c r="M27" i="8"/>
  <c r="AK27" i="8" s="1"/>
  <c r="AK24" i="8"/>
  <c r="AK22" i="8"/>
  <c r="AK18" i="8"/>
  <c r="P51" i="8"/>
  <c r="AI51" i="8" s="1"/>
  <c r="P50" i="8"/>
  <c r="AI50" i="8" s="1"/>
  <c r="P49" i="8"/>
  <c r="AI49" i="8" s="1"/>
  <c r="P48" i="8"/>
  <c r="AI48" i="8" s="1"/>
  <c r="P47" i="8"/>
  <c r="AI47" i="8" s="1"/>
  <c r="P46" i="8"/>
  <c r="AI46" i="8" s="1"/>
  <c r="AI44" i="8"/>
  <c r="P43" i="8"/>
  <c r="AI43" i="8" s="1"/>
  <c r="P42" i="8"/>
  <c r="AI42" i="8" s="1"/>
  <c r="P30" i="8"/>
  <c r="AI41" i="8"/>
  <c r="AI31" i="8"/>
  <c r="P40" i="8"/>
  <c r="AI40" i="8" s="1"/>
  <c r="P39" i="8"/>
  <c r="AI39" i="8" s="1"/>
  <c r="P16" i="8"/>
  <c r="P8" i="8"/>
  <c r="P7" i="8"/>
  <c r="AI7" i="8" s="1"/>
  <c r="K8" i="8"/>
  <c r="J7" i="8"/>
  <c r="M7" i="8"/>
  <c r="AK7" i="8" s="1"/>
  <c r="AK39" i="8"/>
  <c r="AM39" i="8"/>
  <c r="AL40" i="8"/>
  <c r="AM40" i="8"/>
  <c r="AM41" i="8"/>
  <c r="AM42" i="8"/>
  <c r="AL43" i="8"/>
  <c r="AM43" i="8"/>
  <c r="AK44" i="8"/>
  <c r="AL44" i="8"/>
  <c r="AM44" i="8"/>
  <c r="AL45" i="8"/>
  <c r="AL46" i="8"/>
  <c r="AM46" i="8"/>
  <c r="AK47" i="8"/>
  <c r="AL47" i="8"/>
  <c r="AM47" i="8"/>
  <c r="AK48" i="8"/>
  <c r="AL48" i="8"/>
  <c r="AM48" i="8"/>
  <c r="AK49" i="8"/>
  <c r="AM49" i="8"/>
  <c r="AL51" i="8"/>
  <c r="AH8" i="8"/>
  <c r="AH9" i="8"/>
  <c r="AH7" i="8"/>
  <c r="R50" i="8"/>
  <c r="AJ50" i="8" s="1"/>
  <c r="AJ52" i="8" s="1"/>
  <c r="AK50" i="8"/>
  <c r="AK51" i="8"/>
  <c r="AK46" i="8"/>
  <c r="P45" i="8"/>
  <c r="AK31" i="8"/>
  <c r="AK41" i="8"/>
  <c r="AK30" i="8"/>
  <c r="AK40" i="8"/>
  <c r="AK42" i="8"/>
  <c r="H14" i="16" l="1"/>
  <c r="G17" i="16"/>
  <c r="G19" i="16"/>
  <c r="D21" i="16"/>
  <c r="E161" i="8"/>
  <c r="E83" i="8"/>
  <c r="F16" i="16"/>
  <c r="F20" i="16" s="1"/>
  <c r="E21" i="16"/>
  <c r="R52" i="8"/>
  <c r="R32" i="8" s="1"/>
  <c r="R33" i="8" s="1"/>
  <c r="R9" i="8" s="1"/>
  <c r="N52" i="8"/>
  <c r="J45" i="8"/>
  <c r="AI30" i="8"/>
  <c r="P52" i="8"/>
  <c r="K10" i="8"/>
  <c r="M45" i="8"/>
  <c r="M52" i="8" s="1"/>
  <c r="M32" i="8" s="1"/>
  <c r="M33" i="8"/>
  <c r="M8" i="8"/>
  <c r="AK8" i="8" s="1"/>
  <c r="J8" i="8"/>
  <c r="AI45" i="8"/>
  <c r="AI8" i="8"/>
  <c r="T52" i="8"/>
  <c r="T32" i="8" s="1"/>
  <c r="T33" i="8" s="1"/>
  <c r="T9" i="8" s="1"/>
  <c r="AI16" i="8"/>
  <c r="I14" i="16" l="1"/>
  <c r="H17" i="16"/>
  <c r="H19" i="16"/>
  <c r="G16" i="16"/>
  <c r="G20" i="16" s="1"/>
  <c r="F21" i="16"/>
  <c r="P54" i="8"/>
  <c r="P53" i="8"/>
  <c r="AK45" i="8"/>
  <c r="AK16" i="8"/>
  <c r="P29" i="8"/>
  <c r="AI29" i="8" s="1"/>
  <c r="V10" i="8"/>
  <c r="U10" i="8"/>
  <c r="J14" i="16" l="1"/>
  <c r="I19" i="16"/>
  <c r="I17" i="16"/>
  <c r="H16" i="16"/>
  <c r="H20" i="16" s="1"/>
  <c r="G21" i="16"/>
  <c r="AK32" i="8"/>
  <c r="O33" i="8"/>
  <c r="O10" i="8" s="1"/>
  <c r="N32" i="8"/>
  <c r="P32" i="8" s="1"/>
  <c r="AI32" i="8" s="1"/>
  <c r="AI52" i="8"/>
  <c r="T10" i="8"/>
  <c r="R10" i="8"/>
  <c r="K14" i="16" l="1"/>
  <c r="J17" i="16"/>
  <c r="J19" i="16"/>
  <c r="I16" i="16"/>
  <c r="I20" i="16" s="1"/>
  <c r="H21" i="16"/>
  <c r="P33" i="8"/>
  <c r="AI33" i="8" s="1"/>
  <c r="N33" i="8"/>
  <c r="AK52" i="8"/>
  <c r="L14" i="16" l="1"/>
  <c r="K19" i="16"/>
  <c r="K17" i="16"/>
  <c r="J16" i="16"/>
  <c r="J20" i="16" s="1"/>
  <c r="I21" i="16"/>
  <c r="N9" i="8"/>
  <c r="P9" i="8" s="1"/>
  <c r="AI9" i="8" s="1"/>
  <c r="N34" i="8"/>
  <c r="M14" i="16" l="1"/>
  <c r="L19" i="16"/>
  <c r="L17" i="16"/>
  <c r="K16" i="16"/>
  <c r="K20" i="16" s="1"/>
  <c r="J21" i="16"/>
  <c r="N10" i="8"/>
  <c r="P10" i="8"/>
  <c r="P11" i="8" s="1"/>
  <c r="AK33" i="8"/>
  <c r="M9" i="8"/>
  <c r="N14" i="16" l="1"/>
  <c r="M17" i="16"/>
  <c r="M19" i="16"/>
  <c r="L16" i="16"/>
  <c r="L20" i="16" s="1"/>
  <c r="K21" i="16"/>
  <c r="AI10" i="8"/>
  <c r="AK9" i="8"/>
  <c r="M10" i="8"/>
  <c r="AK10" i="8" s="1"/>
  <c r="C7" i="3"/>
  <c r="D7" i="3"/>
  <c r="D12" i="3" s="1"/>
  <c r="D18" i="3"/>
  <c r="D20" i="3"/>
  <c r="O14" i="16" l="1"/>
  <c r="N17" i="16"/>
  <c r="N19" i="16"/>
  <c r="M16" i="16"/>
  <c r="M20" i="16" s="1"/>
  <c r="L21" i="16"/>
  <c r="D13" i="3"/>
  <c r="D21" i="3" s="1"/>
  <c r="F12" i="1"/>
  <c r="F13" i="1" s="1"/>
  <c r="F16" i="1"/>
  <c r="F19" i="1" s="1"/>
  <c r="F11" i="1"/>
  <c r="F14" i="1" s="1"/>
  <c r="E12" i="1"/>
  <c r="E16" i="1"/>
  <c r="E17" i="1" s="1"/>
  <c r="E18" i="1" s="1"/>
  <c r="E11" i="1"/>
  <c r="P14" i="16" l="1"/>
  <c r="O17" i="16"/>
  <c r="O19" i="16"/>
  <c r="E14" i="1"/>
  <c r="N16" i="16"/>
  <c r="N20" i="16" s="1"/>
  <c r="M21" i="16"/>
  <c r="D22" i="3"/>
  <c r="E23" i="1"/>
  <c r="E32" i="1" s="1"/>
  <c r="F17" i="1"/>
  <c r="F18" i="1" s="1"/>
  <c r="E13" i="1"/>
  <c r="E19" i="1"/>
  <c r="Q15" i="16" l="1"/>
  <c r="P19" i="16"/>
  <c r="Q19" i="16" s="1"/>
  <c r="P17" i="16"/>
  <c r="E29" i="1"/>
  <c r="E30" i="1" s="1"/>
  <c r="E31" i="1" s="1"/>
  <c r="O16" i="16"/>
  <c r="O20" i="16" s="1"/>
  <c r="N21" i="16"/>
  <c r="E24" i="1"/>
  <c r="E25" i="1"/>
  <c r="E26" i="1" l="1"/>
  <c r="E27" i="1" s="1"/>
  <c r="E28" i="1" s="1"/>
  <c r="F28" i="1" s="1"/>
  <c r="P16" i="16"/>
  <c r="P20" i="16" s="1"/>
  <c r="O21" i="16"/>
  <c r="J28" i="3"/>
  <c r="J29" i="3" s="1"/>
  <c r="E33" i="1"/>
  <c r="E34" i="1" s="1"/>
  <c r="P21" i="16" l="1"/>
  <c r="W10" i="8" l="1"/>
  <c r="C12" i="3" l="1"/>
  <c r="C13" i="3" s="1"/>
  <c r="E7" i="16" l="1"/>
  <c r="E9" i="16" s="1"/>
  <c r="E10" i="16" l="1"/>
  <c r="F7" i="16" s="1"/>
  <c r="F9" i="16" s="1"/>
  <c r="F10" i="16" l="1"/>
  <c r="G7" i="16" s="1"/>
  <c r="G9" i="16" s="1"/>
  <c r="G10" i="16" l="1"/>
  <c r="H7" i="16" s="1"/>
  <c r="H9" i="16" s="1"/>
  <c r="H10" i="16" l="1"/>
  <c r="I7" i="16" s="1"/>
  <c r="I9" i="16" s="1"/>
  <c r="I10" i="16" l="1"/>
  <c r="J7" i="16" s="1"/>
  <c r="J9" i="16" s="1"/>
  <c r="J10" i="16" l="1"/>
  <c r="K7" i="16" s="1"/>
  <c r="K9" i="16" s="1"/>
  <c r="K10" i="16" l="1"/>
  <c r="L7" i="16" s="1"/>
  <c r="L9" i="16" s="1"/>
  <c r="L10" i="16" l="1"/>
  <c r="M7" i="16" s="1"/>
  <c r="M9" i="16" s="1"/>
  <c r="M10" i="16" l="1"/>
  <c r="N7" i="16" s="1"/>
  <c r="N9" i="16" s="1"/>
  <c r="N10" i="16" l="1"/>
  <c r="O7" i="16" s="1"/>
  <c r="O9" i="16" s="1"/>
  <c r="O10" i="16" l="1"/>
  <c r="P7" i="16" s="1"/>
  <c r="P9" i="16" s="1"/>
  <c r="P10" i="16" l="1"/>
</calcChain>
</file>

<file path=xl/sharedStrings.xml><?xml version="1.0" encoding="utf-8"?>
<sst xmlns="http://schemas.openxmlformats.org/spreadsheetml/2006/main" count="901" uniqueCount="425">
  <si>
    <t>Earth</t>
  </si>
  <si>
    <t>Sun</t>
  </si>
  <si>
    <t>u</t>
  </si>
  <si>
    <t>Equatorial Radius</t>
  </si>
  <si>
    <t>Period</t>
  </si>
  <si>
    <t>AU</t>
  </si>
  <si>
    <t>a (semi-major axis)</t>
  </si>
  <si>
    <t>Satellite Altitude</t>
  </si>
  <si>
    <t>Satellite Orbit (centre of mass)</t>
  </si>
  <si>
    <t>m3/s2</t>
  </si>
  <si>
    <t xml:space="preserve">m  </t>
  </si>
  <si>
    <t>m</t>
  </si>
  <si>
    <t>s</t>
  </si>
  <si>
    <t>m/s</t>
  </si>
  <si>
    <t>Satellite Period</t>
  </si>
  <si>
    <t>Perigee - closest point in orbit to centre of mass</t>
  </si>
  <si>
    <t>Apogee - furthest point in orbit to centre of mass</t>
  </si>
  <si>
    <t>Satellite Period (mins)</t>
  </si>
  <si>
    <t>mins</t>
  </si>
  <si>
    <t>Satellite Speed (at perigee/apogee*)</t>
  </si>
  <si>
    <t>*Circular Orbits Only</t>
  </si>
  <si>
    <t>Transfer Ellipse Vp</t>
  </si>
  <si>
    <t>Transfer Ellipse Period</t>
  </si>
  <si>
    <t>years</t>
  </si>
  <si>
    <t>Transfer Ellipse Period (years)</t>
  </si>
  <si>
    <t>Period (years)</t>
  </si>
  <si>
    <t>Transfer Semi-Major Axis (Ta)</t>
  </si>
  <si>
    <t>Transfer Time</t>
  </si>
  <si>
    <t>Destination (a)</t>
  </si>
  <si>
    <t>Vx (planet orbit velocity)</t>
  </si>
  <si>
    <t>Delta V1</t>
  </si>
  <si>
    <t>Delta V2</t>
  </si>
  <si>
    <t>Delta V1 - Earth Component</t>
  </si>
  <si>
    <t>Delta V2 - Destination Component</t>
  </si>
  <si>
    <t>Delta V1 - V (After Burn) Component</t>
  </si>
  <si>
    <t>Delta V2 - (Pre Burn) Component</t>
  </si>
  <si>
    <t>*Co-planar Orbits</t>
  </si>
  <si>
    <t>*No consideration of start time (launch window)</t>
  </si>
  <si>
    <t>*Radius are equatorial</t>
  </si>
  <si>
    <t>Venus</t>
  </si>
  <si>
    <t>Earth - Venus</t>
  </si>
  <si>
    <t>K</t>
  </si>
  <si>
    <t>W</t>
  </si>
  <si>
    <t>m2</t>
  </si>
  <si>
    <t>kg</t>
  </si>
  <si>
    <t>db</t>
  </si>
  <si>
    <t>Shape</t>
  </si>
  <si>
    <t>dBHz</t>
  </si>
  <si>
    <t>dBW</t>
  </si>
  <si>
    <t>Transmitter Power</t>
  </si>
  <si>
    <t>dBK</t>
  </si>
  <si>
    <t>Tsys</t>
  </si>
  <si>
    <t>dB (W/K/Hz)</t>
  </si>
  <si>
    <t>Boltzmann Constant</t>
  </si>
  <si>
    <t>System Loss</t>
  </si>
  <si>
    <t>[From SSE Figure 12.10]</t>
  </si>
  <si>
    <t>La Atmospheric Loss</t>
  </si>
  <si>
    <t xml:space="preserve">Ls Convert to db </t>
  </si>
  <si>
    <t>Ls Free Space Loss [SSE Equation 12.22]</t>
  </si>
  <si>
    <t>Antenna Separation</t>
  </si>
  <si>
    <t>η Aperture Efficiency [SSE Equation 12.16]</t>
  </si>
  <si>
    <t xml:space="preserve">m </t>
  </si>
  <si>
    <t>λ (Wavelength)</t>
  </si>
  <si>
    <t>Hz</t>
  </si>
  <si>
    <t>f (Frequency)</t>
  </si>
  <si>
    <t>C (speed of radio wave in vacuum)</t>
  </si>
  <si>
    <t>Units</t>
  </si>
  <si>
    <t>Component</t>
  </si>
  <si>
    <t xml:space="preserve">Manufacturer </t>
  </si>
  <si>
    <t>Reference</t>
  </si>
  <si>
    <t>Part No.</t>
  </si>
  <si>
    <t>Total Mass 
(Kg)</t>
  </si>
  <si>
    <t>Height 
(m)</t>
  </si>
  <si>
    <t>Width 
(m)</t>
  </si>
  <si>
    <t>Length 
(m)</t>
  </si>
  <si>
    <t>Power Demand - Sleep
(W)</t>
  </si>
  <si>
    <t>Power Demand - Active
(W)</t>
  </si>
  <si>
    <t>Component Specific</t>
  </si>
  <si>
    <t>Product Name</t>
  </si>
  <si>
    <t>N/A</t>
  </si>
  <si>
    <t>Min Temp
(oC)</t>
  </si>
  <si>
    <t>Max Temp
(oC)</t>
  </si>
  <si>
    <t>Supply Voltage</t>
  </si>
  <si>
    <t>Interface</t>
  </si>
  <si>
    <t>Helical Communications Technologies</t>
  </si>
  <si>
    <t>RF Gain
(dBi)</t>
  </si>
  <si>
    <t>RF Power
(W)</t>
  </si>
  <si>
    <t>Coaxial (to Transceiver)</t>
  </si>
  <si>
    <t>Serial UART (Coaxial to Antenna)</t>
  </si>
  <si>
    <t>(-)3dB Beamwidth
(Degrees)</t>
  </si>
  <si>
    <t>5 v</t>
  </si>
  <si>
    <t>AAC Clyde Space</t>
  </si>
  <si>
    <t>Mass - Fuel 
(Kg)</t>
  </si>
  <si>
    <t>Power Generation
(W) Max Sun Facing</t>
  </si>
  <si>
    <t>Power Supply
(W) Battery</t>
  </si>
  <si>
    <t>Product Breakdown Structure &amp; Component Data Sheet</t>
  </si>
  <si>
    <t>Mass - Dry
(Kg)</t>
  </si>
  <si>
    <t>DIMENSIONS</t>
  </si>
  <si>
    <t>MASS</t>
  </si>
  <si>
    <t>ENVIRONMENTAL</t>
  </si>
  <si>
    <t>COMMUNICATIONS RF</t>
  </si>
  <si>
    <t>DATA STORAGE</t>
  </si>
  <si>
    <t xml:space="preserve">CONNECTIVTY </t>
  </si>
  <si>
    <t>NOTES</t>
  </si>
  <si>
    <t>PART DATA</t>
  </si>
  <si>
    <t>ELECTRICAL POWER</t>
  </si>
  <si>
    <t>Heritage QHA (Request UHF model)</t>
  </si>
  <si>
    <t>QHA (UHF)</t>
  </si>
  <si>
    <t>Report Formatting</t>
  </si>
  <si>
    <t xml:space="preserve">(Manufacturer)  </t>
  </si>
  <si>
    <t xml:space="preserve">Mass </t>
  </si>
  <si>
    <t>(kg)</t>
  </si>
  <si>
    <t xml:space="preserve">Power </t>
  </si>
  <si>
    <t>Volume</t>
  </si>
  <si>
    <t>Temp</t>
  </si>
  <si>
    <t>m3</t>
  </si>
  <si>
    <t xml:space="preserve">min/max </t>
  </si>
  <si>
    <t>Total</t>
  </si>
  <si>
    <t>`</t>
  </si>
  <si>
    <t>Diameter
(m)</t>
  </si>
  <si>
    <t>Airbus</t>
  </si>
  <si>
    <t>Astro-BATT</t>
  </si>
  <si>
    <t>Radiation</t>
  </si>
  <si>
    <t>Max Rads</t>
  </si>
  <si>
    <t>Max Launch Mass</t>
  </si>
  <si>
    <t>Remaining Budget</t>
  </si>
  <si>
    <t>Max Static Lift Mass</t>
  </si>
  <si>
    <t>Property and Equation</t>
  </si>
  <si>
    <t>Entry Probe</t>
  </si>
  <si>
    <t>Orbiter and Entry Probe</t>
  </si>
  <si>
    <t>Venus Express Bus</t>
  </si>
  <si>
    <t>Entry Probe Interface (10% allowance in mass/space)</t>
  </si>
  <si>
    <t>ESA</t>
  </si>
  <si>
    <t>Study</t>
  </si>
  <si>
    <t>Entry Probe [See sub-table]</t>
  </si>
  <si>
    <t>Back Shell</t>
  </si>
  <si>
    <t>Manufacturer</t>
  </si>
  <si>
    <t>Science Instrument</t>
  </si>
  <si>
    <t>Transceiver</t>
  </si>
  <si>
    <t>Power Distribution</t>
  </si>
  <si>
    <t>Aerial</t>
  </si>
  <si>
    <t>Environmental Sensors</t>
  </si>
  <si>
    <t>Surface Area</t>
  </si>
  <si>
    <t>In-Situ Craft</t>
  </si>
  <si>
    <t xml:space="preserve">Total </t>
  </si>
  <si>
    <t>Venus Express (as Comparator)</t>
  </si>
  <si>
    <t>Product Name and/or Comparator/Concept</t>
  </si>
  <si>
    <t>Concept</t>
  </si>
  <si>
    <t>Volume is 'used space'</t>
  </si>
  <si>
    <t>Cylinder</t>
  </si>
  <si>
    <r>
      <t>Volume 
(m</t>
    </r>
    <r>
      <rPr>
        <b/>
        <vertAlign val="superscript"/>
        <sz val="9"/>
        <color theme="1"/>
        <rFont val="Calibri"/>
        <family val="2"/>
        <scheme val="minor"/>
      </rPr>
      <t>3</t>
    </r>
    <r>
      <rPr>
        <b/>
        <sz val="9"/>
        <color theme="1"/>
        <rFont val="Calibri"/>
        <family val="2"/>
        <scheme val="minor"/>
      </rPr>
      <t>)</t>
    </r>
  </si>
  <si>
    <r>
      <t>Surface Area (m</t>
    </r>
    <r>
      <rPr>
        <b/>
        <vertAlign val="superscript"/>
        <sz val="9"/>
        <color theme="1"/>
        <rFont val="Calibri"/>
        <family val="2"/>
        <scheme val="minor"/>
      </rPr>
      <t>2</t>
    </r>
    <r>
      <rPr>
        <b/>
        <sz val="9"/>
        <color theme="1"/>
        <rFont val="Calibri"/>
        <family val="2"/>
        <scheme val="minor"/>
      </rPr>
      <t>)</t>
    </r>
  </si>
  <si>
    <t>Cyl./Blunt. Cone</t>
  </si>
  <si>
    <t>Inertial Measurement Unit</t>
  </si>
  <si>
    <t>ORIGIN (Concept)</t>
  </si>
  <si>
    <t>Demand/Supply Voltage</t>
  </si>
  <si>
    <t>30 - 50 v</t>
  </si>
  <si>
    <t>JPL (As Comparator)</t>
  </si>
  <si>
    <t xml:space="preserve">Dacron </t>
  </si>
  <si>
    <t>g/cm3</t>
  </si>
  <si>
    <t>Thickness</t>
  </si>
  <si>
    <t>Diameter</t>
  </si>
  <si>
    <t xml:space="preserve">Material </t>
  </si>
  <si>
    <t>Mass</t>
  </si>
  <si>
    <t>Semi-Sphere</t>
  </si>
  <si>
    <t>Dacron</t>
  </si>
  <si>
    <t>mm</t>
  </si>
  <si>
    <t>Packing Volume (30% extra)</t>
  </si>
  <si>
    <t>Material Volume</t>
  </si>
  <si>
    <t>kg/m3</t>
  </si>
  <si>
    <t>Material</t>
  </si>
  <si>
    <t>Aluminium</t>
  </si>
  <si>
    <t>Height</t>
  </si>
  <si>
    <t>Material Density</t>
  </si>
  <si>
    <t>Supporting Calculations and Assumptions</t>
  </si>
  <si>
    <t>Assumptions</t>
  </si>
  <si>
    <t>1. Dacron as parachute material with density:</t>
  </si>
  <si>
    <t>2. Aluminium as structure material with density:</t>
  </si>
  <si>
    <t>Additional Packing Volume</t>
  </si>
  <si>
    <t>Additional structure material</t>
  </si>
  <si>
    <t>Structure Mass (100% Extra)</t>
  </si>
  <si>
    <t>4. Additional material for internal structure to skin mass</t>
  </si>
  <si>
    <t>5. Spacecraft skin material thickness (ESA standard)</t>
  </si>
  <si>
    <t>Skin Thickness</t>
  </si>
  <si>
    <t>Notes</t>
  </si>
  <si>
    <t>3. Additional chute volume for packing material</t>
  </si>
  <si>
    <t>Main Chute Calculations</t>
  </si>
  <si>
    <t>Drogue Chute Calculations</t>
  </si>
  <si>
    <t>Probe Structure Calculations</t>
  </si>
  <si>
    <t>Gondola Structure Calculations</t>
  </si>
  <si>
    <t>Cylinder Sizing</t>
  </si>
  <si>
    <t>PBS ID</t>
  </si>
  <si>
    <t>AI TECH</t>
  </si>
  <si>
    <t>3.3 V</t>
  </si>
  <si>
    <t>SP0-S / E902</t>
  </si>
  <si>
    <t>PowerPC SBC /  CompactCPI Enclosure</t>
  </si>
  <si>
    <t>Cuboid</t>
  </si>
  <si>
    <t>S990</t>
  </si>
  <si>
    <t>Radiation Tolerant Memory Module (1 GB)</t>
  </si>
  <si>
    <t>1 GB NAND Flash</t>
  </si>
  <si>
    <t>1 GB Non-Volatile</t>
  </si>
  <si>
    <t>cPCI</t>
  </si>
  <si>
    <t xml:space="preserve">cPCI, RS422, 100/1000BaseT </t>
  </si>
  <si>
    <t>University of Bern</t>
  </si>
  <si>
    <t>Honeywell Aerospace</t>
  </si>
  <si>
    <t>N61-1613-000-000 I</t>
  </si>
  <si>
    <t>28 - 100 v</t>
  </si>
  <si>
    <t>Absolute and Differential Pressure Sensors</t>
  </si>
  <si>
    <t>Sierra Space Corporation</t>
  </si>
  <si>
    <t>RS485</t>
  </si>
  <si>
    <t>0 - 5 v</t>
  </si>
  <si>
    <t>Teflon</t>
  </si>
  <si>
    <t>kg/m2</t>
  </si>
  <si>
    <t>Balloon Calculations</t>
  </si>
  <si>
    <t>Sphere</t>
  </si>
  <si>
    <t>Structure Mass (22% Extra)</t>
  </si>
  <si>
    <t>28 v</t>
  </si>
  <si>
    <t>Backshell Calculations</t>
  </si>
  <si>
    <t>Disc</t>
  </si>
  <si>
    <t>Cylindrical Tube</t>
  </si>
  <si>
    <t>Structure Mass (50% Extra)</t>
  </si>
  <si>
    <t>Pyrotechnic Bolt Calculations</t>
  </si>
  <si>
    <t>Length</t>
  </si>
  <si>
    <t>Stainless Steel</t>
  </si>
  <si>
    <t>Wiring Allowance (50%)</t>
  </si>
  <si>
    <t>4A to initiate release</t>
  </si>
  <si>
    <t>Packing Mass (100% Extra)</t>
  </si>
  <si>
    <t>(minimum 4kg for mortar element)</t>
  </si>
  <si>
    <t>Parachute Mortar</t>
  </si>
  <si>
    <t>Hollow Cylinder</t>
  </si>
  <si>
    <t>Noting shell is 0.1m in height, requires banding and rigidity structure</t>
  </si>
  <si>
    <t>1.5 / 1.3</t>
  </si>
  <si>
    <t>Pioneer Venus Heat Shield (as Comparator)</t>
  </si>
  <si>
    <t>Blunt Cone</t>
  </si>
  <si>
    <t xml:space="preserve">Heat Shield </t>
  </si>
  <si>
    <t>kg (50.5km / 6m diameter helium super-pressure balloon)</t>
  </si>
  <si>
    <t>kg /m2</t>
  </si>
  <si>
    <t>kg (47.5km / 6m diameter helium super-pressure balloon)</t>
  </si>
  <si>
    <t>v</t>
  </si>
  <si>
    <t>Operating Voltage</t>
  </si>
  <si>
    <t>STARBUCK-MINI</t>
  </si>
  <si>
    <t>Power Conditioning &amp; Distribution Units</t>
  </si>
  <si>
    <t>20 krad</t>
  </si>
  <si>
    <t>allowance</t>
  </si>
  <si>
    <t xml:space="preserve">15% of mass </t>
  </si>
  <si>
    <t xml:space="preserve">Provision </t>
  </si>
  <si>
    <t>Electrical drive signal only</t>
  </si>
  <si>
    <t>Measuring</t>
  </si>
  <si>
    <t>Battery</t>
  </si>
  <si>
    <t>Cylinder (Tube)</t>
  </si>
  <si>
    <t>X</t>
  </si>
  <si>
    <t>JPL</t>
  </si>
  <si>
    <t>(W)</t>
  </si>
  <si>
    <t>ND</t>
  </si>
  <si>
    <t>RS422</t>
  </si>
  <si>
    <t>BD</t>
  </si>
  <si>
    <t>Back Shell Release inc. 4 pyrotechnic bolts</t>
  </si>
  <si>
    <t>Drogue Chute Release Mechanism/Mortar [included in 3]</t>
  </si>
  <si>
    <t>Drogue Chute Tethering [included in 3]</t>
  </si>
  <si>
    <t>PBS</t>
  </si>
  <si>
    <t>#</t>
  </si>
  <si>
    <t>Drogue Chute Tethering Release [included in 3]</t>
  </si>
  <si>
    <t>Main Chute Release [included in 7]</t>
  </si>
  <si>
    <t>Drogue Chute Packed in Canister</t>
  </si>
  <si>
    <t>Main Chute Packed in Canister</t>
  </si>
  <si>
    <t>Super-pressure Balloon Packed in Canister</t>
  </si>
  <si>
    <t>Main Chute Tethering [included in 7]</t>
  </si>
  <si>
    <t>Main Chute Tethering Release [included in 7]</t>
  </si>
  <si>
    <t>Heat Shield Release inc. 4 pyrotechnic bolts</t>
  </si>
  <si>
    <t>Probe Structure &amp; Wiring</t>
  </si>
  <si>
    <t>Lifting Gas Canisters &amp; Lifting Gas x 8</t>
  </si>
  <si>
    <t>Canister Release inc. 8 pyrotechnic bolts</t>
  </si>
  <si>
    <t>In-Situ Craft contained within Entry Probe</t>
  </si>
  <si>
    <t>Inflation Control x 8 Solenoid Valves [included in 17]</t>
  </si>
  <si>
    <t>Balloon Tethering [included in 17]</t>
  </si>
  <si>
    <t>Gondola Structure &amp; Wiring</t>
  </si>
  <si>
    <t>Mission Computer &amp; PCI Enclosure</t>
  </si>
  <si>
    <t>Data Storage [included in 21]</t>
  </si>
  <si>
    <t>Active mating components and release control within Bus Orbiter.</t>
  </si>
  <si>
    <t>Balloon is packed in canister with integrated release system.</t>
  </si>
  <si>
    <t>Assume aluminium 2mm thick skin with % allowance for supporting structures.</t>
  </si>
  <si>
    <t>Miniature Inertial Measurement Unit</t>
  </si>
  <si>
    <t>Non-pressurised space craft / ballast for CofG alignment not considered, assuming placement and adjustments to location of primary sub-systems can satisfy this.</t>
  </si>
  <si>
    <t xml:space="preserve">Aluminium </t>
  </si>
  <si>
    <t>L-3 Harris</t>
  </si>
  <si>
    <t>C/TT-510 ELECTRA-LITE</t>
  </si>
  <si>
    <t>MARS UHF TRANSCEIVER</t>
  </si>
  <si>
    <t>22 - 36 V</t>
  </si>
  <si>
    <t>A</t>
  </si>
  <si>
    <t>B</t>
  </si>
  <si>
    <t>C</t>
  </si>
  <si>
    <t>PBS ID
C.X</t>
  </si>
  <si>
    <t>Limited operating temperature range (for max power drive)</t>
  </si>
  <si>
    <t>Spatial estimate is based on Venus Life Finder mission estimates.</t>
  </si>
  <si>
    <t>Environmental sensor limited to static and dynamic pressure monitoring.</t>
  </si>
  <si>
    <t>Included in Balloon spatial and mass estimates.</t>
  </si>
  <si>
    <t>Small form factor cPCI enclosure with 2 cards (main computer and memory).</t>
  </si>
  <si>
    <t>Memory is 1 GB radiation hardened non-volatile for reliability.</t>
  </si>
  <si>
    <t>Requires 'surge' power to burn aerial through retention lines (20 seconds)</t>
  </si>
  <si>
    <t>UHF 435 to 450 MHz tenable (56 kHz steps) 10 Mbps Tx max rate.</t>
  </si>
  <si>
    <t>Power distribution does not include wiring (included in canister estimates).</t>
  </si>
  <si>
    <t>Inertial measurement is critical component of entry monitoring, hence separate unit.</t>
  </si>
  <si>
    <t>Radiation TID 
krad</t>
  </si>
  <si>
    <t>Notes (for Report)</t>
  </si>
  <si>
    <t>Dacron at density of 1.38 g/cm3 has been assumed as the parachute material.</t>
  </si>
  <si>
    <t>In-situ gondola structure assumed as aluminium with 2.7 g/cm3 density.</t>
  </si>
  <si>
    <t>Spatial provision for packing, canister and protective bag elements and mortar assumed to be 30% of parachure volume.</t>
  </si>
  <si>
    <t>Mass provision for wiring, fasteners and other structural elements to canister skin mass assumed to be 100%.</t>
  </si>
  <si>
    <t>Mninimum mass for any parachute assumption is 4kg to accommodate mortar mass.</t>
  </si>
  <si>
    <t>ORIGIN instrument operating voltage, given tailoring required and limited information, assume nominal value consistent with other instruments (such as IMU) at 28 V.</t>
  </si>
  <si>
    <t>In the absence of thermal modelling, heath shield mass is assumed to be 15% of total entry mass.</t>
  </si>
  <si>
    <t>Bus orbiter interface elements within mass of Entry Probe assumed to be 20 kg with all active separation mass within Bus Orbiter.</t>
  </si>
  <si>
    <t>6. Gondola skin thickness.</t>
  </si>
  <si>
    <t>7. Minimum of parachute mortar mass</t>
  </si>
  <si>
    <t>8. Inflation valves (8 required), cabling and pipework</t>
  </si>
  <si>
    <t xml:space="preserve">9. ORIGIN instrument voltage </t>
  </si>
  <si>
    <t>10. Heat Shield Sizing 10% of mass Pioneer Venus</t>
  </si>
  <si>
    <t>12. Bus Orbiter Interface assume only non-active mating ring</t>
  </si>
  <si>
    <t>13. CofG alignment, ballast and pressurisation</t>
  </si>
  <si>
    <t>14. Heating not considered</t>
  </si>
  <si>
    <t>Material  / Item</t>
  </si>
  <si>
    <t>Value</t>
  </si>
  <si>
    <t>Heating not considered, as power from Bus Orbiter, small and within probe.</t>
  </si>
  <si>
    <t>15. Lifting Gas Cylinder sizing</t>
  </si>
  <si>
    <t>Data Storage
(GB)</t>
  </si>
  <si>
    <t xml:space="preserve">22 - 34 V </t>
  </si>
  <si>
    <t>8 Valves + 20% cabling</t>
  </si>
  <si>
    <t>Orbital Pass</t>
  </si>
  <si>
    <t>VACCO</t>
  </si>
  <si>
    <t>V1E10560-01</t>
  </si>
  <si>
    <t>3/8” HIGH PRESSURE LATCH VALVE</t>
  </si>
  <si>
    <t>22 - 32 V</t>
  </si>
  <si>
    <t>Valves based on VACCO latching solenoid valves of mass 0.8kg. Cylinders compressed at 350 bar require pressure reducing valve deliver max 310 bar to protect solenoid valve. Power derived from similar VACCO valve V1E10763-01 of same dielectric strength.</t>
  </si>
  <si>
    <t>In-situ gondala skin material thickness assumed to be 2mm.</t>
  </si>
  <si>
    <t>Spacecraft skin material thickness assumed to be 4.8 mm.</t>
  </si>
  <si>
    <t>Inflation
[423 Seconds]</t>
  </si>
  <si>
    <t>Transmitting
[17 mins per 101 mins]</t>
  </si>
  <si>
    <t>Power Modes (W)</t>
  </si>
  <si>
    <t>Initial
Base Load</t>
  </si>
  <si>
    <t>Measuring
&amp; Transmitting</t>
  </si>
  <si>
    <t>Power
Demand</t>
  </si>
  <si>
    <t xml:space="preserve">Inflation Control x 8 Solenoid Valves </t>
  </si>
  <si>
    <t xml:space="preserve"> - </t>
  </si>
  <si>
    <t>65 degrees at 50.5 km</t>
  </si>
  <si>
    <t>Half duplex</t>
  </si>
  <si>
    <t>bps</t>
  </si>
  <si>
    <t>Mbps</t>
  </si>
  <si>
    <t>Bus Orbiter (Receiver)</t>
  </si>
  <si>
    <t>In-Situ Craft (Transmitter)</t>
  </si>
  <si>
    <t>MB</t>
  </si>
  <si>
    <t>Bits</t>
  </si>
  <si>
    <t>Bytes</t>
  </si>
  <si>
    <t>GB</t>
  </si>
  <si>
    <t>Start Minute (In-Situ Mission)</t>
  </si>
  <si>
    <t>Tx Total Time (Mins)</t>
  </si>
  <si>
    <t>Tx End Minute (In-Situ Mission)</t>
  </si>
  <si>
    <t>End Minute Orbital Pass</t>
  </si>
  <si>
    <t>Mins</t>
  </si>
  <si>
    <t>(Total)</t>
  </si>
  <si>
    <t>(Instrumentation Data)</t>
  </si>
  <si>
    <t>Capacity per Orbital Pass (GB)</t>
  </si>
  <si>
    <t>Budget for Instrumentation (GB)</t>
  </si>
  <si>
    <t>Instrumentation Rate (GB/min)</t>
  </si>
  <si>
    <t>Available Storage (GB) Orbit Start</t>
  </si>
  <si>
    <t>Available Storage (GB) Orbit End</t>
  </si>
  <si>
    <t>Transmitted Data (GB)</t>
  </si>
  <si>
    <t>Data Used Orbit End (GB)</t>
  </si>
  <si>
    <t>Data Used Orbital Pass End (GB)</t>
  </si>
  <si>
    <t>(1) Assume data is 'freed' after transmission to Bus Orbiter</t>
  </si>
  <si>
    <t>(2) Assume 1.5 GB of the 3 GB available is for the Meausurement Data</t>
  </si>
  <si>
    <t>Used Storage</t>
  </si>
  <si>
    <t xml:space="preserve">2.024 Mbps Useable </t>
  </si>
  <si>
    <t>GB/min</t>
  </si>
  <si>
    <t>(Less on 1st pass as accumulating data to transmit)</t>
  </si>
  <si>
    <t>(GBytes/Second Data Rate)</t>
  </si>
  <si>
    <t>KB/s</t>
  </si>
  <si>
    <t>-</t>
  </si>
  <si>
    <t>Requires 4 A to initiate pyrotechnic, drive signal only.</t>
  </si>
  <si>
    <t>Chute canister all in one system; mortar, chute and tethering.</t>
  </si>
  <si>
    <t>Aluminium 4.8 mm sheet 100 % uplift for supporting structures.</t>
  </si>
  <si>
    <t>Heat Shield assumed 15 % of total Entry Probe mass.</t>
  </si>
  <si>
    <t>Based on BoC standard 72 kg Helium canister  (BOC, 2025) at 300 bar re-sized for mission to 60 kg and 350 bar</t>
  </si>
  <si>
    <t>Total solenoid drive is &gt;160 Watts over balloon inflation period for all 8 valves.</t>
  </si>
  <si>
    <t>Antenna G Convert to db (10 log10)</t>
  </si>
  <si>
    <t>C/No Telecommunications Link Budget Equation</t>
  </si>
  <si>
    <t xml:space="preserve"> [From SSE Equation 12.21]</t>
  </si>
  <si>
    <t>Tsys convert to (dbK)</t>
  </si>
  <si>
    <t>Data Rate</t>
  </si>
  <si>
    <t xml:space="preserve">Bus Orbiter Non-active Mating Structure </t>
  </si>
  <si>
    <t>Antenna Gain</t>
  </si>
  <si>
    <t>Transmitter Power (dBW)</t>
  </si>
  <si>
    <t>Cylinders compressed at 350 bar would need a pressure reducing valve deliver outlet pressure at max 310 bar.</t>
  </si>
  <si>
    <t>Separation (km)</t>
  </si>
  <si>
    <t>Separation (m)</t>
  </si>
  <si>
    <t>Max Rate Tx Rate (bps)</t>
  </si>
  <si>
    <t>Totals</t>
  </si>
  <si>
    <t>Total (66% useful)</t>
  </si>
  <si>
    <t>Total (Orbital Pass)</t>
  </si>
  <si>
    <t>Total (All Orbital Passes)</t>
  </si>
  <si>
    <t>Total GB</t>
  </si>
  <si>
    <t>Earth - Venus Transfer - Hohmann Transfer Calculation</t>
  </si>
  <si>
    <t>Constant / Parameter</t>
  </si>
  <si>
    <t>Constant</t>
  </si>
  <si>
    <t>Mbits in 18.7 minutes</t>
  </si>
  <si>
    <t>Mbits in 14 Orbital Passes</t>
  </si>
  <si>
    <t>Days</t>
  </si>
  <si>
    <t>Communications Link Budget Calculations</t>
  </si>
  <si>
    <t>Gas Volume (Expanded)</t>
  </si>
  <si>
    <t>Canister Mass</t>
  </si>
  <si>
    <t>Canister Areal Mass</t>
  </si>
  <si>
    <t>BOC (Comparator)</t>
  </si>
  <si>
    <t>Pressure</t>
  </si>
  <si>
    <t>bar</t>
  </si>
  <si>
    <t>Mass of Air</t>
  </si>
  <si>
    <t>Cansisters</t>
  </si>
  <si>
    <t>Total Gas Volume (Expanded)</t>
  </si>
  <si>
    <t>Required Gas Volume</t>
  </si>
  <si>
    <t>Study Canister</t>
  </si>
  <si>
    <t>Total Mass of Canister and Gas</t>
  </si>
  <si>
    <t>(assume 60kg)</t>
  </si>
  <si>
    <t>(50.5 km 6.0m diameter balloon)</t>
  </si>
  <si>
    <t>Data Budgeting</t>
  </si>
  <si>
    <t>[109 minutes orbit period, 18.7 minutes AOS to LOS]</t>
  </si>
  <si>
    <t>Power Budgeting</t>
  </si>
  <si>
    <t>5400 Wh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</si>
</sst>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E+00"/>
    <numFmt numFmtId="165" formatCode="0.0"/>
    <numFmt numFmtId="166" formatCode="0.000"/>
    <numFmt numFmtId="167" formatCode="0.00000"/>
    <numFmt numFmtId="168" formatCode="_-* #,##0.000_-;\-* #,##0.000_-;_-* &quot;-&quot;??_-;_-@_-"/>
    <numFmt numFmtId="169" formatCode="0.0000000"/>
    <numFmt numFmtId="170" formatCode="0.000000"/>
    <numFmt numFmtId="171" formatCode="0.0000"/>
    <numFmt numFmtId="173" formatCode="_-* #,##0_-;\-* #,##0_-;_-* &quot;-&quot;??_-;_-@_-"/>
    <numFmt numFmtId="174" formatCode="0.00.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theme="1"/>
      <name val="Calibri"/>
      <family val="2"/>
    </font>
    <font>
      <b/>
      <sz val="9"/>
      <color theme="1"/>
      <name val="Calibri"/>
      <family val="2"/>
      <scheme val="minor"/>
    </font>
    <font>
      <sz val="9"/>
      <color theme="1"/>
      <name val="Calibri"/>
      <family val="2"/>
      <scheme val="minor"/>
    </font>
    <font>
      <b/>
      <vertAlign val="superscript"/>
      <sz val="9"/>
      <color theme="1"/>
      <name val="Calibri"/>
      <family val="2"/>
      <scheme val="minor"/>
    </font>
    <font>
      <b/>
      <sz val="9"/>
      <color rgb="FFFF0000"/>
      <name val="Calibri"/>
      <family val="2"/>
      <scheme val="minor"/>
    </font>
    <font>
      <u/>
      <sz val="11"/>
      <color theme="10"/>
      <name val="Calibri"/>
      <family val="2"/>
      <scheme val="minor"/>
    </font>
    <font>
      <u/>
      <sz val="9"/>
      <color theme="10"/>
      <name val="Calibri"/>
      <family val="2"/>
      <scheme val="minor"/>
    </font>
    <font>
      <sz val="9"/>
      <name val="Calibri"/>
      <family val="2"/>
      <scheme val="minor"/>
    </font>
    <font>
      <sz val="7"/>
      <color rgb="FF000000"/>
      <name val="Arial"/>
      <family val="2"/>
    </font>
    <font>
      <sz val="11"/>
      <color rgb="FFFF0000"/>
      <name val="Calibri"/>
      <family val="2"/>
      <scheme val="minor"/>
    </font>
    <font>
      <sz val="10"/>
      <color rgb="FFFF0000"/>
      <name val="Calibri"/>
      <family val="2"/>
      <scheme val="minor"/>
    </font>
    <font>
      <b/>
      <sz val="11"/>
      <color rgb="FFFF0000"/>
      <name val="Calibri"/>
      <family val="2"/>
      <scheme val="minor"/>
    </font>
    <font>
      <sz val="11"/>
      <color rgb="FF000000"/>
      <name val="Calibri"/>
      <family val="2"/>
      <scheme val="minor"/>
    </font>
    <font>
      <b/>
      <sz val="12"/>
      <color theme="1"/>
      <name val="Arial"/>
      <family val="2"/>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53">
    <border>
      <left/>
      <right/>
      <top/>
      <bottom/>
      <diagonal/>
    </border>
    <border>
      <left style="medium">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medium">
        <color theme="1" tint="0.34998626667073579"/>
      </bottom>
      <diagonal/>
    </border>
    <border>
      <left style="thin">
        <color theme="1" tint="0.34998626667073579"/>
      </left>
      <right style="medium">
        <color theme="1" tint="0.34998626667073579"/>
      </right>
      <top style="thin">
        <color theme="1" tint="0.34998626667073579"/>
      </top>
      <bottom style="medium">
        <color theme="1" tint="0.34998626667073579"/>
      </bottom>
      <diagonal/>
    </border>
    <border>
      <left style="medium">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medium">
        <color theme="1" tint="0.34998626667073579"/>
      </right>
      <top/>
      <bottom style="thin">
        <color theme="1" tint="0.34998626667073579"/>
      </bottom>
      <diagonal/>
    </border>
    <border>
      <left style="medium">
        <color theme="1" tint="0.34998626667073579"/>
      </left>
      <right style="thin">
        <color theme="1" tint="0.34998626667073579"/>
      </right>
      <top style="medium">
        <color theme="1" tint="0.34998626667073579"/>
      </top>
      <bottom style="medium">
        <color theme="1" tint="0.34998626667073579"/>
      </bottom>
      <diagonal/>
    </border>
    <border>
      <left style="thin">
        <color theme="1" tint="0.34998626667073579"/>
      </left>
      <right style="thin">
        <color theme="1" tint="0.34998626667073579"/>
      </right>
      <top style="medium">
        <color theme="1" tint="0.34998626667073579"/>
      </top>
      <bottom style="medium">
        <color theme="1" tint="0.34998626667073579"/>
      </bottom>
      <diagonal/>
    </border>
    <border>
      <left style="thin">
        <color theme="1" tint="0.34998626667073579"/>
      </left>
      <right style="medium">
        <color theme="1" tint="0.34998626667073579"/>
      </right>
      <top style="medium">
        <color theme="1" tint="0.34998626667073579"/>
      </top>
      <bottom style="medium">
        <color theme="1" tint="0.34998626667073579"/>
      </bottom>
      <diagonal/>
    </border>
    <border>
      <left style="medium">
        <color theme="1" tint="0.34998626667073579"/>
      </left>
      <right style="thin">
        <color theme="1" tint="0.34998626667073579"/>
      </right>
      <top style="thin">
        <color theme="1" tint="0.34998626667073579"/>
      </top>
      <bottom style="medium">
        <color theme="1" tint="0.34998626667073579"/>
      </bottom>
      <diagonal/>
    </border>
    <border>
      <left style="medium">
        <color theme="1" tint="0.34998626667073579"/>
      </left>
      <right style="medium">
        <color theme="1" tint="0.34998626667073579"/>
      </right>
      <top style="thin">
        <color theme="1" tint="0.34998626667073579"/>
      </top>
      <bottom style="medium">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style="medium">
        <color theme="1" tint="0.34998626667073579"/>
      </left>
      <right style="medium">
        <color theme="1" tint="0.34998626667073579"/>
      </right>
      <top style="medium">
        <color theme="1" tint="0.34998626667073579"/>
      </top>
      <bottom style="medium">
        <color theme="1" tint="0.34998626667073579"/>
      </bottom>
      <diagonal/>
    </border>
    <border>
      <left style="medium">
        <color theme="1" tint="0.34998626667073579"/>
      </left>
      <right/>
      <top style="medium">
        <color theme="1" tint="0.34998626667073579"/>
      </top>
      <bottom style="medium">
        <color theme="1" tint="0.34998626667073579"/>
      </bottom>
      <diagonal/>
    </border>
    <border>
      <left style="medium">
        <color theme="1" tint="0.34998626667073579"/>
      </left>
      <right/>
      <top/>
      <bottom style="thin">
        <color theme="1" tint="0.34998626667073579"/>
      </bottom>
      <diagonal/>
    </border>
    <border>
      <left style="medium">
        <color theme="1" tint="0.34998626667073579"/>
      </left>
      <right/>
      <top style="thin">
        <color theme="1" tint="0.34998626667073579"/>
      </top>
      <bottom style="thin">
        <color theme="1" tint="0.34998626667073579"/>
      </bottom>
      <diagonal/>
    </border>
    <border>
      <left style="medium">
        <color theme="1" tint="0.34998626667073579"/>
      </left>
      <right/>
      <top style="thin">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theme="1" tint="0.34998626667073579"/>
      </left>
      <right style="medium">
        <color theme="1" tint="0.34998626667073579"/>
      </right>
      <top style="medium">
        <color theme="1" tint="0.34998626667073579"/>
      </top>
      <bottom/>
      <diagonal/>
    </border>
    <border>
      <left style="medium">
        <color theme="1" tint="0.34998626667073579"/>
      </left>
      <right style="medium">
        <color theme="1" tint="0.34998626667073579"/>
      </right>
      <top/>
      <bottom style="thin">
        <color theme="1" tint="0.34998626667073579"/>
      </bottom>
      <diagonal/>
    </border>
    <border>
      <left style="medium">
        <color theme="1" tint="0.34998626667073579"/>
      </left>
      <right style="medium">
        <color theme="1" tint="0.34998626667073579"/>
      </right>
      <top style="thin">
        <color theme="1" tint="0.34998626667073579"/>
      </top>
      <bottom style="thin">
        <color theme="1" tint="0.34998626667073579"/>
      </bottom>
      <diagonal/>
    </border>
    <border>
      <left style="medium">
        <color theme="1" tint="0.34998626667073579"/>
      </left>
      <right/>
      <top style="thin">
        <color theme="1" tint="0.34998626667073579"/>
      </top>
      <bottom/>
      <diagonal/>
    </border>
    <border>
      <left style="medium">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medium">
        <color theme="1" tint="0.34998626667073579"/>
      </right>
      <top style="thin">
        <color theme="1" tint="0.34998626667073579"/>
      </top>
      <bottom/>
      <diagonal/>
    </border>
    <border>
      <left style="medium">
        <color theme="1" tint="0.34998626667073579"/>
      </left>
      <right style="medium">
        <color theme="1" tint="0.34998626667073579"/>
      </right>
      <top style="thin">
        <color theme="1" tint="0.34998626667073579"/>
      </top>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bottom style="thin">
        <color theme="1" tint="0.34998626667073579"/>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thin">
        <color theme="1" tint="0.34998626667073579"/>
      </right>
      <top style="medium">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medium">
        <color theme="1" tint="0.34998626667073579"/>
      </left>
      <right/>
      <top/>
      <bottom style="medium">
        <color theme="1" tint="0.34998626667073579"/>
      </bottom>
      <diagonal/>
    </border>
    <border>
      <left style="thin">
        <color theme="1" tint="0.34998626667073579"/>
      </left>
      <right/>
      <top style="medium">
        <color theme="1" tint="0.34998626667073579"/>
      </top>
      <bottom style="medium">
        <color theme="1" tint="0.34998626667073579"/>
      </bottom>
      <diagonal/>
    </border>
    <border>
      <left style="thin">
        <color theme="1" tint="0.34998626667073579"/>
      </left>
      <right/>
      <top style="thin">
        <color theme="1" tint="0.34998626667073579"/>
      </top>
      <bottom/>
      <diagonal/>
    </border>
    <border>
      <left/>
      <right style="medium">
        <color theme="1" tint="0.34998626667073579"/>
      </right>
      <top style="medium">
        <color theme="1" tint="0.34998626667073579"/>
      </top>
      <bottom/>
      <diagonal/>
    </border>
    <border>
      <left/>
      <right style="medium">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0" fontId="9" fillId="0" borderId="0" applyNumberFormat="0" applyFill="0" applyBorder="0" applyAlignment="0" applyProtection="0"/>
    <xf numFmtId="43" fontId="3" fillId="0" borderId="0" applyFont="0" applyFill="0" applyBorder="0" applyAlignment="0" applyProtection="0"/>
  </cellStyleXfs>
  <cellXfs count="278">
    <xf numFmtId="0" fontId="0" fillId="0" borderId="0" xfId="0"/>
    <xf numFmtId="164" fontId="0" fillId="0" borderId="0" xfId="0" applyNumberFormat="1"/>
    <xf numFmtId="1" fontId="0" fillId="0" borderId="0" xfId="0" applyNumberFormat="1"/>
    <xf numFmtId="0" fontId="2" fillId="0" borderId="0" xfId="0" applyFont="1"/>
    <xf numFmtId="165" fontId="0" fillId="0" borderId="0" xfId="0" applyNumberFormat="1"/>
    <xf numFmtId="0" fontId="1" fillId="0" borderId="0" xfId="0" applyFont="1" applyAlignment="1">
      <alignment horizontal="center"/>
    </xf>
    <xf numFmtId="165" fontId="1" fillId="0" borderId="0" xfId="0" applyNumberFormat="1" applyFont="1" applyAlignment="1">
      <alignment horizontal="center"/>
    </xf>
    <xf numFmtId="166" fontId="0" fillId="0" borderId="0" xfId="0" applyNumberFormat="1"/>
    <xf numFmtId="2" fontId="0" fillId="0" borderId="0" xfId="0" applyNumberFormat="1"/>
    <xf numFmtId="11" fontId="0" fillId="0" borderId="0" xfId="0" applyNumberFormat="1"/>
    <xf numFmtId="0" fontId="1" fillId="0" borderId="0" xfId="0" applyFont="1"/>
    <xf numFmtId="0" fontId="0" fillId="0" borderId="0" xfId="0" applyAlignment="1">
      <alignment horizontal="center"/>
    </xf>
    <xf numFmtId="0" fontId="4" fillId="0" borderId="0" xfId="0" applyFont="1"/>
    <xf numFmtId="0" fontId="0" fillId="0" borderId="0" xfId="0" applyAlignment="1">
      <alignment horizontal="left" vertical="top"/>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2" xfId="0" applyFont="1" applyBorder="1" applyAlignment="1">
      <alignment horizontal="left" vertical="top" wrapText="1"/>
    </xf>
    <xf numFmtId="0" fontId="6" fillId="0" borderId="0" xfId="0" applyFont="1" applyAlignment="1">
      <alignment horizontal="left" vertical="top"/>
    </xf>
    <xf numFmtId="0" fontId="10" fillId="0" borderId="14" xfId="1" applyFont="1" applyBorder="1"/>
    <xf numFmtId="167" fontId="6" fillId="0" borderId="4" xfId="0" applyNumberFormat="1" applyFont="1" applyBorder="1" applyAlignment="1">
      <alignment horizontal="right" vertical="top" wrapText="1"/>
    </xf>
    <xf numFmtId="0" fontId="6" fillId="0" borderId="7" xfId="0" applyFont="1" applyBorder="1" applyAlignment="1">
      <alignment horizontal="right" vertical="top" wrapText="1"/>
    </xf>
    <xf numFmtId="0" fontId="6" fillId="0" borderId="2" xfId="0" applyFont="1" applyBorder="1" applyAlignment="1">
      <alignment horizontal="right" vertical="top" wrapText="1"/>
    </xf>
    <xf numFmtId="0" fontId="6" fillId="0" borderId="4" xfId="0" applyFont="1" applyBorder="1" applyAlignment="1">
      <alignment horizontal="right" vertical="top" wrapText="1"/>
    </xf>
    <xf numFmtId="0" fontId="5" fillId="0" borderId="16" xfId="0" applyFont="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167" fontId="6" fillId="0" borderId="12" xfId="0" applyNumberFormat="1" applyFont="1" applyBorder="1" applyAlignment="1">
      <alignment horizontal="right" vertical="top" wrapText="1"/>
    </xf>
    <xf numFmtId="0" fontId="5" fillId="0" borderId="22" xfId="0" applyFont="1" applyBorder="1" applyAlignment="1">
      <alignment horizontal="left" vertical="top"/>
    </xf>
    <xf numFmtId="0" fontId="5" fillId="0" borderId="15" xfId="0" applyFont="1" applyBorder="1" applyAlignment="1">
      <alignment horizontal="left" vertical="top" wrapText="1"/>
    </xf>
    <xf numFmtId="0" fontId="6" fillId="0" borderId="23" xfId="0" applyFont="1" applyBorder="1" applyAlignment="1">
      <alignment horizontal="right" vertical="top" wrapText="1"/>
    </xf>
    <xf numFmtId="0" fontId="6" fillId="0" borderId="13" xfId="0" applyFont="1" applyBorder="1" applyAlignment="1">
      <alignment horizontal="right" vertical="top" wrapText="1"/>
    </xf>
    <xf numFmtId="0" fontId="6" fillId="0" borderId="8" xfId="0" applyFont="1" applyBorder="1" applyAlignment="1">
      <alignment horizontal="right" vertical="top" wrapText="1"/>
    </xf>
    <xf numFmtId="0" fontId="6" fillId="0" borderId="3" xfId="0" applyFont="1" applyBorder="1" applyAlignment="1">
      <alignment horizontal="right" vertical="top" wrapText="1"/>
    </xf>
    <xf numFmtId="0" fontId="6" fillId="0" borderId="5" xfId="0" applyFont="1" applyBorder="1" applyAlignment="1">
      <alignment horizontal="right" vertical="top" wrapText="1"/>
    </xf>
    <xf numFmtId="0" fontId="6" fillId="0" borderId="6" xfId="0" applyFont="1" applyBorder="1" applyAlignment="1">
      <alignment horizontal="right" vertical="top" wrapText="1"/>
    </xf>
    <xf numFmtId="0" fontId="6" fillId="0" borderId="1" xfId="0" applyFont="1" applyBorder="1" applyAlignment="1">
      <alignment horizontal="right" vertical="top" wrapText="1"/>
    </xf>
    <xf numFmtId="0" fontId="6" fillId="0" borderId="12" xfId="0" applyFont="1" applyBorder="1" applyAlignment="1">
      <alignment horizontal="right" vertical="top" wrapText="1"/>
    </xf>
    <xf numFmtId="0" fontId="1" fillId="0" borderId="0" xfId="0" applyFont="1" applyAlignment="1">
      <alignment horizontal="left" vertical="top"/>
    </xf>
    <xf numFmtId="168" fontId="8" fillId="0" borderId="0" xfId="2" applyNumberFormat="1" applyFont="1" applyAlignment="1">
      <alignment horizontal="right" vertical="top"/>
    </xf>
    <xf numFmtId="165" fontId="8" fillId="0" borderId="0" xfId="0" applyNumberFormat="1" applyFont="1" applyAlignment="1">
      <alignment horizontal="right" vertical="top"/>
    </xf>
    <xf numFmtId="0" fontId="8" fillId="0" borderId="0" xfId="0" applyFont="1" applyAlignment="1">
      <alignment horizontal="right" vertical="top"/>
    </xf>
    <xf numFmtId="0" fontId="0" fillId="0" borderId="0" xfId="0" applyAlignment="1">
      <alignment horizontal="right" vertical="top"/>
    </xf>
    <xf numFmtId="2" fontId="6" fillId="0" borderId="4" xfId="0" applyNumberFormat="1" applyFont="1" applyBorder="1" applyAlignment="1">
      <alignment horizontal="right" vertical="top" wrapText="1"/>
    </xf>
    <xf numFmtId="0" fontId="6" fillId="0" borderId="24" xfId="0" applyFont="1" applyBorder="1" applyAlignment="1">
      <alignment horizontal="left" vertical="top" wrapText="1"/>
    </xf>
    <xf numFmtId="0" fontId="6" fillId="0" borderId="0" xfId="0" applyFont="1"/>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0" borderId="2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167" fontId="6" fillId="0" borderId="9" xfId="0" applyNumberFormat="1" applyFont="1" applyBorder="1" applyAlignment="1">
      <alignment horizontal="right" vertical="top" wrapText="1"/>
    </xf>
    <xf numFmtId="167" fontId="6" fillId="0" borderId="10" xfId="0" applyNumberFormat="1" applyFont="1" applyBorder="1" applyAlignment="1">
      <alignment horizontal="right" vertical="top" wrapText="1"/>
    </xf>
    <xf numFmtId="2" fontId="5" fillId="0" borderId="10" xfId="0" applyNumberFormat="1" applyFont="1" applyBorder="1" applyAlignment="1">
      <alignment horizontal="right" vertical="top" wrapText="1"/>
    </xf>
    <xf numFmtId="2" fontId="5" fillId="0" borderId="9" xfId="0" applyNumberFormat="1" applyFont="1" applyBorder="1" applyAlignment="1">
      <alignment horizontal="right" vertical="top" wrapText="1"/>
    </xf>
    <xf numFmtId="2" fontId="5" fillId="0" borderId="11" xfId="0" applyNumberFormat="1" applyFont="1" applyBorder="1" applyAlignment="1">
      <alignment horizontal="right" vertical="top" wrapText="1"/>
    </xf>
    <xf numFmtId="0" fontId="6" fillId="0" borderId="15" xfId="0" applyFont="1" applyBorder="1" applyAlignment="1">
      <alignment horizontal="right" vertical="top" wrapText="1"/>
    </xf>
    <xf numFmtId="2" fontId="6" fillId="0" borderId="0" xfId="0" applyNumberFormat="1" applyFont="1" applyAlignment="1">
      <alignment horizontal="center"/>
    </xf>
    <xf numFmtId="0" fontId="6" fillId="0" borderId="0" xfId="0" applyFont="1" applyAlignment="1">
      <alignment horizontal="center"/>
    </xf>
    <xf numFmtId="167" fontId="6" fillId="0" borderId="0" xfId="0" applyNumberFormat="1" applyFont="1" applyAlignment="1">
      <alignment horizontal="center"/>
    </xf>
    <xf numFmtId="0" fontId="5" fillId="0" borderId="0" xfId="0" applyFont="1"/>
    <xf numFmtId="2" fontId="5" fillId="0" borderId="0" xfId="0" applyNumberFormat="1" applyFont="1" applyAlignment="1">
      <alignment horizontal="center"/>
    </xf>
    <xf numFmtId="0" fontId="5" fillId="0" borderId="0" xfId="0" applyFont="1" applyAlignment="1">
      <alignment horizontal="center"/>
    </xf>
    <xf numFmtId="0" fontId="10" fillId="0" borderId="8" xfId="1" applyFont="1" applyBorder="1"/>
    <xf numFmtId="0" fontId="6" fillId="0" borderId="30" xfId="0" applyFont="1" applyBorder="1" applyAlignment="1">
      <alignment horizontal="left" vertical="top" wrapText="1"/>
    </xf>
    <xf numFmtId="0" fontId="5" fillId="0" borderId="19" xfId="0" applyFont="1" applyBorder="1" applyAlignment="1">
      <alignment horizontal="left" vertical="top" wrapText="1"/>
    </xf>
    <xf numFmtId="167" fontId="0" fillId="0" borderId="0" xfId="0" applyNumberFormat="1" applyAlignment="1">
      <alignment horizontal="left" vertical="top"/>
    </xf>
    <xf numFmtId="0" fontId="6" fillId="0" borderId="30" xfId="0" applyFont="1" applyBorder="1" applyAlignment="1">
      <alignment horizontal="right" vertical="top" wrapText="1"/>
    </xf>
    <xf numFmtId="0" fontId="6" fillId="3" borderId="27" xfId="0" applyFont="1" applyFill="1" applyBorder="1" applyAlignment="1">
      <alignment horizontal="right" vertical="top" wrapText="1"/>
    </xf>
    <xf numFmtId="0" fontId="6" fillId="3" borderId="28" xfId="0" applyFont="1" applyFill="1" applyBorder="1" applyAlignment="1">
      <alignment horizontal="right" vertical="top" wrapText="1"/>
    </xf>
    <xf numFmtId="0" fontId="6" fillId="3" borderId="26" xfId="0" applyFont="1" applyFill="1" applyBorder="1" applyAlignment="1">
      <alignment horizontal="right" vertical="top" wrapText="1"/>
    </xf>
    <xf numFmtId="0" fontId="6" fillId="3" borderId="29" xfId="0" applyFont="1" applyFill="1" applyBorder="1" applyAlignment="1">
      <alignment horizontal="right" vertical="top" wrapText="1"/>
    </xf>
    <xf numFmtId="0" fontId="6" fillId="3" borderId="29" xfId="0" applyFont="1" applyFill="1" applyBorder="1" applyAlignment="1">
      <alignment horizontal="left" vertical="top" wrapText="1"/>
    </xf>
    <xf numFmtId="0" fontId="6" fillId="3" borderId="2" xfId="0" applyFont="1" applyFill="1" applyBorder="1" applyAlignment="1">
      <alignment horizontal="right" vertical="top" wrapText="1"/>
    </xf>
    <xf numFmtId="0" fontId="6" fillId="3" borderId="3" xfId="0" applyFont="1" applyFill="1" applyBorder="1" applyAlignment="1">
      <alignment horizontal="right" vertical="top" wrapText="1"/>
    </xf>
    <xf numFmtId="0" fontId="6" fillId="3" borderId="1" xfId="0" applyFont="1" applyFill="1" applyBorder="1" applyAlignment="1">
      <alignment horizontal="right" vertical="top" wrapText="1"/>
    </xf>
    <xf numFmtId="0" fontId="6" fillId="3" borderId="24" xfId="0" applyFont="1" applyFill="1" applyBorder="1" applyAlignment="1">
      <alignment horizontal="right" vertical="top" wrapText="1"/>
    </xf>
    <xf numFmtId="0" fontId="6" fillId="3" borderId="24" xfId="0" applyFont="1" applyFill="1" applyBorder="1" applyAlignment="1">
      <alignment horizontal="left" vertical="top" wrapText="1"/>
    </xf>
    <xf numFmtId="0" fontId="6" fillId="4" borderId="24" xfId="0" applyFont="1" applyFill="1" applyBorder="1" applyAlignment="1">
      <alignment horizontal="left" vertical="top" wrapText="1"/>
    </xf>
    <xf numFmtId="0" fontId="6" fillId="3" borderId="7" xfId="0" applyFont="1" applyFill="1" applyBorder="1" applyAlignment="1">
      <alignment horizontal="right" vertical="top" wrapText="1"/>
    </xf>
    <xf numFmtId="0" fontId="6" fillId="3" borderId="8" xfId="0" applyFont="1" applyFill="1" applyBorder="1" applyAlignment="1">
      <alignment horizontal="right" vertical="top" wrapText="1"/>
    </xf>
    <xf numFmtId="0" fontId="6" fillId="3" borderId="6" xfId="0" applyFont="1" applyFill="1" applyBorder="1" applyAlignment="1">
      <alignment horizontal="right" vertical="top" wrapText="1"/>
    </xf>
    <xf numFmtId="0" fontId="6" fillId="3" borderId="23" xfId="0" applyFont="1" applyFill="1" applyBorder="1" applyAlignment="1">
      <alignment horizontal="right" vertical="top" wrapText="1"/>
    </xf>
    <xf numFmtId="0" fontId="6" fillId="3" borderId="23" xfId="0" applyFont="1" applyFill="1" applyBorder="1" applyAlignment="1">
      <alignment horizontal="left" vertical="top" wrapText="1"/>
    </xf>
    <xf numFmtId="0" fontId="12" fillId="0" borderId="0" xfId="0" applyFont="1"/>
    <xf numFmtId="169" fontId="0" fillId="0" borderId="0" xfId="0" applyNumberFormat="1"/>
    <xf numFmtId="170" fontId="0" fillId="0" borderId="0" xfId="0" applyNumberFormat="1"/>
    <xf numFmtId="0" fontId="5" fillId="0" borderId="35" xfId="0" applyFont="1" applyBorder="1" applyAlignment="1">
      <alignment horizontal="left" vertical="top" wrapText="1"/>
    </xf>
    <xf numFmtId="0" fontId="0" fillId="0" borderId="0" xfId="0" applyAlignment="1">
      <alignment horizontal="center" vertical="top"/>
    </xf>
    <xf numFmtId="0" fontId="5" fillId="0" borderId="10" xfId="0" applyFont="1" applyBorder="1" applyAlignment="1">
      <alignment horizontal="center" vertical="top" wrapText="1"/>
    </xf>
    <xf numFmtId="167" fontId="6" fillId="0" borderId="4" xfId="0" applyNumberFormat="1" applyFont="1" applyBorder="1" applyAlignment="1">
      <alignment horizontal="center" vertical="top" wrapText="1"/>
    </xf>
    <xf numFmtId="167" fontId="6" fillId="0" borderId="10" xfId="0" applyNumberFormat="1" applyFont="1" applyBorder="1" applyAlignment="1">
      <alignment horizontal="center" vertical="top" wrapText="1"/>
    </xf>
    <xf numFmtId="0" fontId="6" fillId="4" borderId="6" xfId="0" applyFont="1" applyFill="1" applyBorder="1" applyAlignment="1">
      <alignment horizontal="right" vertical="top" wrapText="1"/>
    </xf>
    <xf numFmtId="0" fontId="6" fillId="4" borderId="7" xfId="0" applyFont="1" applyFill="1" applyBorder="1" applyAlignment="1">
      <alignment horizontal="right" vertical="top" wrapText="1"/>
    </xf>
    <xf numFmtId="0" fontId="6" fillId="4" borderId="8" xfId="0" applyFont="1" applyFill="1" applyBorder="1" applyAlignment="1">
      <alignment horizontal="right" vertical="top" wrapText="1"/>
    </xf>
    <xf numFmtId="2" fontId="6" fillId="4" borderId="6" xfId="0" applyNumberFormat="1" applyFont="1" applyFill="1" applyBorder="1" applyAlignment="1">
      <alignment horizontal="right" vertical="top" wrapText="1"/>
    </xf>
    <xf numFmtId="2" fontId="6" fillId="3" borderId="7" xfId="0" applyNumberFormat="1" applyFont="1" applyFill="1" applyBorder="1" applyAlignment="1">
      <alignment horizontal="right" vertical="top" wrapText="1"/>
    </xf>
    <xf numFmtId="2" fontId="6" fillId="0" borderId="8" xfId="0" applyNumberFormat="1" applyFont="1" applyBorder="1" applyAlignment="1">
      <alignment horizontal="right" vertical="top" wrapText="1"/>
    </xf>
    <xf numFmtId="2" fontId="6" fillId="3" borderId="6" xfId="0" applyNumberFormat="1" applyFont="1" applyFill="1" applyBorder="1" applyAlignment="1">
      <alignment horizontal="right" vertical="top" wrapText="1"/>
    </xf>
    <xf numFmtId="2" fontId="6" fillId="3" borderId="2" xfId="0" applyNumberFormat="1" applyFont="1" applyFill="1" applyBorder="1" applyAlignment="1">
      <alignment horizontal="right" vertical="top" wrapText="1"/>
    </xf>
    <xf numFmtId="2" fontId="6" fillId="0" borderId="3" xfId="0" applyNumberFormat="1" applyFont="1" applyBorder="1" applyAlignment="1">
      <alignment horizontal="right" vertical="top" wrapText="1"/>
    </xf>
    <xf numFmtId="2" fontId="6" fillId="4" borderId="1" xfId="0" applyNumberFormat="1" applyFont="1" applyFill="1" applyBorder="1" applyAlignment="1">
      <alignment horizontal="right" vertical="top" wrapText="1"/>
    </xf>
    <xf numFmtId="2" fontId="6" fillId="0" borderId="1" xfId="0" applyNumberFormat="1" applyFont="1" applyBorder="1" applyAlignment="1">
      <alignment horizontal="right" vertical="top" wrapText="1"/>
    </xf>
    <xf numFmtId="2" fontId="6" fillId="3" borderId="1" xfId="0" applyNumberFormat="1" applyFont="1" applyFill="1" applyBorder="1" applyAlignment="1">
      <alignment horizontal="right" vertical="top" wrapText="1"/>
    </xf>
    <xf numFmtId="2" fontId="6" fillId="3" borderId="3" xfId="0" applyNumberFormat="1" applyFont="1" applyFill="1" applyBorder="1" applyAlignment="1">
      <alignment horizontal="right" vertical="top" wrapText="1"/>
    </xf>
    <xf numFmtId="2" fontId="6" fillId="0" borderId="26" xfId="0" applyNumberFormat="1" applyFont="1" applyBorder="1" applyAlignment="1">
      <alignment horizontal="right" vertical="top" wrapText="1"/>
    </xf>
    <xf numFmtId="2" fontId="6" fillId="3" borderId="27" xfId="0" applyNumberFormat="1" applyFont="1" applyFill="1" applyBorder="1" applyAlignment="1">
      <alignment horizontal="right" vertical="top" wrapText="1"/>
    </xf>
    <xf numFmtId="2" fontId="6" fillId="0" borderId="28" xfId="0" applyNumberFormat="1" applyFont="1" applyBorder="1" applyAlignment="1">
      <alignment horizontal="right" vertical="top" wrapText="1"/>
    </xf>
    <xf numFmtId="2" fontId="6" fillId="0" borderId="12" xfId="0" applyNumberFormat="1" applyFont="1" applyBorder="1" applyAlignment="1">
      <alignment horizontal="right" vertical="top" wrapText="1"/>
    </xf>
    <xf numFmtId="2" fontId="6" fillId="3" borderId="4" xfId="0" applyNumberFormat="1" applyFont="1" applyFill="1" applyBorder="1" applyAlignment="1">
      <alignment horizontal="right" vertical="top" wrapText="1"/>
    </xf>
    <xf numFmtId="2" fontId="6" fillId="0" borderId="5" xfId="0" applyNumberFormat="1" applyFont="1" applyBorder="1" applyAlignment="1">
      <alignment horizontal="right" vertical="top" wrapText="1"/>
    </xf>
    <xf numFmtId="2" fontId="6" fillId="0" borderId="6" xfId="0" applyNumberFormat="1" applyFont="1" applyBorder="1" applyAlignment="1">
      <alignment horizontal="right" vertical="top" wrapText="1"/>
    </xf>
    <xf numFmtId="2" fontId="6" fillId="0" borderId="7" xfId="0" applyNumberFormat="1" applyFont="1" applyBorder="1" applyAlignment="1">
      <alignment horizontal="right" vertical="top" wrapText="1"/>
    </xf>
    <xf numFmtId="0" fontId="14"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right" vertical="top"/>
    </xf>
    <xf numFmtId="2" fontId="13" fillId="0" borderId="0" xfId="0" applyNumberFormat="1" applyFont="1" applyAlignment="1">
      <alignment horizontal="right" vertical="center"/>
    </xf>
    <xf numFmtId="0" fontId="13" fillId="0" borderId="0" xfId="0" applyFont="1" applyAlignment="1">
      <alignment horizontal="left" vertical="top"/>
    </xf>
    <xf numFmtId="0" fontId="13" fillId="0" borderId="0" xfId="0" applyFont="1" applyAlignment="1">
      <alignment horizontal="right" vertical="center"/>
    </xf>
    <xf numFmtId="0" fontId="5" fillId="0" borderId="36" xfId="0" applyFont="1" applyBorder="1" applyAlignment="1">
      <alignment horizontal="left" vertical="top" wrapText="1"/>
    </xf>
    <xf numFmtId="0" fontId="6" fillId="3" borderId="30" xfId="0" applyFont="1" applyFill="1" applyBorder="1" applyAlignment="1">
      <alignment horizontal="right" vertical="top" wrapText="1"/>
    </xf>
    <xf numFmtId="0" fontId="6" fillId="3" borderId="37" xfId="0" applyFont="1" applyFill="1" applyBorder="1" applyAlignment="1">
      <alignment horizontal="right" vertical="top" wrapText="1"/>
    </xf>
    <xf numFmtId="0" fontId="5" fillId="0" borderId="38" xfId="0" applyFont="1" applyBorder="1" applyAlignment="1">
      <alignment horizontal="left" vertical="top"/>
    </xf>
    <xf numFmtId="0" fontId="5" fillId="0" borderId="21" xfId="0" applyFont="1" applyBorder="1" applyAlignment="1">
      <alignment horizontal="left" vertical="top" wrapText="1"/>
    </xf>
    <xf numFmtId="0" fontId="6" fillId="3" borderId="39" xfId="0" applyFont="1" applyFill="1" applyBorder="1" applyAlignment="1">
      <alignment horizontal="left" vertical="top" wrapText="1"/>
    </xf>
    <xf numFmtId="0" fontId="6" fillId="4" borderId="39" xfId="0" applyFont="1" applyFill="1" applyBorder="1" applyAlignment="1">
      <alignment horizontal="left" vertical="top" wrapText="1"/>
    </xf>
    <xf numFmtId="0" fontId="6" fillId="0" borderId="39" xfId="0" applyFont="1" applyBorder="1" applyAlignment="1">
      <alignment horizontal="left" vertical="top" wrapText="1"/>
    </xf>
    <xf numFmtId="0" fontId="6" fillId="3" borderId="39" xfId="0" applyFont="1" applyFill="1" applyBorder="1" applyAlignment="1">
      <alignment horizontal="right" vertical="top" wrapText="1"/>
    </xf>
    <xf numFmtId="0" fontId="6" fillId="0" borderId="21" xfId="0" applyFont="1" applyBorder="1" applyAlignment="1">
      <alignment horizontal="right" vertical="top" wrapText="1"/>
    </xf>
    <xf numFmtId="0" fontId="6" fillId="0" borderId="37" xfId="0" applyFont="1" applyBorder="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166" fontId="6" fillId="3" borderId="0" xfId="0" applyNumberFormat="1" applyFont="1"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6" fillId="3" borderId="0" xfId="0" applyFont="1" applyFill="1" applyAlignment="1">
      <alignment horizontal="left" vertical="top"/>
    </xf>
    <xf numFmtId="49" fontId="6" fillId="0" borderId="0" xfId="0" applyNumberFormat="1" applyFont="1"/>
    <xf numFmtId="49" fontId="6" fillId="0" borderId="32"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2" xfId="0" applyNumberFormat="1" applyFont="1" applyBorder="1" applyAlignment="1">
      <alignment horizontal="left" vertical="top" wrapText="1"/>
    </xf>
    <xf numFmtId="0" fontId="0" fillId="3" borderId="40" xfId="0" applyFill="1" applyBorder="1" applyAlignment="1">
      <alignment horizontal="left" vertical="top"/>
    </xf>
    <xf numFmtId="0" fontId="6" fillId="4" borderId="3" xfId="0" applyFont="1" applyFill="1" applyBorder="1" applyAlignment="1">
      <alignment horizontal="right" vertical="top" wrapText="1"/>
    </xf>
    <xf numFmtId="0" fontId="5" fillId="0" borderId="9" xfId="0" applyFont="1" applyBorder="1" applyAlignment="1">
      <alignment horizontal="right" vertical="top" wrapText="1"/>
    </xf>
    <xf numFmtId="0" fontId="5" fillId="0" borderId="10" xfId="0" applyFont="1" applyBorder="1" applyAlignment="1">
      <alignment horizontal="right" vertical="top" wrapText="1"/>
    </xf>
    <xf numFmtId="0" fontId="6" fillId="3" borderId="32" xfId="0" applyFont="1" applyFill="1" applyBorder="1" applyAlignment="1">
      <alignment horizontal="right" vertical="top" wrapText="1"/>
    </xf>
    <xf numFmtId="0" fontId="6" fillId="3" borderId="33" xfId="0" applyFont="1" applyFill="1" applyBorder="1" applyAlignment="1">
      <alignment horizontal="right" vertical="top" wrapText="1"/>
    </xf>
    <xf numFmtId="0" fontId="6" fillId="4" borderId="14" xfId="0" applyFont="1" applyFill="1" applyBorder="1" applyAlignment="1">
      <alignment horizontal="right" vertical="top" wrapText="1"/>
    </xf>
    <xf numFmtId="2" fontId="6" fillId="3" borderId="0" xfId="0" applyNumberFormat="1" applyFont="1" applyFill="1" applyAlignment="1">
      <alignment horizontal="center"/>
    </xf>
    <xf numFmtId="2" fontId="5" fillId="3" borderId="0" xfId="0" applyNumberFormat="1" applyFont="1" applyFill="1" applyAlignment="1">
      <alignment horizontal="center"/>
    </xf>
    <xf numFmtId="2" fontId="6" fillId="0" borderId="0" xfId="0" applyNumberFormat="1" applyFont="1" applyAlignment="1">
      <alignment horizontal="left" vertical="top"/>
    </xf>
    <xf numFmtId="2" fontId="6" fillId="0" borderId="0" xfId="0" applyNumberFormat="1" applyFont="1"/>
    <xf numFmtId="1" fontId="6" fillId="0" borderId="0" xfId="0" applyNumberFormat="1" applyFont="1" applyAlignment="1">
      <alignment horizontal="center"/>
    </xf>
    <xf numFmtId="0" fontId="16" fillId="0" borderId="0" xfId="0" applyFont="1"/>
    <xf numFmtId="0" fontId="5" fillId="0" borderId="11" xfId="0" applyFont="1" applyBorder="1" applyAlignment="1">
      <alignment horizontal="right" vertical="top" wrapText="1"/>
    </xf>
    <xf numFmtId="2" fontId="6" fillId="0" borderId="2" xfId="0" applyNumberFormat="1" applyFont="1" applyBorder="1" applyAlignment="1">
      <alignment horizontal="right" vertical="top" wrapText="1"/>
    </xf>
    <xf numFmtId="0" fontId="5" fillId="0" borderId="36" xfId="0" applyFont="1" applyBorder="1" applyAlignment="1">
      <alignment horizontal="right" vertical="top" wrapText="1"/>
    </xf>
    <xf numFmtId="0" fontId="5" fillId="0" borderId="15" xfId="0" applyFont="1" applyBorder="1" applyAlignment="1">
      <alignment horizontal="right" vertical="top" wrapText="1"/>
    </xf>
    <xf numFmtId="0" fontId="6" fillId="0" borderId="24" xfId="0" applyFont="1" applyBorder="1" applyAlignment="1">
      <alignment horizontal="right" vertical="top" wrapText="1"/>
    </xf>
    <xf numFmtId="1" fontId="5" fillId="0" borderId="12" xfId="0" applyNumberFormat="1" applyFont="1" applyBorder="1" applyAlignment="1">
      <alignment horizontal="right" vertical="top" wrapText="1"/>
    </xf>
    <xf numFmtId="1" fontId="5" fillId="0" borderId="4" xfId="0" applyNumberFormat="1" applyFont="1" applyBorder="1" applyAlignment="1">
      <alignment horizontal="right" vertical="top" wrapText="1"/>
    </xf>
    <xf numFmtId="1" fontId="5" fillId="0" borderId="5" xfId="0" applyNumberFormat="1" applyFont="1" applyBorder="1" applyAlignment="1">
      <alignment horizontal="right" vertical="top" wrapText="1"/>
    </xf>
    <xf numFmtId="0" fontId="6" fillId="3" borderId="13" xfId="0" applyFont="1" applyFill="1" applyBorder="1" applyAlignment="1">
      <alignment horizontal="left" vertical="top" wrapText="1"/>
    </xf>
    <xf numFmtId="0" fontId="5" fillId="0" borderId="12" xfId="0" applyFont="1" applyBorder="1" applyAlignment="1">
      <alignment horizontal="right" vertical="top" wrapText="1"/>
    </xf>
    <xf numFmtId="0" fontId="5" fillId="0" borderId="4" xfId="0" applyFont="1" applyBorder="1" applyAlignment="1">
      <alignment horizontal="right" vertical="top" wrapText="1"/>
    </xf>
    <xf numFmtId="0" fontId="5" fillId="0" borderId="5" xfId="0" applyFont="1" applyBorder="1" applyAlignment="1">
      <alignment horizontal="right" vertical="top" wrapText="1"/>
    </xf>
    <xf numFmtId="167" fontId="5" fillId="0" borderId="4" xfId="0" applyNumberFormat="1" applyFont="1" applyBorder="1" applyAlignment="1">
      <alignment horizontal="right" vertical="top" wrapText="1"/>
    </xf>
    <xf numFmtId="171" fontId="6" fillId="3" borderId="7" xfId="0" applyNumberFormat="1" applyFont="1" applyFill="1" applyBorder="1" applyAlignment="1">
      <alignment horizontal="right" vertical="top" wrapText="1"/>
    </xf>
    <xf numFmtId="171" fontId="6" fillId="0" borderId="7" xfId="0" applyNumberFormat="1" applyFont="1" applyBorder="1" applyAlignment="1">
      <alignment horizontal="right" vertical="top" wrapText="1"/>
    </xf>
    <xf numFmtId="171" fontId="6" fillId="4" borderId="7" xfId="0" applyNumberFormat="1" applyFont="1" applyFill="1" applyBorder="1" applyAlignment="1">
      <alignment horizontal="right" vertical="top" wrapText="1"/>
    </xf>
    <xf numFmtId="171" fontId="6" fillId="0" borderId="3" xfId="0" applyNumberFormat="1" applyFont="1" applyBorder="1" applyAlignment="1">
      <alignment horizontal="right" vertical="top" wrapText="1"/>
    </xf>
    <xf numFmtId="171" fontId="6" fillId="0" borderId="14" xfId="0" applyNumberFormat="1" applyFont="1" applyBorder="1" applyAlignment="1">
      <alignment horizontal="right" vertical="top" wrapText="1"/>
    </xf>
    <xf numFmtId="171" fontId="6" fillId="3" borderId="3" xfId="0" applyNumberFormat="1" applyFont="1" applyFill="1" applyBorder="1" applyAlignment="1">
      <alignment horizontal="right" vertical="top" wrapText="1"/>
    </xf>
    <xf numFmtId="171" fontId="6" fillId="0" borderId="30" xfId="0" applyNumberFormat="1" applyFont="1" applyBorder="1" applyAlignment="1">
      <alignment horizontal="right" vertical="top" wrapText="1"/>
    </xf>
    <xf numFmtId="2" fontId="6" fillId="4" borderId="7" xfId="0" applyNumberFormat="1" applyFont="1" applyFill="1" applyBorder="1" applyAlignment="1">
      <alignment horizontal="right" vertical="top" wrapText="1"/>
    </xf>
    <xf numFmtId="2" fontId="6" fillId="0" borderId="7" xfId="0" applyNumberFormat="1" applyFont="1" applyBorder="1" applyAlignment="1">
      <alignment horizontal="center" vertical="top" wrapText="1"/>
    </xf>
    <xf numFmtId="2" fontId="6" fillId="4" borderId="2" xfId="0" applyNumberFormat="1" applyFont="1" applyFill="1" applyBorder="1" applyAlignment="1">
      <alignment horizontal="right" vertical="top" wrapText="1"/>
    </xf>
    <xf numFmtId="2" fontId="11" fillId="4" borderId="2" xfId="0" applyNumberFormat="1" applyFont="1" applyFill="1" applyBorder="1" applyAlignment="1">
      <alignment horizontal="right" vertical="top" wrapText="1"/>
    </xf>
    <xf numFmtId="2" fontId="6" fillId="0" borderId="2" xfId="0" applyNumberFormat="1" applyFont="1" applyBorder="1" applyAlignment="1">
      <alignment horizontal="center" vertical="top" wrapText="1"/>
    </xf>
    <xf numFmtId="2" fontId="6" fillId="3" borderId="7" xfId="0" applyNumberFormat="1" applyFont="1" applyFill="1" applyBorder="1" applyAlignment="1">
      <alignment horizontal="center" vertical="top" wrapText="1"/>
    </xf>
    <xf numFmtId="2" fontId="6" fillId="3" borderId="32" xfId="0" applyNumberFormat="1" applyFont="1" applyFill="1" applyBorder="1" applyAlignment="1">
      <alignment horizontal="right" vertical="top" wrapText="1"/>
    </xf>
    <xf numFmtId="2" fontId="6" fillId="3" borderId="33" xfId="0" applyNumberFormat="1" applyFont="1" applyFill="1" applyBorder="1" applyAlignment="1">
      <alignment horizontal="right" vertical="top" wrapText="1"/>
    </xf>
    <xf numFmtId="2" fontId="6" fillId="0" borderId="33" xfId="0" applyNumberFormat="1" applyFont="1" applyBorder="1" applyAlignment="1">
      <alignment horizontal="right" vertical="top" wrapText="1"/>
    </xf>
    <xf numFmtId="2" fontId="6" fillId="0" borderId="33" xfId="0" applyNumberFormat="1" applyFont="1" applyBorder="1" applyAlignment="1">
      <alignment horizontal="center" vertical="top" wrapText="1"/>
    </xf>
    <xf numFmtId="2" fontId="6" fillId="3" borderId="2" xfId="0" applyNumberFormat="1" applyFont="1" applyFill="1" applyBorder="1" applyAlignment="1">
      <alignment horizontal="center" vertical="top" wrapText="1"/>
    </xf>
    <xf numFmtId="2" fontId="6" fillId="4" borderId="7" xfId="0" applyNumberFormat="1" applyFont="1" applyFill="1" applyBorder="1" applyAlignment="1">
      <alignment horizontal="center" vertical="top" wrapText="1"/>
    </xf>
    <xf numFmtId="2" fontId="6" fillId="0" borderId="27" xfId="0" applyNumberFormat="1" applyFont="1" applyBorder="1" applyAlignment="1">
      <alignment horizontal="right" vertical="top" wrapText="1"/>
    </xf>
    <xf numFmtId="2" fontId="6" fillId="4" borderId="27" xfId="0" applyNumberFormat="1" applyFont="1" applyFill="1" applyBorder="1" applyAlignment="1">
      <alignment horizontal="right" vertical="top" wrapText="1"/>
    </xf>
    <xf numFmtId="2" fontId="6" fillId="3" borderId="34" xfId="0" applyNumberFormat="1" applyFont="1" applyFill="1" applyBorder="1" applyAlignment="1">
      <alignment horizontal="right" vertical="top" wrapText="1"/>
    </xf>
    <xf numFmtId="2" fontId="6" fillId="0" borderId="31" xfId="0" applyNumberFormat="1" applyFont="1" applyBorder="1" applyAlignment="1">
      <alignment horizontal="center" vertical="top" wrapText="1"/>
    </xf>
    <xf numFmtId="2" fontId="6" fillId="3" borderId="12" xfId="0" applyNumberFormat="1" applyFont="1" applyFill="1" applyBorder="1" applyAlignment="1">
      <alignment horizontal="right" vertical="top" wrapText="1"/>
    </xf>
    <xf numFmtId="2" fontId="6" fillId="0" borderId="4" xfId="0" applyNumberFormat="1" applyFont="1" applyBorder="1" applyAlignment="1">
      <alignment horizontal="center" vertical="top" wrapText="1"/>
    </xf>
    <xf numFmtId="0" fontId="5" fillId="0" borderId="13" xfId="0" applyFont="1" applyBorder="1" applyAlignment="1">
      <alignment horizontal="right" vertical="top" wrapText="1"/>
    </xf>
    <xf numFmtId="0" fontId="5" fillId="0" borderId="9"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11" xfId="0" applyFont="1" applyBorder="1" applyAlignment="1">
      <alignment horizontal="center" vertical="center" wrapText="1"/>
    </xf>
    <xf numFmtId="2" fontId="5" fillId="0" borderId="0" xfId="0" applyNumberFormat="1" applyFont="1" applyAlignment="1">
      <alignment horizontal="center" vertical="top" wrapText="1"/>
    </xf>
    <xf numFmtId="0" fontId="5" fillId="0" borderId="16" xfId="0" applyFont="1" applyBorder="1" applyAlignment="1">
      <alignment horizontal="center" vertical="center" wrapText="1"/>
    </xf>
    <xf numFmtId="0" fontId="5" fillId="0" borderId="10" xfId="0" applyFont="1" applyBorder="1" applyAlignment="1">
      <alignment horizontal="center" vertical="center" wrapText="1"/>
    </xf>
    <xf numFmtId="0" fontId="6" fillId="0" borderId="18" xfId="0" applyFont="1" applyBorder="1" applyAlignment="1">
      <alignment horizontal="center" vertical="top" wrapText="1"/>
    </xf>
    <xf numFmtId="0" fontId="6" fillId="0" borderId="25" xfId="0" applyFont="1" applyBorder="1" applyAlignment="1">
      <alignment horizontal="center" vertical="top" wrapText="1"/>
    </xf>
    <xf numFmtId="165" fontId="6" fillId="4" borderId="1" xfId="0" applyNumberFormat="1" applyFont="1" applyFill="1" applyBorder="1" applyAlignment="1">
      <alignment horizontal="center" vertical="top" wrapText="1"/>
    </xf>
    <xf numFmtId="165" fontId="6" fillId="4" borderId="30" xfId="0" applyNumberFormat="1" applyFont="1" applyFill="1" applyBorder="1" applyAlignment="1">
      <alignment horizontal="center" vertical="top" wrapText="1"/>
    </xf>
    <xf numFmtId="165" fontId="6" fillId="0" borderId="1" xfId="0" applyNumberFormat="1" applyFont="1" applyBorder="1" applyAlignment="1">
      <alignment horizontal="center" vertical="top" wrapText="1"/>
    </xf>
    <xf numFmtId="165" fontId="6" fillId="0" borderId="30" xfId="0" applyNumberFormat="1" applyFont="1" applyBorder="1" applyAlignment="1">
      <alignment horizontal="center" vertical="top" wrapText="1"/>
    </xf>
    <xf numFmtId="165" fontId="6" fillId="0" borderId="3" xfId="0" applyNumberFormat="1" applyFont="1" applyBorder="1" applyAlignment="1">
      <alignment horizontal="center" vertical="top" wrapText="1"/>
    </xf>
    <xf numFmtId="165" fontId="6" fillId="0" borderId="26" xfId="0" applyNumberFormat="1" applyFont="1" applyBorder="1" applyAlignment="1">
      <alignment horizontal="center" vertical="top" wrapText="1"/>
    </xf>
    <xf numFmtId="165" fontId="6" fillId="0" borderId="37" xfId="0" applyNumberFormat="1" applyFont="1" applyBorder="1" applyAlignment="1">
      <alignment horizontal="center" vertical="top" wrapText="1"/>
    </xf>
    <xf numFmtId="165" fontId="6" fillId="0" borderId="28" xfId="0" applyNumberFormat="1" applyFont="1" applyBorder="1" applyAlignment="1">
      <alignment horizontal="center" vertical="top" wrapText="1"/>
    </xf>
    <xf numFmtId="165" fontId="5" fillId="0" borderId="9" xfId="0" applyNumberFormat="1" applyFont="1" applyBorder="1" applyAlignment="1">
      <alignment horizontal="center" vertical="top" wrapText="1"/>
    </xf>
    <xf numFmtId="165" fontId="5" fillId="0" borderId="36" xfId="0" applyNumberFormat="1" applyFont="1" applyBorder="1" applyAlignment="1">
      <alignment horizontal="center" vertical="top" wrapText="1"/>
    </xf>
    <xf numFmtId="165" fontId="5" fillId="0" borderId="11" xfId="0" applyNumberFormat="1" applyFont="1" applyBorder="1" applyAlignment="1">
      <alignment horizontal="center" vertical="top" wrapText="1"/>
    </xf>
    <xf numFmtId="165" fontId="6" fillId="4" borderId="14" xfId="0" applyNumberFormat="1" applyFont="1" applyFill="1" applyBorder="1" applyAlignment="1">
      <alignment horizontal="center" vertical="top" wrapText="1"/>
    </xf>
    <xf numFmtId="173" fontId="0" fillId="0" borderId="0" xfId="2" applyNumberFormat="1" applyFont="1"/>
    <xf numFmtId="167" fontId="0" fillId="0" borderId="0" xfId="0" applyNumberFormat="1"/>
    <xf numFmtId="43" fontId="0" fillId="0" borderId="0" xfId="0" applyNumberFormat="1"/>
    <xf numFmtId="173" fontId="0" fillId="0" borderId="0" xfId="2" applyNumberFormat="1" applyFont="1" applyFill="1"/>
    <xf numFmtId="43" fontId="0" fillId="0" borderId="0" xfId="2" applyFont="1" applyFill="1"/>
    <xf numFmtId="174" fontId="0" fillId="0" borderId="0" xfId="2" applyNumberFormat="1" applyFont="1" applyFill="1"/>
    <xf numFmtId="0" fontId="5" fillId="0" borderId="16" xfId="0" applyFont="1" applyBorder="1" applyAlignment="1">
      <alignment horizontal="left" vertical="top"/>
    </xf>
    <xf numFmtId="0" fontId="5" fillId="0" borderId="21" xfId="0" applyFont="1" applyBorder="1" applyAlignment="1">
      <alignment horizontal="left" vertical="top"/>
    </xf>
    <xf numFmtId="0" fontId="5" fillId="0" borderId="20" xfId="0" applyFont="1" applyBorder="1" applyAlignment="1">
      <alignment horizontal="left" vertical="top"/>
    </xf>
    <xf numFmtId="0" fontId="1" fillId="0" borderId="41" xfId="0" applyFont="1" applyBorder="1" applyAlignment="1">
      <alignment horizontal="center"/>
    </xf>
    <xf numFmtId="1" fontId="0" fillId="0" borderId="50" xfId="2" applyNumberFormat="1" applyFont="1" applyBorder="1" applyAlignment="1">
      <alignment horizontal="center"/>
    </xf>
    <xf numFmtId="1" fontId="0" fillId="0" borderId="51" xfId="2" applyNumberFormat="1" applyFont="1" applyBorder="1" applyAlignment="1">
      <alignment horizontal="center"/>
    </xf>
    <xf numFmtId="165" fontId="0" fillId="0" borderId="50" xfId="2" applyNumberFormat="1" applyFont="1" applyBorder="1" applyAlignment="1">
      <alignment horizontal="center"/>
    </xf>
    <xf numFmtId="165" fontId="0" fillId="0" borderId="51" xfId="2" applyNumberFormat="1" applyFont="1" applyBorder="1" applyAlignment="1">
      <alignment horizontal="center"/>
    </xf>
    <xf numFmtId="0" fontId="0" fillId="0" borderId="0" xfId="0" applyFont="1"/>
    <xf numFmtId="0" fontId="1" fillId="0" borderId="42" xfId="0" applyFont="1" applyBorder="1"/>
    <xf numFmtId="0" fontId="1" fillId="0" borderId="43" xfId="0" applyFont="1" applyBorder="1"/>
    <xf numFmtId="173" fontId="1" fillId="0" borderId="43" xfId="0" applyNumberFormat="1" applyFont="1" applyBorder="1"/>
    <xf numFmtId="0" fontId="1" fillId="0" borderId="45" xfId="0" applyFont="1" applyBorder="1"/>
    <xf numFmtId="0" fontId="1" fillId="0" borderId="0" xfId="0" applyFont="1" applyBorder="1"/>
    <xf numFmtId="43" fontId="1" fillId="0" borderId="0" xfId="0" applyNumberFormat="1" applyFont="1" applyBorder="1"/>
    <xf numFmtId="0" fontId="0" fillId="0" borderId="0" xfId="0" applyBorder="1"/>
    <xf numFmtId="0" fontId="0" fillId="0" borderId="45" xfId="0" applyBorder="1"/>
    <xf numFmtId="0" fontId="1" fillId="0" borderId="47" xfId="0" applyFont="1" applyBorder="1"/>
    <xf numFmtId="0" fontId="0" fillId="0" borderId="48" xfId="0" applyBorder="1"/>
    <xf numFmtId="0" fontId="0" fillId="0" borderId="52" xfId="0" applyBorder="1" applyAlignment="1">
      <alignment horizontal="center"/>
    </xf>
    <xf numFmtId="43" fontId="0" fillId="0" borderId="50" xfId="2" applyFont="1" applyBorder="1" applyAlignment="1"/>
    <xf numFmtId="168" fontId="1" fillId="0" borderId="43" xfId="0" applyNumberFormat="1" applyFont="1" applyBorder="1"/>
    <xf numFmtId="168" fontId="1" fillId="0" borderId="0" xfId="0" applyNumberFormat="1" applyFont="1" applyBorder="1"/>
    <xf numFmtId="43" fontId="0" fillId="0" borderId="0" xfId="0" applyNumberFormat="1" applyBorder="1"/>
    <xf numFmtId="173" fontId="0" fillId="0" borderId="0" xfId="0" applyNumberFormat="1" applyBorder="1"/>
    <xf numFmtId="43" fontId="0" fillId="0" borderId="48" xfId="0" applyNumberFormat="1" applyBorder="1"/>
    <xf numFmtId="0" fontId="0" fillId="0" borderId="44" xfId="0" applyBorder="1"/>
    <xf numFmtId="0" fontId="0" fillId="0" borderId="46" xfId="0" applyBorder="1"/>
    <xf numFmtId="0" fontId="0" fillId="0" borderId="49" xfId="0" applyBorder="1"/>
    <xf numFmtId="11" fontId="17" fillId="0" borderId="0" xfId="0" applyNumberFormat="1" applyFont="1"/>
    <xf numFmtId="0" fontId="0" fillId="0" borderId="0" xfId="0" applyFill="1" applyAlignment="1">
      <alignment horizontal="left" vertical="top"/>
    </xf>
    <xf numFmtId="0" fontId="0" fillId="0" borderId="0" xfId="0" applyFill="1"/>
    <xf numFmtId="0" fontId="0" fillId="0" borderId="0" xfId="0" applyFill="1" applyAlignment="1">
      <alignment horizontal="center"/>
    </xf>
    <xf numFmtId="9" fontId="0" fillId="0" borderId="0" xfId="0" applyNumberFormat="1" applyAlignment="1">
      <alignment horizontal="right" vertical="top"/>
    </xf>
    <xf numFmtId="0" fontId="0" fillId="0" borderId="0" xfId="0" applyFill="1" applyAlignment="1">
      <alignment horizontal="right" vertical="top"/>
    </xf>
    <xf numFmtId="11" fontId="0" fillId="0" borderId="0" xfId="0" applyNumberFormat="1" applyAlignment="1">
      <alignment horizontal="right" vertical="top"/>
    </xf>
    <xf numFmtId="11" fontId="0" fillId="0" borderId="0" xfId="0" applyNumberFormat="1" applyAlignment="1">
      <alignment horizontal="right"/>
    </xf>
    <xf numFmtId="0" fontId="2" fillId="0" borderId="0" xfId="0" applyFont="1" applyAlignment="1">
      <alignment horizontal="left" vertical="top"/>
    </xf>
    <xf numFmtId="1" fontId="0" fillId="2" borderId="0" xfId="0" applyNumberFormat="1" applyFill="1"/>
    <xf numFmtId="0" fontId="1" fillId="0" borderId="41" xfId="0" applyFont="1" applyBorder="1"/>
    <xf numFmtId="0" fontId="0" fillId="0" borderId="41" xfId="0" applyBorder="1"/>
    <xf numFmtId="0" fontId="0" fillId="0" borderId="41" xfId="0" applyBorder="1" applyAlignment="1">
      <alignment horizontal="center"/>
    </xf>
    <xf numFmtId="0" fontId="18" fillId="0" borderId="41" xfId="0" applyFont="1" applyBorder="1" applyAlignment="1">
      <alignment horizontal="center"/>
    </xf>
    <xf numFmtId="166" fontId="0" fillId="0" borderId="41" xfId="0" applyNumberFormat="1" applyBorder="1"/>
    <xf numFmtId="2" fontId="0" fillId="0" borderId="41" xfId="0" applyNumberFormat="1" applyBorder="1" applyAlignment="1">
      <alignment horizontal="center"/>
    </xf>
    <xf numFmtId="171" fontId="0" fillId="0" borderId="41" xfId="0" applyNumberFormat="1" applyBorder="1"/>
    <xf numFmtId="167" fontId="0" fillId="0" borderId="41" xfId="0" applyNumberFormat="1" applyBorder="1" applyAlignment="1">
      <alignment horizontal="center"/>
    </xf>
    <xf numFmtId="1" fontId="0" fillId="0" borderId="41" xfId="0" applyNumberFormat="1" applyBorder="1" applyAlignment="1">
      <alignment horizontal="center"/>
    </xf>
    <xf numFmtId="166" fontId="0" fillId="0" borderId="41" xfId="0" applyNumberFormat="1"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Transmission</a:t>
            </a:r>
            <a:r>
              <a:rPr lang="en-GB" baseline="0"/>
              <a:t> </a:t>
            </a:r>
            <a:r>
              <a:rPr lang="en-GB"/>
              <a:t>Bit Rate (AOS to 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Bit Rate</c:v>
          </c:tx>
          <c:spPr>
            <a:ln w="28575" cap="rnd">
              <a:solidFill>
                <a:schemeClr val="accent5"/>
              </a:solidFill>
              <a:round/>
            </a:ln>
            <a:effectLst/>
          </c:spPr>
          <c:marker>
            <c:symbol val="none"/>
          </c:marker>
          <c:trendline>
            <c:spPr>
              <a:ln w="25400" cap="rnd">
                <a:solidFill>
                  <a:srgbClr val="7030A0"/>
                </a:solidFill>
                <a:prstDash val="sysDot"/>
              </a:ln>
              <a:effectLst/>
            </c:spPr>
            <c:trendlineType val="linear"/>
            <c:dispRSqr val="0"/>
            <c:dispEq val="0"/>
          </c:trendline>
          <c:cat>
            <c:numRef>
              <c:f>Communications!$H$5:$H$27</c:f>
              <c:numCache>
                <c:formatCode>0</c:formatCode>
                <c:ptCount val="23"/>
                <c:pt idx="0">
                  <c:v>3619</c:v>
                </c:pt>
                <c:pt idx="1">
                  <c:v>3500</c:v>
                </c:pt>
                <c:pt idx="2">
                  <c:v>3250</c:v>
                </c:pt>
                <c:pt idx="3">
                  <c:v>3000</c:v>
                </c:pt>
                <c:pt idx="4">
                  <c:v>2750</c:v>
                </c:pt>
                <c:pt idx="5">
                  <c:v>2500</c:v>
                </c:pt>
                <c:pt idx="6">
                  <c:v>2250</c:v>
                </c:pt>
                <c:pt idx="7">
                  <c:v>2000</c:v>
                </c:pt>
                <c:pt idx="8">
                  <c:v>1750</c:v>
                </c:pt>
                <c:pt idx="9">
                  <c:v>1500</c:v>
                </c:pt>
                <c:pt idx="10">
                  <c:v>1250</c:v>
                </c:pt>
                <c:pt idx="11">
                  <c:v>1000</c:v>
                </c:pt>
                <c:pt idx="12">
                  <c:v>1250</c:v>
                </c:pt>
                <c:pt idx="13">
                  <c:v>1500</c:v>
                </c:pt>
                <c:pt idx="14">
                  <c:v>1750</c:v>
                </c:pt>
                <c:pt idx="15">
                  <c:v>2000</c:v>
                </c:pt>
                <c:pt idx="16">
                  <c:v>2250</c:v>
                </c:pt>
                <c:pt idx="17">
                  <c:v>2500</c:v>
                </c:pt>
                <c:pt idx="18">
                  <c:v>2750</c:v>
                </c:pt>
                <c:pt idx="19">
                  <c:v>3000</c:v>
                </c:pt>
                <c:pt idx="20">
                  <c:v>3250</c:v>
                </c:pt>
                <c:pt idx="21">
                  <c:v>3500</c:v>
                </c:pt>
                <c:pt idx="22">
                  <c:v>3619</c:v>
                </c:pt>
              </c:numCache>
            </c:numRef>
          </c:cat>
          <c:val>
            <c:numRef>
              <c:f>Communications!$L$5:$L$27</c:f>
              <c:numCache>
                <c:formatCode>0.0</c:formatCode>
                <c:ptCount val="23"/>
                <c:pt idx="0">
                  <c:v>0.8843640001055213</c:v>
                </c:pt>
                <c:pt idx="1">
                  <c:v>0.94552307689681925</c:v>
                </c:pt>
                <c:pt idx="2">
                  <c:v>1.096582976756078</c:v>
                </c:pt>
                <c:pt idx="3">
                  <c:v>1.2869619657762255</c:v>
                </c:pt>
                <c:pt idx="4">
                  <c:v>1.5315910997667517</c:v>
                </c:pt>
                <c:pt idx="5">
                  <c:v>1.8532252307177692</c:v>
                </c:pt>
                <c:pt idx="6">
                  <c:v>2.2879323836021781</c:v>
                </c:pt>
                <c:pt idx="7">
                  <c:v>2.8956644229965089</c:v>
                </c:pt>
                <c:pt idx="8">
                  <c:v>3.7820923075872845</c:v>
                </c:pt>
                <c:pt idx="9">
                  <c:v>5.1478478631049125</c:v>
                </c:pt>
                <c:pt idx="10">
                  <c:v>7.4129009228710121</c:v>
                </c:pt>
                <c:pt idx="11">
                  <c:v>11.582657691986057</c:v>
                </c:pt>
                <c:pt idx="12">
                  <c:v>7.4129009228710121</c:v>
                </c:pt>
                <c:pt idx="13">
                  <c:v>5.1478478631049125</c:v>
                </c:pt>
                <c:pt idx="14">
                  <c:v>3.7820923075872845</c:v>
                </c:pt>
                <c:pt idx="15">
                  <c:v>2.8956644229965089</c:v>
                </c:pt>
                <c:pt idx="16">
                  <c:v>2.2879323836021781</c:v>
                </c:pt>
                <c:pt idx="17">
                  <c:v>1.8532252307177692</c:v>
                </c:pt>
                <c:pt idx="18">
                  <c:v>1.5315910997667517</c:v>
                </c:pt>
                <c:pt idx="19">
                  <c:v>1.2869619657762255</c:v>
                </c:pt>
                <c:pt idx="20">
                  <c:v>1.096582976756078</c:v>
                </c:pt>
                <c:pt idx="21">
                  <c:v>0.94552307689681925</c:v>
                </c:pt>
                <c:pt idx="22">
                  <c:v>0.8843640001055213</c:v>
                </c:pt>
              </c:numCache>
            </c:numRef>
          </c:val>
          <c:smooth val="0"/>
          <c:extLst>
            <c:ext xmlns:c16="http://schemas.microsoft.com/office/drawing/2014/chart" uri="{C3380CC4-5D6E-409C-BE32-E72D297353CC}">
              <c16:uniqueId val="{00000001-E93E-4C29-B5F5-9611FE31EC82}"/>
            </c:ext>
          </c:extLst>
        </c:ser>
        <c:ser>
          <c:idx val="0"/>
          <c:order val="1"/>
          <c:tx>
            <c:v>Transceiver Max Transmission Rate</c:v>
          </c:tx>
          <c:spPr>
            <a:ln w="28575" cap="rnd">
              <a:solidFill>
                <a:srgbClr val="FF0000"/>
              </a:solidFill>
              <a:prstDash val="dash"/>
              <a:round/>
            </a:ln>
            <a:effectLst/>
          </c:spPr>
          <c:marker>
            <c:symbol val="none"/>
          </c:marker>
          <c:val>
            <c:numRef>
              <c:f>Communications!$K$5:$K$27</c:f>
              <c:numCache>
                <c:formatCode>0</c:formatCode>
                <c:ptCount val="23"/>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numCache>
            </c:numRef>
          </c:val>
          <c:smooth val="0"/>
          <c:extLst>
            <c:ext xmlns:c16="http://schemas.microsoft.com/office/drawing/2014/chart" uri="{C3380CC4-5D6E-409C-BE32-E72D297353CC}">
              <c16:uniqueId val="{00000007-E93E-4C29-B5F5-9611FE31EC82}"/>
            </c:ext>
          </c:extLst>
        </c:ser>
        <c:dLbls>
          <c:showLegendKey val="0"/>
          <c:showVal val="0"/>
          <c:showCatName val="0"/>
          <c:showSerName val="0"/>
          <c:showPercent val="0"/>
          <c:showBubbleSize val="0"/>
        </c:dLbls>
        <c:smooth val="0"/>
        <c:axId val="1755894575"/>
        <c:axId val="1755901775"/>
      </c:lineChart>
      <c:catAx>
        <c:axId val="17558945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Separation Distance (km)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55901775"/>
        <c:crosses val="autoZero"/>
        <c:auto val="1"/>
        <c:lblAlgn val="ctr"/>
        <c:lblOffset val="100"/>
        <c:noMultiLvlLbl val="0"/>
      </c:catAx>
      <c:valAx>
        <c:axId val="175590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Bit Rate (Mbps)</a:t>
                </a:r>
              </a:p>
            </c:rich>
          </c:tx>
          <c:layout>
            <c:manualLayout>
              <c:xMode val="edge"/>
              <c:yMode val="edge"/>
              <c:x val="1.5378499207087837E-2"/>
              <c:y val="0.3819131036977967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55894575"/>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958850</xdr:colOff>
      <xdr:row>24</xdr:row>
      <xdr:rowOff>95250</xdr:rowOff>
    </xdr:from>
    <xdr:to>
      <xdr:col>5</xdr:col>
      <xdr:colOff>762000</xdr:colOff>
      <xdr:row>47</xdr:row>
      <xdr:rowOff>82550</xdr:rowOff>
    </xdr:to>
    <xdr:graphicFrame macro="">
      <xdr:nvGraphicFramePr>
        <xdr:cNvPr id="2" name="Chart 1">
          <a:extLst>
            <a:ext uri="{FF2B5EF4-FFF2-40B4-BE49-F238E27FC236}">
              <a16:creationId xmlns:a16="http://schemas.microsoft.com/office/drawing/2014/main" id="{72331228-AE31-C85C-C5A7-572A3257A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F7F6-FBC0-40B1-B0CE-0FD8094AA3E7}">
  <dimension ref="B2:H40"/>
  <sheetViews>
    <sheetView tabSelected="1" workbookViewId="0">
      <selection activeCell="H34" sqref="H34"/>
    </sheetView>
  </sheetViews>
  <sheetFormatPr defaultRowHeight="14.5" x14ac:dyDescent="0.35"/>
  <cols>
    <col min="1" max="1" width="3" customWidth="1"/>
    <col min="2" max="2" width="34.54296875" customWidth="1"/>
    <col min="3" max="3" width="6.08984375" bestFit="1" customWidth="1"/>
    <col min="4" max="5" width="20.6328125" customWidth="1"/>
    <col min="6" max="6" width="21.453125" customWidth="1"/>
    <col min="7" max="7" width="17.08984375" customWidth="1"/>
    <col min="8" max="8" width="16.453125" bestFit="1" customWidth="1"/>
    <col min="9" max="9" width="9.36328125" bestFit="1" customWidth="1"/>
  </cols>
  <sheetData>
    <row r="2" spans="2:8" ht="15.5" x14ac:dyDescent="0.35">
      <c r="B2" s="3" t="s">
        <v>400</v>
      </c>
    </row>
    <row r="4" spans="2:8" x14ac:dyDescent="0.35">
      <c r="B4" t="s">
        <v>15</v>
      </c>
    </row>
    <row r="5" spans="2:8" x14ac:dyDescent="0.35">
      <c r="B5" t="s">
        <v>16</v>
      </c>
    </row>
    <row r="7" spans="2:8" x14ac:dyDescent="0.35">
      <c r="B7" s="10" t="s">
        <v>401</v>
      </c>
      <c r="C7" s="10" t="s">
        <v>66</v>
      </c>
      <c r="D7" s="5" t="s">
        <v>1</v>
      </c>
      <c r="E7" s="5" t="s">
        <v>0</v>
      </c>
      <c r="F7" s="5" t="s">
        <v>39</v>
      </c>
      <c r="G7" s="5" t="s">
        <v>402</v>
      </c>
    </row>
    <row r="8" spans="2:8" x14ac:dyDescent="0.35">
      <c r="B8" s="237" t="s">
        <v>5</v>
      </c>
      <c r="C8" s="237" t="s">
        <v>11</v>
      </c>
      <c r="F8" s="5"/>
      <c r="G8" s="1">
        <v>149600000000</v>
      </c>
    </row>
    <row r="9" spans="2:8" x14ac:dyDescent="0.35">
      <c r="B9" t="s">
        <v>2</v>
      </c>
      <c r="C9" t="s">
        <v>9</v>
      </c>
      <c r="D9" s="1">
        <v>1.327E+20</v>
      </c>
      <c r="E9" s="1">
        <v>398600000000000</v>
      </c>
      <c r="F9" s="1">
        <v>324859000000000</v>
      </c>
      <c r="G9" s="1"/>
    </row>
    <row r="10" spans="2:8" ht="15.5" x14ac:dyDescent="0.35">
      <c r="B10" t="s">
        <v>3</v>
      </c>
      <c r="C10" t="s">
        <v>10</v>
      </c>
      <c r="D10" s="1">
        <v>696000000</v>
      </c>
      <c r="E10" s="1">
        <v>6380000</v>
      </c>
      <c r="F10" s="1">
        <v>6050000</v>
      </c>
      <c r="G10" s="258"/>
    </row>
    <row r="11" spans="2:8" x14ac:dyDescent="0.35">
      <c r="B11" t="s">
        <v>6</v>
      </c>
      <c r="C11" t="s">
        <v>11</v>
      </c>
      <c r="D11" s="1"/>
      <c r="E11" s="1">
        <f>G8</f>
        <v>149600000000</v>
      </c>
      <c r="F11" s="1">
        <f>0.723332*G8</f>
        <v>108210467200</v>
      </c>
      <c r="G11" s="1"/>
    </row>
    <row r="12" spans="2:8" x14ac:dyDescent="0.35">
      <c r="B12" t="s">
        <v>4</v>
      </c>
      <c r="C12" t="s">
        <v>12</v>
      </c>
      <c r="D12" s="1"/>
      <c r="E12" s="1">
        <f>365*24*60*60</f>
        <v>31536000</v>
      </c>
      <c r="F12" s="1">
        <f>224.701*24*60*60</f>
        <v>19414166.399999999</v>
      </c>
      <c r="G12" s="1"/>
    </row>
    <row r="13" spans="2:8" x14ac:dyDescent="0.35">
      <c r="B13" t="s">
        <v>25</v>
      </c>
      <c r="C13" t="s">
        <v>23</v>
      </c>
      <c r="D13" s="1"/>
      <c r="E13" s="7">
        <f>E12/60/60/24/365</f>
        <v>1</v>
      </c>
      <c r="F13" s="7">
        <f>F12/60/60/24/365</f>
        <v>0.6156191780821918</v>
      </c>
      <c r="G13" s="7"/>
    </row>
    <row r="14" spans="2:8" x14ac:dyDescent="0.35">
      <c r="B14" t="s">
        <v>29</v>
      </c>
      <c r="C14" t="s">
        <v>13</v>
      </c>
      <c r="D14" s="1"/>
      <c r="E14" s="1">
        <f>SQRT($D$9/E11)</f>
        <v>29783.083882658917</v>
      </c>
      <c r="F14" s="1">
        <f>SQRT($D$9/F11)</f>
        <v>35018.764962681969</v>
      </c>
      <c r="G14" s="1"/>
    </row>
    <row r="15" spans="2:8" x14ac:dyDescent="0.35">
      <c r="B15" t="s">
        <v>7</v>
      </c>
      <c r="C15" t="s">
        <v>11</v>
      </c>
      <c r="D15" s="1"/>
      <c r="E15" s="1">
        <v>800000</v>
      </c>
      <c r="F15" s="1">
        <v>1000000</v>
      </c>
      <c r="G15" s="1"/>
      <c r="H15" s="2"/>
    </row>
    <row r="16" spans="2:8" x14ac:dyDescent="0.35">
      <c r="B16" t="s">
        <v>8</v>
      </c>
      <c r="C16" t="s">
        <v>11</v>
      </c>
      <c r="D16" s="1"/>
      <c r="E16" s="1">
        <f>E15+E10</f>
        <v>7180000</v>
      </c>
      <c r="F16" s="1">
        <f>F15+F10</f>
        <v>7050000</v>
      </c>
      <c r="G16" s="1"/>
    </row>
    <row r="17" spans="2:7" x14ac:dyDescent="0.35">
      <c r="B17" t="s">
        <v>14</v>
      </c>
      <c r="C17" t="s">
        <v>12</v>
      </c>
      <c r="D17" s="1"/>
      <c r="E17" s="1">
        <f>2*PI()*SQRT(POWER(E16,3)/E9)</f>
        <v>6054.7733056803663</v>
      </c>
      <c r="F17" s="1">
        <f>2*PI()*SQRT(POWER(F16,3)/F9)</f>
        <v>6525.5345330468763</v>
      </c>
      <c r="G17" s="1"/>
    </row>
    <row r="18" spans="2:7" x14ac:dyDescent="0.35">
      <c r="B18" t="s">
        <v>17</v>
      </c>
      <c r="C18" t="s">
        <v>18</v>
      </c>
      <c r="D18" s="2"/>
      <c r="E18" s="2">
        <f>E17/60</f>
        <v>100.9128884280061</v>
      </c>
      <c r="F18" s="2">
        <f>F17/60</f>
        <v>108.7589088841146</v>
      </c>
      <c r="G18" s="2"/>
    </row>
    <row r="19" spans="2:7" x14ac:dyDescent="0.35">
      <c r="B19" t="s">
        <v>19</v>
      </c>
      <c r="C19" t="s">
        <v>13</v>
      </c>
      <c r="D19" s="4"/>
      <c r="E19" s="4">
        <f>SQRT(E9/E16)</f>
        <v>7450.8603754373116</v>
      </c>
      <c r="F19" s="4">
        <f>SQRT(F9/F16)</f>
        <v>6788.1728602137</v>
      </c>
      <c r="G19" s="4"/>
    </row>
    <row r="20" spans="2:7" x14ac:dyDescent="0.35">
      <c r="D20" s="4"/>
      <c r="E20" s="7"/>
    </row>
    <row r="21" spans="2:7" x14ac:dyDescent="0.35">
      <c r="D21" s="4"/>
      <c r="E21" s="4"/>
    </row>
    <row r="22" spans="2:7" x14ac:dyDescent="0.35">
      <c r="D22" s="4"/>
      <c r="E22" s="6" t="s">
        <v>40</v>
      </c>
    </row>
    <row r="23" spans="2:7" x14ac:dyDescent="0.35">
      <c r="B23" t="s">
        <v>28</v>
      </c>
      <c r="C23" t="s">
        <v>11</v>
      </c>
      <c r="D23" s="1"/>
      <c r="E23" s="1">
        <f>F11</f>
        <v>108210467200</v>
      </c>
    </row>
    <row r="24" spans="2:7" x14ac:dyDescent="0.35">
      <c r="B24" t="s">
        <v>26</v>
      </c>
      <c r="C24" t="s">
        <v>11</v>
      </c>
      <c r="D24" s="1"/>
      <c r="E24" s="1">
        <f>(E23+$E$11)/2</f>
        <v>128905233600</v>
      </c>
    </row>
    <row r="25" spans="2:7" x14ac:dyDescent="0.35">
      <c r="B25" t="s">
        <v>21</v>
      </c>
      <c r="C25" t="s">
        <v>13</v>
      </c>
      <c r="D25" s="4"/>
      <c r="E25" s="4">
        <f>SQRT(2*$D$9*((1/E11)-(1/(E11+E23))))</f>
        <v>27287.831558711991</v>
      </c>
    </row>
    <row r="26" spans="2:7" x14ac:dyDescent="0.35">
      <c r="B26" t="s">
        <v>22</v>
      </c>
      <c r="C26" t="s">
        <v>12</v>
      </c>
      <c r="E26" s="1">
        <f>2*PI()*SQRT(POWER(E24,3)/$D$9)</f>
        <v>25243538.524565142</v>
      </c>
    </row>
    <row r="27" spans="2:7" x14ac:dyDescent="0.35">
      <c r="B27" t="s">
        <v>24</v>
      </c>
      <c r="C27" t="s">
        <v>23</v>
      </c>
      <c r="D27" s="2"/>
      <c r="E27" s="8">
        <f>E26/60/60/24/365</f>
        <v>0.80046735554810811</v>
      </c>
    </row>
    <row r="28" spans="2:7" x14ac:dyDescent="0.35">
      <c r="B28" t="s">
        <v>27</v>
      </c>
      <c r="C28" t="s">
        <v>23</v>
      </c>
      <c r="D28" s="2"/>
      <c r="E28" s="8">
        <f>E27/2</f>
        <v>0.40023367777405405</v>
      </c>
      <c r="F28" s="2">
        <f>E28*365</f>
        <v>146.08529238752973</v>
      </c>
      <c r="G28" t="s">
        <v>405</v>
      </c>
    </row>
    <row r="29" spans="2:7" x14ac:dyDescent="0.35">
      <c r="B29" t="s">
        <v>32</v>
      </c>
      <c r="C29" t="s">
        <v>13</v>
      </c>
      <c r="E29" s="2">
        <f>SQRT($D$9/$E$11)*(1-SQRT((2*E23)/(E23+$E$11)))</f>
        <v>2495.2523239469274</v>
      </c>
    </row>
    <row r="30" spans="2:7" x14ac:dyDescent="0.35">
      <c r="B30" t="s">
        <v>34</v>
      </c>
      <c r="C30" t="s">
        <v>13</v>
      </c>
      <c r="E30" s="2">
        <f>SQRT(2*(0.5*POWER(E29,2) + (E9/(E16))))</f>
        <v>10828.523668011545</v>
      </c>
    </row>
    <row r="31" spans="2:7" x14ac:dyDescent="0.35">
      <c r="B31" t="s">
        <v>30</v>
      </c>
      <c r="C31" t="s">
        <v>13</v>
      </c>
      <c r="E31" s="267">
        <f>E30-E19</f>
        <v>3377.6632925742333</v>
      </c>
      <c r="F31" s="4"/>
    </row>
    <row r="32" spans="2:7" x14ac:dyDescent="0.35">
      <c r="B32" t="s">
        <v>33</v>
      </c>
      <c r="C32" t="s">
        <v>13</v>
      </c>
      <c r="E32" s="2">
        <f>SQRT($D$9/E23)*(SQRT((2*E11)/(E23+$E$11))-1)</f>
        <v>2706.4173308042723</v>
      </c>
    </row>
    <row r="33" spans="2:5" x14ac:dyDescent="0.35">
      <c r="B33" t="s">
        <v>35</v>
      </c>
      <c r="C33" t="s">
        <v>13</v>
      </c>
      <c r="E33" s="2">
        <f>SQRT(2*(0.5*POWER(E32,2) + (F9/(F16))))</f>
        <v>9974.1303545101819</v>
      </c>
    </row>
    <row r="34" spans="2:5" x14ac:dyDescent="0.35">
      <c r="B34" t="s">
        <v>31</v>
      </c>
      <c r="C34" t="s">
        <v>13</v>
      </c>
      <c r="E34" s="267">
        <f>E33-F19</f>
        <v>3185.9574942964819</v>
      </c>
    </row>
    <row r="35" spans="2:5" x14ac:dyDescent="0.35">
      <c r="E35" s="4"/>
    </row>
    <row r="36" spans="2:5" x14ac:dyDescent="0.35">
      <c r="B36" s="10" t="s">
        <v>175</v>
      </c>
    </row>
    <row r="37" spans="2:5" x14ac:dyDescent="0.35">
      <c r="B37" t="s">
        <v>20</v>
      </c>
    </row>
    <row r="38" spans="2:5" x14ac:dyDescent="0.35">
      <c r="B38" t="s">
        <v>36</v>
      </c>
    </row>
    <row r="39" spans="2:5" x14ac:dyDescent="0.35">
      <c r="B39" t="s">
        <v>37</v>
      </c>
    </row>
    <row r="40" spans="2:5" x14ac:dyDescent="0.35">
      <c r="B40" t="s">
        <v>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021B-C670-4B09-AD11-6AEC7CCBBA5B}">
  <dimension ref="B2:O40"/>
  <sheetViews>
    <sheetView workbookViewId="0">
      <selection activeCell="B52" sqref="B52"/>
    </sheetView>
  </sheetViews>
  <sheetFormatPr defaultRowHeight="14.5" x14ac:dyDescent="0.35"/>
  <cols>
    <col min="1" max="1" width="3.54296875" customWidth="1"/>
    <col min="2" max="2" width="41.26953125" bestFit="1" customWidth="1"/>
    <col min="3" max="4" width="24.7265625" customWidth="1"/>
    <col min="5" max="5" width="12.08984375" style="11" customWidth="1"/>
    <col min="6" max="6" width="23.36328125" bestFit="1" customWidth="1"/>
    <col min="7" max="7" width="6.81640625" customWidth="1"/>
    <col min="8" max="12" width="22.36328125" customWidth="1"/>
    <col min="13" max="13" width="22.36328125" bestFit="1" customWidth="1"/>
    <col min="14" max="14" width="9.08984375" bestFit="1" customWidth="1"/>
    <col min="15" max="15" width="12.54296875" bestFit="1" customWidth="1"/>
    <col min="16" max="16" width="13.6328125" bestFit="1" customWidth="1"/>
    <col min="17" max="17" width="13.6328125" customWidth="1"/>
    <col min="18" max="18" width="21.26953125" bestFit="1" customWidth="1"/>
    <col min="19" max="19" width="12.54296875" bestFit="1" customWidth="1"/>
    <col min="21" max="21" width="13.6328125" bestFit="1" customWidth="1"/>
  </cols>
  <sheetData>
    <row r="2" spans="2:13" ht="15.5" x14ac:dyDescent="0.35">
      <c r="B2" s="3" t="s">
        <v>406</v>
      </c>
      <c r="E2"/>
    </row>
    <row r="4" spans="2:13" x14ac:dyDescent="0.35">
      <c r="B4" s="10" t="s">
        <v>127</v>
      </c>
      <c r="C4" s="5" t="s">
        <v>347</v>
      </c>
      <c r="D4" s="5" t="s">
        <v>348</v>
      </c>
      <c r="E4" s="5" t="s">
        <v>66</v>
      </c>
      <c r="F4" s="5" t="s">
        <v>184</v>
      </c>
      <c r="G4" s="5"/>
      <c r="H4" s="232" t="s">
        <v>392</v>
      </c>
      <c r="I4" s="232" t="s">
        <v>393</v>
      </c>
      <c r="J4" s="232" t="s">
        <v>345</v>
      </c>
      <c r="K4" s="232" t="s">
        <v>394</v>
      </c>
      <c r="L4" s="232" t="s">
        <v>346</v>
      </c>
      <c r="M4" s="248"/>
    </row>
    <row r="5" spans="2:13" x14ac:dyDescent="0.35">
      <c r="B5" t="s">
        <v>65</v>
      </c>
      <c r="C5" s="226">
        <v>299792458</v>
      </c>
      <c r="D5" s="226">
        <v>299792458</v>
      </c>
      <c r="E5" s="11" t="s">
        <v>13</v>
      </c>
      <c r="H5" s="233">
        <v>3619</v>
      </c>
      <c r="I5" s="233">
        <f>H5*1000</f>
        <v>3619000</v>
      </c>
      <c r="J5" s="233">
        <v>884364.00010552129</v>
      </c>
      <c r="K5" s="233">
        <v>12</v>
      </c>
      <c r="L5" s="235">
        <f>J5/1000000</f>
        <v>0.8843640001055213</v>
      </c>
      <c r="M5" s="249"/>
    </row>
    <row r="6" spans="2:13" x14ac:dyDescent="0.35">
      <c r="B6" t="s">
        <v>64</v>
      </c>
      <c r="C6" s="226">
        <v>437000000</v>
      </c>
      <c r="D6" s="226">
        <f>C6</f>
        <v>437000000</v>
      </c>
      <c r="E6" s="11" t="s">
        <v>63</v>
      </c>
      <c r="H6" s="233">
        <v>3500</v>
      </c>
      <c r="I6" s="233">
        <f t="shared" ref="I6:I16" si="0">H6*1000</f>
        <v>3500000</v>
      </c>
      <c r="J6" s="233">
        <v>945523.07689681929</v>
      </c>
      <c r="K6" s="233">
        <v>12</v>
      </c>
      <c r="L6" s="235">
        <f t="shared" ref="L6:L27" si="1">J6/1000000</f>
        <v>0.94552307689681925</v>
      </c>
      <c r="M6" s="249"/>
    </row>
    <row r="7" spans="2:13" x14ac:dyDescent="0.35">
      <c r="B7" s="12" t="s">
        <v>62</v>
      </c>
      <c r="C7" s="227">
        <f>C5/C6</f>
        <v>0.68602393135011441</v>
      </c>
      <c r="D7" s="227">
        <f>D5/D6</f>
        <v>0.68602393135011441</v>
      </c>
      <c r="E7" s="11" t="s">
        <v>61</v>
      </c>
      <c r="H7" s="233">
        <v>3250</v>
      </c>
      <c r="I7" s="233">
        <f t="shared" si="0"/>
        <v>3250000</v>
      </c>
      <c r="J7" s="233">
        <v>1096582.976756078</v>
      </c>
      <c r="K7" s="233">
        <v>12</v>
      </c>
      <c r="L7" s="235">
        <f t="shared" si="1"/>
        <v>1.096582976756078</v>
      </c>
      <c r="M7" s="249"/>
    </row>
    <row r="8" spans="2:13" x14ac:dyDescent="0.35">
      <c r="B8" t="s">
        <v>383</v>
      </c>
      <c r="C8" s="227">
        <v>3.5</v>
      </c>
      <c r="D8" s="227">
        <v>3.5</v>
      </c>
      <c r="E8" s="11" t="s">
        <v>45</v>
      </c>
      <c r="H8" s="233">
        <v>3000</v>
      </c>
      <c r="I8" s="233">
        <f t="shared" si="0"/>
        <v>3000000</v>
      </c>
      <c r="J8" s="233">
        <v>1286961.9657762256</v>
      </c>
      <c r="K8" s="233">
        <v>12</v>
      </c>
      <c r="L8" s="235">
        <f t="shared" si="1"/>
        <v>1.2869619657762255</v>
      </c>
      <c r="M8" s="249"/>
    </row>
    <row r="9" spans="2:13" x14ac:dyDescent="0.35">
      <c r="B9" t="s">
        <v>60</v>
      </c>
      <c r="C9" s="227">
        <v>0.7</v>
      </c>
      <c r="D9" s="227">
        <v>0.7</v>
      </c>
      <c r="H9" s="233">
        <v>2750</v>
      </c>
      <c r="I9" s="233">
        <f t="shared" si="0"/>
        <v>2750000</v>
      </c>
      <c r="J9" s="233">
        <v>1531591.0997667518</v>
      </c>
      <c r="K9" s="233">
        <v>12</v>
      </c>
      <c r="L9" s="235">
        <f t="shared" si="1"/>
        <v>1.5315910997667517</v>
      </c>
      <c r="M9" s="249"/>
    </row>
    <row r="10" spans="2:13" x14ac:dyDescent="0.35">
      <c r="B10" t="s">
        <v>389</v>
      </c>
      <c r="C10" s="227">
        <f>C9*C8</f>
        <v>2.4499999999999997</v>
      </c>
      <c r="D10" s="227">
        <f>D9*D8</f>
        <v>2.4499999999999997</v>
      </c>
      <c r="E10" s="11" t="s">
        <v>45</v>
      </c>
      <c r="H10" s="233">
        <v>2500</v>
      </c>
      <c r="I10" s="233">
        <f t="shared" si="0"/>
        <v>2500000</v>
      </c>
      <c r="J10" s="233">
        <v>1853225.2307177691</v>
      </c>
      <c r="K10" s="233">
        <v>12</v>
      </c>
      <c r="L10" s="235">
        <f t="shared" si="1"/>
        <v>1.8532252307177692</v>
      </c>
      <c r="M10" s="249"/>
    </row>
    <row r="11" spans="2:13" x14ac:dyDescent="0.35">
      <c r="B11" t="s">
        <v>59</v>
      </c>
      <c r="C11" s="226">
        <f>D11</f>
        <v>1000000</v>
      </c>
      <c r="D11" s="226">
        <f>I16</f>
        <v>1000000</v>
      </c>
      <c r="E11" s="11" t="s">
        <v>11</v>
      </c>
      <c r="H11" s="233">
        <v>2250</v>
      </c>
      <c r="I11" s="233">
        <f t="shared" si="0"/>
        <v>2250000</v>
      </c>
      <c r="J11" s="233">
        <v>2287932.3836021782</v>
      </c>
      <c r="K11" s="233">
        <v>12</v>
      </c>
      <c r="L11" s="235">
        <f t="shared" si="1"/>
        <v>2.2879323836021781</v>
      </c>
      <c r="M11" s="249"/>
    </row>
    <row r="12" spans="2:13" x14ac:dyDescent="0.35">
      <c r="B12" t="s">
        <v>58</v>
      </c>
      <c r="C12" s="228">
        <f>POWER((4*PI()*C11)/C7,2)</f>
        <v>335537601778613.94</v>
      </c>
      <c r="D12" s="228">
        <f>POWER((4*PI()*D11)/D7,2)</f>
        <v>335537601778613.94</v>
      </c>
      <c r="H12" s="233">
        <v>2000</v>
      </c>
      <c r="I12" s="233">
        <f t="shared" si="0"/>
        <v>2000000</v>
      </c>
      <c r="J12" s="233">
        <v>2895664.4229965089</v>
      </c>
      <c r="K12" s="233">
        <v>12</v>
      </c>
      <c r="L12" s="235">
        <f t="shared" si="1"/>
        <v>2.8956644229965089</v>
      </c>
      <c r="M12" s="249"/>
    </row>
    <row r="13" spans="2:13" x14ac:dyDescent="0.35">
      <c r="B13" t="s">
        <v>57</v>
      </c>
      <c r="C13" s="226">
        <f>10*LOG(C12)</f>
        <v>145.25741196129181</v>
      </c>
      <c r="D13" s="226">
        <f>10*LOG(D12)</f>
        <v>145.25741196129181</v>
      </c>
      <c r="E13" s="11" t="s">
        <v>45</v>
      </c>
      <c r="H13" s="233">
        <v>1750</v>
      </c>
      <c r="I13" s="233">
        <f t="shared" si="0"/>
        <v>1750000</v>
      </c>
      <c r="J13" s="233">
        <v>3782092.3075872846</v>
      </c>
      <c r="K13" s="233">
        <v>12</v>
      </c>
      <c r="L13" s="235">
        <f t="shared" si="1"/>
        <v>3.7820923075872845</v>
      </c>
      <c r="M13" s="249"/>
    </row>
    <row r="14" spans="2:13" x14ac:dyDescent="0.35">
      <c r="B14" t="s">
        <v>56</v>
      </c>
      <c r="C14" s="227">
        <v>0.6</v>
      </c>
      <c r="D14" s="227">
        <v>0.6</v>
      </c>
      <c r="E14" s="11" t="s">
        <v>45</v>
      </c>
      <c r="F14" t="s">
        <v>55</v>
      </c>
      <c r="H14" s="233">
        <v>1500</v>
      </c>
      <c r="I14" s="233">
        <f t="shared" si="0"/>
        <v>1500000</v>
      </c>
      <c r="J14" s="233">
        <v>5147847.8631049125</v>
      </c>
      <c r="K14" s="233">
        <v>12</v>
      </c>
      <c r="L14" s="235">
        <f t="shared" si="1"/>
        <v>5.1478478631049125</v>
      </c>
      <c r="M14" s="249"/>
    </row>
    <row r="15" spans="2:13" x14ac:dyDescent="0.35">
      <c r="B15" t="s">
        <v>54</v>
      </c>
      <c r="C15" s="227"/>
      <c r="D15" s="227">
        <v>2</v>
      </c>
      <c r="E15" s="11" t="s">
        <v>45</v>
      </c>
      <c r="H15" s="233">
        <v>1250</v>
      </c>
      <c r="I15" s="233">
        <f t="shared" si="0"/>
        <v>1250000</v>
      </c>
      <c r="J15" s="233">
        <v>7412900.9228710122</v>
      </c>
      <c r="K15" s="233">
        <v>12</v>
      </c>
      <c r="L15" s="235">
        <f t="shared" si="1"/>
        <v>7.4129009228710121</v>
      </c>
      <c r="M15" s="249"/>
    </row>
    <row r="16" spans="2:13" x14ac:dyDescent="0.35">
      <c r="B16" t="s">
        <v>53</v>
      </c>
      <c r="C16" s="9"/>
      <c r="D16" s="8">
        <v>-228.59916720000001</v>
      </c>
      <c r="E16" s="11" t="s">
        <v>52</v>
      </c>
      <c r="H16" s="233">
        <v>1000</v>
      </c>
      <c r="I16" s="233">
        <f t="shared" si="0"/>
        <v>1000000</v>
      </c>
      <c r="J16" s="233">
        <v>11582657.691986058</v>
      </c>
      <c r="K16" s="233">
        <v>12</v>
      </c>
      <c r="L16" s="235">
        <f t="shared" si="1"/>
        <v>11.582657691986057</v>
      </c>
      <c r="M16" s="249"/>
    </row>
    <row r="17" spans="2:13" x14ac:dyDescent="0.35">
      <c r="B17" t="s">
        <v>51</v>
      </c>
      <c r="C17" s="8">
        <v>338.65</v>
      </c>
      <c r="E17" s="11" t="s">
        <v>41</v>
      </c>
      <c r="F17" t="s">
        <v>343</v>
      </c>
      <c r="H17" s="233">
        <f>H15</f>
        <v>1250</v>
      </c>
      <c r="I17" s="233">
        <f>I15</f>
        <v>1250000</v>
      </c>
      <c r="J17" s="233">
        <f>J15</f>
        <v>7412900.9228710122</v>
      </c>
      <c r="K17" s="233">
        <v>12</v>
      </c>
      <c r="L17" s="235">
        <f t="shared" si="1"/>
        <v>7.4129009228710121</v>
      </c>
      <c r="M17" s="249"/>
    </row>
    <row r="18" spans="2:13" x14ac:dyDescent="0.35">
      <c r="B18" t="s">
        <v>386</v>
      </c>
      <c r="C18" s="9"/>
      <c r="D18" s="8">
        <f>10*LOG(C17)</f>
        <v>25.297510799423797</v>
      </c>
      <c r="E18" s="11" t="s">
        <v>50</v>
      </c>
      <c r="H18" s="233">
        <f>H14</f>
        <v>1500</v>
      </c>
      <c r="I18" s="233">
        <f>I14</f>
        <v>1500000</v>
      </c>
      <c r="J18" s="233">
        <f>J14</f>
        <v>5147847.8631049125</v>
      </c>
      <c r="K18" s="233">
        <v>12</v>
      </c>
      <c r="L18" s="235">
        <f t="shared" si="1"/>
        <v>5.1478478631049125</v>
      </c>
      <c r="M18" s="249"/>
    </row>
    <row r="19" spans="2:13" x14ac:dyDescent="0.35">
      <c r="B19" t="s">
        <v>49</v>
      </c>
      <c r="C19" s="9"/>
      <c r="D19" s="8">
        <v>10.7</v>
      </c>
      <c r="E19" s="11" t="s">
        <v>42</v>
      </c>
      <c r="F19" t="s">
        <v>344</v>
      </c>
      <c r="H19" s="233">
        <f>H13</f>
        <v>1750</v>
      </c>
      <c r="I19" s="233">
        <f>I13</f>
        <v>1750000</v>
      </c>
      <c r="J19" s="233">
        <f>J13</f>
        <v>3782092.3075872846</v>
      </c>
      <c r="K19" s="233">
        <v>12</v>
      </c>
      <c r="L19" s="235">
        <f t="shared" si="1"/>
        <v>3.7820923075872845</v>
      </c>
      <c r="M19" s="249"/>
    </row>
    <row r="20" spans="2:13" x14ac:dyDescent="0.35">
      <c r="B20" t="s">
        <v>390</v>
      </c>
      <c r="C20" s="9"/>
      <c r="D20" s="8">
        <f>10*LOG10(D19)</f>
        <v>10.293837776852097</v>
      </c>
      <c r="E20" s="11" t="s">
        <v>48</v>
      </c>
      <c r="H20" s="233">
        <f>H12</f>
        <v>2000</v>
      </c>
      <c r="I20" s="233">
        <f>I12</f>
        <v>2000000</v>
      </c>
      <c r="J20" s="233">
        <f>J12</f>
        <v>2895664.4229965089</v>
      </c>
      <c r="K20" s="233">
        <v>12</v>
      </c>
      <c r="L20" s="235">
        <f t="shared" si="1"/>
        <v>2.8956644229965089</v>
      </c>
      <c r="M20" s="249"/>
    </row>
    <row r="21" spans="2:13" x14ac:dyDescent="0.35">
      <c r="B21" t="s">
        <v>384</v>
      </c>
      <c r="C21" s="9"/>
      <c r="D21" s="8">
        <f>D20+D10-D15-D13-D14+C10-D18-D16</f>
        <v>70.638082216136496</v>
      </c>
      <c r="E21" s="11" t="s">
        <v>47</v>
      </c>
      <c r="F21" t="s">
        <v>385</v>
      </c>
      <c r="H21" s="233">
        <f>H11</f>
        <v>2250</v>
      </c>
      <c r="I21" s="233">
        <f>I11</f>
        <v>2250000</v>
      </c>
      <c r="J21" s="233">
        <f>J11</f>
        <v>2287932.3836021782</v>
      </c>
      <c r="K21" s="233">
        <v>12</v>
      </c>
      <c r="L21" s="235">
        <f t="shared" si="1"/>
        <v>2.2879323836021781</v>
      </c>
      <c r="M21" s="249"/>
    </row>
    <row r="22" spans="2:13" x14ac:dyDescent="0.35">
      <c r="B22" t="s">
        <v>387</v>
      </c>
      <c r="C22" s="9"/>
      <c r="D22" s="226">
        <f>POWER(10,D21/10)</f>
        <v>11582657.691986058</v>
      </c>
      <c r="E22" s="11" t="s">
        <v>345</v>
      </c>
      <c r="F22" s="224"/>
      <c r="G22" s="224"/>
      <c r="H22" s="233">
        <f>H10</f>
        <v>2500</v>
      </c>
      <c r="I22" s="233">
        <f>I10</f>
        <v>2500000</v>
      </c>
      <c r="J22" s="233">
        <f>J10</f>
        <v>1853225.2307177691</v>
      </c>
      <c r="K22" s="233">
        <v>12</v>
      </c>
      <c r="L22" s="235">
        <f t="shared" si="1"/>
        <v>1.8532252307177692</v>
      </c>
      <c r="M22" s="249"/>
    </row>
    <row r="23" spans="2:13" x14ac:dyDescent="0.35">
      <c r="C23" s="9"/>
      <c r="H23" s="233">
        <f>H9</f>
        <v>2750</v>
      </c>
      <c r="I23" s="233">
        <f>I9</f>
        <v>2750000</v>
      </c>
      <c r="J23" s="233">
        <f>J9</f>
        <v>1531591.0997667518</v>
      </c>
      <c r="K23" s="233">
        <v>12</v>
      </c>
      <c r="L23" s="235">
        <f t="shared" si="1"/>
        <v>1.5315910997667517</v>
      </c>
      <c r="M23" s="249"/>
    </row>
    <row r="24" spans="2:13" x14ac:dyDescent="0.35">
      <c r="C24" s="9"/>
      <c r="D24" s="223"/>
      <c r="F24" s="8"/>
      <c r="G24" s="8"/>
      <c r="H24" s="233">
        <f>H8</f>
        <v>3000</v>
      </c>
      <c r="I24" s="233">
        <f>I8</f>
        <v>3000000</v>
      </c>
      <c r="J24" s="233">
        <f>J8</f>
        <v>1286961.9657762256</v>
      </c>
      <c r="K24" s="233">
        <v>12</v>
      </c>
      <c r="L24" s="235">
        <f t="shared" si="1"/>
        <v>1.2869619657762255</v>
      </c>
      <c r="M24" s="249"/>
    </row>
    <row r="25" spans="2:13" x14ac:dyDescent="0.35">
      <c r="H25" s="233">
        <f>H7</f>
        <v>3250</v>
      </c>
      <c r="I25" s="233">
        <f>I7</f>
        <v>3250000</v>
      </c>
      <c r="J25" s="233">
        <f>J7</f>
        <v>1096582.976756078</v>
      </c>
      <c r="K25" s="233">
        <v>12</v>
      </c>
      <c r="L25" s="235">
        <f t="shared" si="1"/>
        <v>1.096582976756078</v>
      </c>
      <c r="M25" s="249"/>
    </row>
    <row r="26" spans="2:13" x14ac:dyDescent="0.35">
      <c r="H26" s="233">
        <f>H6</f>
        <v>3500</v>
      </c>
      <c r="I26" s="233">
        <f>I6</f>
        <v>3500000</v>
      </c>
      <c r="J26" s="233">
        <f>J6</f>
        <v>945523.07689681929</v>
      </c>
      <c r="K26" s="233">
        <v>12</v>
      </c>
      <c r="L26" s="235">
        <f t="shared" si="1"/>
        <v>0.94552307689681925</v>
      </c>
      <c r="M26" s="249"/>
    </row>
    <row r="27" spans="2:13" x14ac:dyDescent="0.35">
      <c r="H27" s="234">
        <f>H5</f>
        <v>3619</v>
      </c>
      <c r="I27" s="234">
        <f>I5</f>
        <v>3619000</v>
      </c>
      <c r="J27" s="234">
        <f>J5</f>
        <v>884364.00010552129</v>
      </c>
      <c r="K27" s="234">
        <v>12</v>
      </c>
      <c r="L27" s="236">
        <f t="shared" si="1"/>
        <v>0.8843640001055213</v>
      </c>
      <c r="M27" s="249"/>
    </row>
    <row r="28" spans="2:13" x14ac:dyDescent="0.35">
      <c r="H28" s="238" t="s">
        <v>395</v>
      </c>
      <c r="I28" s="239"/>
      <c r="J28" s="240">
        <f>AVERAGE(J5:J27)</f>
        <v>3036175.225754268</v>
      </c>
      <c r="K28" s="240"/>
      <c r="L28" s="250">
        <f>AVERAGE(L5:L27)</f>
        <v>3.0361752257542691</v>
      </c>
      <c r="M28" s="255" t="s">
        <v>346</v>
      </c>
    </row>
    <row r="29" spans="2:13" x14ac:dyDescent="0.35">
      <c r="H29" s="241" t="s">
        <v>396</v>
      </c>
      <c r="I29" s="242"/>
      <c r="J29" s="243">
        <f>J28*(2/3)</f>
        <v>2024116.8171695119</v>
      </c>
      <c r="K29" s="243"/>
      <c r="L29" s="251">
        <f>L28*(2/3)</f>
        <v>2.0241168171695127</v>
      </c>
      <c r="M29" s="256" t="s">
        <v>346</v>
      </c>
    </row>
    <row r="30" spans="2:13" x14ac:dyDescent="0.35">
      <c r="H30" s="241" t="s">
        <v>397</v>
      </c>
      <c r="I30" s="244"/>
      <c r="J30" s="244"/>
      <c r="K30" s="244"/>
      <c r="L30" s="252">
        <f>L29*18.7*60</f>
        <v>2271.0590688641933</v>
      </c>
      <c r="M30" s="256" t="s">
        <v>403</v>
      </c>
    </row>
    <row r="31" spans="2:13" x14ac:dyDescent="0.35">
      <c r="H31" s="241" t="s">
        <v>398</v>
      </c>
      <c r="I31" s="244"/>
      <c r="J31" s="244"/>
      <c r="K31" s="244"/>
      <c r="L31" s="252">
        <f>L30*14</f>
        <v>31794.826964098706</v>
      </c>
      <c r="M31" s="256" t="s">
        <v>404</v>
      </c>
    </row>
    <row r="32" spans="2:13" x14ac:dyDescent="0.35">
      <c r="H32" s="245"/>
      <c r="I32" s="244"/>
      <c r="J32" s="244"/>
      <c r="K32" s="244"/>
      <c r="L32" s="253">
        <f>L31*1000000</f>
        <v>31794826964.098705</v>
      </c>
      <c r="M32" s="256" t="s">
        <v>350</v>
      </c>
    </row>
    <row r="33" spans="8:15" x14ac:dyDescent="0.35">
      <c r="H33" s="245"/>
      <c r="I33" s="244"/>
      <c r="J33" s="244"/>
      <c r="K33" s="244"/>
      <c r="L33" s="253">
        <f>L32/8</f>
        <v>3974353370.5123382</v>
      </c>
      <c r="M33" s="256" t="s">
        <v>351</v>
      </c>
    </row>
    <row r="34" spans="8:15" x14ac:dyDescent="0.35">
      <c r="H34" s="245"/>
      <c r="I34" s="244"/>
      <c r="J34" s="244"/>
      <c r="K34" s="244"/>
      <c r="L34" s="253">
        <f>L33/1000000</f>
        <v>3974.3533705123382</v>
      </c>
      <c r="M34" s="256" t="s">
        <v>349</v>
      </c>
    </row>
    <row r="35" spans="8:15" x14ac:dyDescent="0.35">
      <c r="H35" s="246" t="s">
        <v>399</v>
      </c>
      <c r="I35" s="247"/>
      <c r="J35" s="247"/>
      <c r="K35" s="247"/>
      <c r="L35" s="254">
        <f>L34/1000</f>
        <v>3.9743533705123384</v>
      </c>
      <c r="M35" s="257" t="s">
        <v>352</v>
      </c>
    </row>
    <row r="40" spans="8:15" x14ac:dyDescent="0.35">
      <c r="O40" s="22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5270-054F-4D94-BE55-7187D3941419}">
  <dimension ref="A2:AN175"/>
  <sheetViews>
    <sheetView zoomScaleNormal="100" workbookViewId="0">
      <pane xSplit="3" ySplit="6" topLeftCell="D7" activePane="bottomRight" state="frozen"/>
      <selection pane="topRight" activeCell="D1" sqref="D1"/>
      <selection pane="bottomLeft" activeCell="A6" sqref="A6"/>
      <selection pane="bottomRight" activeCell="B2" sqref="B2"/>
    </sheetView>
  </sheetViews>
  <sheetFormatPr defaultRowHeight="14.5" x14ac:dyDescent="0.35"/>
  <cols>
    <col min="1" max="1" width="3.6328125" style="13" customWidth="1"/>
    <col min="2" max="2" width="46.453125" style="13" customWidth="1"/>
    <col min="3" max="3" width="6.453125" style="13" customWidth="1"/>
    <col min="4" max="4" width="27.08984375" style="13" bestFit="1" customWidth="1"/>
    <col min="5" max="5" width="31.1796875" style="13" customWidth="1"/>
    <col min="6" max="6" width="17.26953125" style="13" customWidth="1"/>
    <col min="7" max="11" width="9" style="13" customWidth="1"/>
    <col min="12" max="12" width="12" style="99" bestFit="1" customWidth="1"/>
    <col min="13" max="16" width="9" style="13" customWidth="1"/>
    <col min="17" max="21" width="18.1796875" style="13" customWidth="1"/>
    <col min="22" max="24" width="10.81640625" style="13" customWidth="1"/>
    <col min="25" max="27" width="14.6328125" style="13" customWidth="1"/>
    <col min="28" max="28" width="21.7265625" style="13" bestFit="1" customWidth="1"/>
    <col min="29" max="29" width="23.7265625" style="13" bestFit="1" customWidth="1"/>
    <col min="30" max="30" width="81.08984375" style="13" customWidth="1"/>
    <col min="31" max="31" width="58.453125" style="13" customWidth="1"/>
    <col min="32" max="33" width="8.7265625" style="13"/>
    <col min="34" max="34" width="47" style="13" bestFit="1" customWidth="1"/>
    <col min="35" max="39" width="8.08984375" style="13" customWidth="1"/>
    <col min="40" max="40" width="74.81640625" style="13" bestFit="1" customWidth="1"/>
    <col min="41" max="16384" width="8.7265625" style="13"/>
  </cols>
  <sheetData>
    <row r="2" spans="1:40" ht="15.5" x14ac:dyDescent="0.35">
      <c r="B2" s="266" t="s">
        <v>95</v>
      </c>
    </row>
    <row r="3" spans="1:40" x14ac:dyDescent="0.3">
      <c r="A3" s="47"/>
      <c r="AH3" s="71" t="s">
        <v>108</v>
      </c>
    </row>
    <row r="4" spans="1:40" ht="15" thickBot="1" x14ac:dyDescent="0.35">
      <c r="A4" s="47"/>
      <c r="B4" s="47" t="s">
        <v>129</v>
      </c>
      <c r="N4" s="125" t="s">
        <v>124</v>
      </c>
      <c r="O4" s="125"/>
      <c r="P4" s="129">
        <v>3600</v>
      </c>
      <c r="Q4" s="125" t="s">
        <v>44</v>
      </c>
      <c r="AI4" s="54"/>
      <c r="AJ4" s="54"/>
      <c r="AK4" s="54"/>
      <c r="AL4" s="54"/>
      <c r="AM4" s="26"/>
    </row>
    <row r="5" spans="1:40" ht="15" thickBot="1" x14ac:dyDescent="0.35">
      <c r="D5" s="229" t="s">
        <v>104</v>
      </c>
      <c r="E5" s="231"/>
      <c r="F5" s="230"/>
      <c r="G5" s="229" t="s">
        <v>97</v>
      </c>
      <c r="H5" s="231"/>
      <c r="I5" s="231"/>
      <c r="J5" s="231"/>
      <c r="K5" s="231"/>
      <c r="L5" s="231"/>
      <c r="M5" s="231"/>
      <c r="N5" s="229" t="s">
        <v>98</v>
      </c>
      <c r="O5" s="231"/>
      <c r="P5" s="230"/>
      <c r="Q5" s="229" t="s">
        <v>105</v>
      </c>
      <c r="R5" s="231"/>
      <c r="S5" s="231"/>
      <c r="T5" s="231"/>
      <c r="U5" s="230"/>
      <c r="V5" s="229" t="s">
        <v>99</v>
      </c>
      <c r="W5" s="231"/>
      <c r="X5" s="230"/>
      <c r="Y5" s="229" t="s">
        <v>100</v>
      </c>
      <c r="Z5" s="231"/>
      <c r="AA5" s="230"/>
      <c r="AB5" s="37" t="s">
        <v>101</v>
      </c>
      <c r="AC5" s="37" t="s">
        <v>102</v>
      </c>
      <c r="AD5" s="229" t="s">
        <v>103</v>
      </c>
      <c r="AE5" s="230"/>
      <c r="AG5" s="73" t="s">
        <v>259</v>
      </c>
      <c r="AH5" s="73" t="s">
        <v>67</v>
      </c>
      <c r="AI5" s="73" t="s">
        <v>110</v>
      </c>
      <c r="AJ5" s="73" t="s">
        <v>112</v>
      </c>
      <c r="AK5" s="73" t="s">
        <v>113</v>
      </c>
      <c r="AL5" s="73" t="s">
        <v>114</v>
      </c>
      <c r="AM5" s="73" t="s">
        <v>122</v>
      </c>
      <c r="AN5" s="73" t="s">
        <v>184</v>
      </c>
    </row>
    <row r="6" spans="1:40" ht="26" thickBot="1" x14ac:dyDescent="0.35">
      <c r="B6" s="32" t="s">
        <v>67</v>
      </c>
      <c r="C6" s="32" t="s">
        <v>191</v>
      </c>
      <c r="D6" s="14" t="s">
        <v>136</v>
      </c>
      <c r="E6" s="15" t="s">
        <v>146</v>
      </c>
      <c r="F6" s="16" t="s">
        <v>70</v>
      </c>
      <c r="G6" s="14" t="s">
        <v>74</v>
      </c>
      <c r="H6" s="15" t="s">
        <v>73</v>
      </c>
      <c r="I6" s="15" t="s">
        <v>119</v>
      </c>
      <c r="J6" s="15" t="s">
        <v>151</v>
      </c>
      <c r="K6" s="15" t="s">
        <v>72</v>
      </c>
      <c r="L6" s="15" t="s">
        <v>46</v>
      </c>
      <c r="M6" s="15" t="s">
        <v>150</v>
      </c>
      <c r="N6" s="14" t="s">
        <v>96</v>
      </c>
      <c r="O6" s="15" t="s">
        <v>92</v>
      </c>
      <c r="P6" s="16" t="s">
        <v>71</v>
      </c>
      <c r="Q6" s="14" t="s">
        <v>75</v>
      </c>
      <c r="R6" s="15" t="s">
        <v>76</v>
      </c>
      <c r="S6" s="15" t="s">
        <v>82</v>
      </c>
      <c r="T6" s="15" t="s">
        <v>93</v>
      </c>
      <c r="U6" s="16" t="s">
        <v>94</v>
      </c>
      <c r="V6" s="14" t="s">
        <v>80</v>
      </c>
      <c r="W6" s="15" t="s">
        <v>81</v>
      </c>
      <c r="X6" s="16" t="s">
        <v>302</v>
      </c>
      <c r="Y6" s="14" t="s">
        <v>85</v>
      </c>
      <c r="Z6" s="15" t="s">
        <v>86</v>
      </c>
      <c r="AA6" s="16" t="s">
        <v>89</v>
      </c>
      <c r="AB6" s="38" t="s">
        <v>324</v>
      </c>
      <c r="AC6" s="38" t="s">
        <v>83</v>
      </c>
      <c r="AD6" s="14" t="s">
        <v>77</v>
      </c>
      <c r="AE6" s="16" t="s">
        <v>69</v>
      </c>
      <c r="AH6" s="69" t="s">
        <v>109</v>
      </c>
      <c r="AI6" s="69" t="s">
        <v>111</v>
      </c>
      <c r="AJ6" s="69" t="s">
        <v>252</v>
      </c>
      <c r="AK6" s="69" t="s">
        <v>115</v>
      </c>
      <c r="AL6" s="69" t="s">
        <v>116</v>
      </c>
      <c r="AM6" s="69" t="s">
        <v>123</v>
      </c>
    </row>
    <row r="7" spans="1:40" ht="14.5" customHeight="1" x14ac:dyDescent="0.3">
      <c r="B7" s="33" t="s">
        <v>130</v>
      </c>
      <c r="C7" s="33" t="s">
        <v>288</v>
      </c>
      <c r="D7" s="17" t="s">
        <v>132</v>
      </c>
      <c r="E7" s="18" t="s">
        <v>145</v>
      </c>
      <c r="F7" s="19" t="s">
        <v>79</v>
      </c>
      <c r="G7" s="122">
        <v>1.7</v>
      </c>
      <c r="H7" s="123">
        <v>1.7</v>
      </c>
      <c r="I7" s="123" t="s">
        <v>79</v>
      </c>
      <c r="J7" s="123">
        <f>(G7*H7*2)+(K7*G7*2)+(K7*H7*2)</f>
        <v>15.299999999999999</v>
      </c>
      <c r="K7" s="123">
        <v>1.4</v>
      </c>
      <c r="L7" s="185" t="s">
        <v>196</v>
      </c>
      <c r="M7" s="123">
        <f>G7*H7*K7</f>
        <v>4.0459999999999994</v>
      </c>
      <c r="N7" s="122">
        <v>700</v>
      </c>
      <c r="O7" s="123">
        <v>545</v>
      </c>
      <c r="P7" s="108">
        <f>SUM(N7:O7)</f>
        <v>1245</v>
      </c>
      <c r="Q7" s="122"/>
      <c r="R7" s="123"/>
      <c r="S7" s="123">
        <v>28</v>
      </c>
      <c r="T7" s="123">
        <v>1100</v>
      </c>
      <c r="U7" s="108">
        <f>28*24*3</f>
        <v>2016</v>
      </c>
      <c r="V7" s="44"/>
      <c r="W7" s="29"/>
      <c r="X7" s="41"/>
      <c r="Y7" s="44"/>
      <c r="Z7" s="29"/>
      <c r="AA7" s="41"/>
      <c r="AB7" s="39">
        <v>12</v>
      </c>
      <c r="AC7" s="94"/>
      <c r="AD7" s="17"/>
      <c r="AE7" s="27"/>
      <c r="AF7" s="26"/>
      <c r="AG7" s="26"/>
      <c r="AH7" s="54" t="str">
        <f>_xlfn.CONCAT(B7,CHAR(10),CHAR(13)," (",D7,")")</f>
        <v>Venus Express Bus
_x000D_ (ESA)</v>
      </c>
      <c r="AI7" s="68">
        <f>P7</f>
        <v>1245</v>
      </c>
      <c r="AJ7" s="158"/>
      <c r="AK7" s="68">
        <f>M7</f>
        <v>4.0459999999999994</v>
      </c>
      <c r="AL7" s="145"/>
      <c r="AM7" s="145"/>
    </row>
    <row r="8" spans="1:40" x14ac:dyDescent="0.3">
      <c r="B8" s="34" t="s">
        <v>131</v>
      </c>
      <c r="C8" s="34" t="s">
        <v>289</v>
      </c>
      <c r="D8" s="20" t="s">
        <v>133</v>
      </c>
      <c r="E8" s="21" t="s">
        <v>147</v>
      </c>
      <c r="F8" s="22" t="s">
        <v>79</v>
      </c>
      <c r="G8" s="113">
        <v>0.5</v>
      </c>
      <c r="H8" s="113">
        <v>0.5</v>
      </c>
      <c r="I8" s="110"/>
      <c r="J8" s="123">
        <f>(G8*H8*2)+(K8*G8*2)+(K8*H8*2)</f>
        <v>0.78</v>
      </c>
      <c r="K8" s="113">
        <f>0.1*K7</f>
        <v>0.13999999999999999</v>
      </c>
      <c r="L8" s="199" t="s">
        <v>196</v>
      </c>
      <c r="M8" s="123">
        <f>G8*H8*K8</f>
        <v>3.4999999999999996E-2</v>
      </c>
      <c r="N8" s="113">
        <v>124</v>
      </c>
      <c r="O8" s="110"/>
      <c r="P8" s="111">
        <f t="shared" ref="P8:P9" si="0">SUM(N8:O8)</f>
        <v>124</v>
      </c>
      <c r="Q8" s="114"/>
      <c r="R8" s="110"/>
      <c r="S8" s="110"/>
      <c r="T8" s="110"/>
      <c r="U8" s="115"/>
      <c r="V8" s="86"/>
      <c r="W8" s="84"/>
      <c r="X8" s="85"/>
      <c r="Y8" s="86"/>
      <c r="Z8" s="84"/>
      <c r="AA8" s="85"/>
      <c r="AB8" s="87"/>
      <c r="AC8" s="88"/>
      <c r="AD8" s="20"/>
      <c r="AE8" s="22"/>
      <c r="AH8" s="54" t="str">
        <f>_xlfn.CONCAT(B8,CHAR(10),CHAR(13)," (",D8,")")</f>
        <v>Entry Probe Interface (10% allowance in mass/space)
_x000D_ (Study)</v>
      </c>
      <c r="AI8" s="68">
        <f>P8</f>
        <v>124</v>
      </c>
      <c r="AJ8" s="158"/>
      <c r="AK8" s="68">
        <f>M8</f>
        <v>3.4999999999999996E-2</v>
      </c>
      <c r="AL8" s="145"/>
      <c r="AM8" s="145"/>
    </row>
    <row r="9" spans="1:40" ht="15" thickBot="1" x14ac:dyDescent="0.35">
      <c r="B9" s="35" t="s">
        <v>134</v>
      </c>
      <c r="C9" s="35" t="s">
        <v>290</v>
      </c>
      <c r="D9" s="25" t="s">
        <v>133</v>
      </c>
      <c r="E9" s="23" t="s">
        <v>147</v>
      </c>
      <c r="F9" s="24" t="s">
        <v>79</v>
      </c>
      <c r="G9" s="200"/>
      <c r="H9" s="120"/>
      <c r="I9" s="52">
        <f>I33</f>
        <v>1.7</v>
      </c>
      <c r="J9" s="120"/>
      <c r="K9" s="52">
        <f>K33</f>
        <v>1.53</v>
      </c>
      <c r="L9" s="201" t="s">
        <v>152</v>
      </c>
      <c r="M9" s="52">
        <f>M33</f>
        <v>2.5648747822070463</v>
      </c>
      <c r="N9" s="119">
        <f>N33</f>
        <v>943.55491246299562</v>
      </c>
      <c r="O9" s="120"/>
      <c r="P9" s="121">
        <f t="shared" si="0"/>
        <v>943.55491246299562</v>
      </c>
      <c r="Q9" s="119">
        <f t="shared" ref="Q9:T9" si="1">Q33</f>
        <v>0</v>
      </c>
      <c r="R9" s="52">
        <f t="shared" si="1"/>
        <v>183</v>
      </c>
      <c r="S9" s="52">
        <f t="shared" si="1"/>
        <v>28</v>
      </c>
      <c r="T9" s="52">
        <f t="shared" si="1"/>
        <v>0</v>
      </c>
      <c r="U9" s="121">
        <f>U33</f>
        <v>5400</v>
      </c>
      <c r="V9" s="46">
        <f t="shared" ref="V9:AB9" si="2">V33</f>
        <v>10</v>
      </c>
      <c r="W9" s="31">
        <f t="shared" si="2"/>
        <v>30</v>
      </c>
      <c r="X9" s="43">
        <f t="shared" si="2"/>
        <v>20</v>
      </c>
      <c r="Y9" s="46">
        <f t="shared" si="2"/>
        <v>3.5</v>
      </c>
      <c r="Z9" s="31">
        <f t="shared" si="2"/>
        <v>10</v>
      </c>
      <c r="AA9" s="43">
        <f t="shared" si="2"/>
        <v>120</v>
      </c>
      <c r="AB9" s="40">
        <f t="shared" si="2"/>
        <v>2</v>
      </c>
      <c r="AC9" s="172"/>
      <c r="AD9" s="25"/>
      <c r="AE9" s="24"/>
      <c r="AH9" s="54" t="str">
        <f>_xlfn.CONCAT(B9,CHAR(10),CHAR(13)," (",D9,")")</f>
        <v>Entry Probe [See sub-table]
_x000D_ (Study)</v>
      </c>
      <c r="AI9" s="68">
        <f>P9</f>
        <v>943.55491246299562</v>
      </c>
      <c r="AJ9" s="158"/>
      <c r="AK9" s="68">
        <f>M9</f>
        <v>2.5648747822070463</v>
      </c>
      <c r="AL9" s="145"/>
      <c r="AM9" s="145"/>
    </row>
    <row r="10" spans="1:40" ht="15" thickBot="1" x14ac:dyDescent="0.35">
      <c r="B10" s="76" t="s">
        <v>144</v>
      </c>
      <c r="C10" s="76"/>
      <c r="D10" s="25"/>
      <c r="E10" s="23"/>
      <c r="F10" s="24"/>
      <c r="G10" s="36"/>
      <c r="H10" s="28"/>
      <c r="I10" s="28"/>
      <c r="J10" s="28"/>
      <c r="K10" s="176">
        <f>SUM(K7:K9)</f>
        <v>3.07</v>
      </c>
      <c r="L10" s="101"/>
      <c r="M10" s="170">
        <f t="shared" ref="M10:R10" si="3">SUM(M7:M9)</f>
        <v>6.6458747822070459</v>
      </c>
      <c r="N10" s="169">
        <f t="shared" si="3"/>
        <v>1767.5549124629956</v>
      </c>
      <c r="O10" s="170">
        <f t="shared" si="3"/>
        <v>545</v>
      </c>
      <c r="P10" s="171">
        <f t="shared" si="3"/>
        <v>2312.5549124629956</v>
      </c>
      <c r="Q10" s="169">
        <f t="shared" si="3"/>
        <v>0</v>
      </c>
      <c r="R10" s="170">
        <f t="shared" si="3"/>
        <v>183</v>
      </c>
      <c r="S10" s="170">
        <v>28</v>
      </c>
      <c r="T10" s="170">
        <f>SUM(T7:T9)</f>
        <v>1100</v>
      </c>
      <c r="U10" s="171">
        <f>SUM(U7:U9)</f>
        <v>7416</v>
      </c>
      <c r="V10" s="173">
        <f>MAX(V7:V9)</f>
        <v>10</v>
      </c>
      <c r="W10" s="174">
        <f>MIN(W7:W9)</f>
        <v>30</v>
      </c>
      <c r="X10" s="175">
        <v>20</v>
      </c>
      <c r="Y10" s="46"/>
      <c r="Z10" s="31"/>
      <c r="AA10" s="43"/>
      <c r="AC10" s="40"/>
      <c r="AD10" s="25"/>
      <c r="AE10" s="24"/>
      <c r="AH10" s="71" t="s">
        <v>117</v>
      </c>
      <c r="AI10" s="72">
        <f>P10</f>
        <v>2312.5549124629956</v>
      </c>
      <c r="AJ10" s="159"/>
      <c r="AK10" s="72">
        <f>M10</f>
        <v>6.6458747822070459</v>
      </c>
      <c r="AL10" s="144"/>
      <c r="AM10" s="146"/>
    </row>
    <row r="11" spans="1:40" ht="15" thickBot="1" x14ac:dyDescent="0.35">
      <c r="M11" s="48"/>
      <c r="N11" s="125" t="s">
        <v>125</v>
      </c>
      <c r="O11" s="125"/>
      <c r="P11" s="129">
        <f>P4-P10</f>
        <v>1287.4450875370044</v>
      </c>
      <c r="Q11" s="125" t="s">
        <v>44</v>
      </c>
      <c r="R11" s="50"/>
      <c r="S11" s="51"/>
      <c r="T11" s="50"/>
      <c r="U11" s="50"/>
      <c r="AB11" s="202">
        <f>SUM(AB7:AB9)</f>
        <v>14</v>
      </c>
      <c r="AH11" s="26"/>
      <c r="AI11" s="160"/>
      <c r="AJ11" s="161"/>
      <c r="AK11" s="160"/>
      <c r="AL11" s="26"/>
      <c r="AM11" s="26"/>
    </row>
    <row r="12" spans="1:40" x14ac:dyDescent="0.35">
      <c r="B12" s="47" t="s">
        <v>128</v>
      </c>
      <c r="M12" s="49"/>
      <c r="N12" s="50"/>
      <c r="O12" s="50"/>
      <c r="P12" s="50"/>
      <c r="Q12" s="50"/>
      <c r="R12" s="50"/>
      <c r="S12" s="51"/>
      <c r="T12" s="50"/>
      <c r="U12" s="50"/>
      <c r="AH12" s="26"/>
      <c r="AI12" s="26"/>
      <c r="AJ12" s="26"/>
      <c r="AK12" s="26"/>
      <c r="AL12" s="26"/>
      <c r="AM12" s="26"/>
    </row>
    <row r="13" spans="1:40" ht="15" thickBot="1" x14ac:dyDescent="0.4">
      <c r="M13" s="13" t="s">
        <v>148</v>
      </c>
      <c r="AH13" s="26"/>
      <c r="AI13" s="26"/>
      <c r="AJ13" s="26"/>
      <c r="AK13" s="26"/>
      <c r="AL13" s="26"/>
      <c r="AM13" s="26"/>
    </row>
    <row r="14" spans="1:40" ht="15" thickBot="1" x14ac:dyDescent="0.35">
      <c r="D14" s="229" t="s">
        <v>104</v>
      </c>
      <c r="E14" s="231"/>
      <c r="F14" s="230"/>
      <c r="G14" s="229" t="s">
        <v>97</v>
      </c>
      <c r="H14" s="231"/>
      <c r="I14" s="231"/>
      <c r="J14" s="231"/>
      <c r="K14" s="231"/>
      <c r="L14" s="231"/>
      <c r="M14" s="231"/>
      <c r="N14" s="229" t="s">
        <v>98</v>
      </c>
      <c r="O14" s="231"/>
      <c r="P14" s="230"/>
      <c r="Q14" s="229" t="s">
        <v>105</v>
      </c>
      <c r="R14" s="231"/>
      <c r="S14" s="231"/>
      <c r="T14" s="231"/>
      <c r="U14" s="230"/>
      <c r="V14" s="229" t="s">
        <v>99</v>
      </c>
      <c r="W14" s="231"/>
      <c r="X14" s="230"/>
      <c r="Y14" s="229" t="s">
        <v>100</v>
      </c>
      <c r="Z14" s="231"/>
      <c r="AA14" s="230"/>
      <c r="AB14" s="37" t="s">
        <v>101</v>
      </c>
      <c r="AC14" s="37" t="s">
        <v>102</v>
      </c>
      <c r="AD14" s="229" t="s">
        <v>103</v>
      </c>
      <c r="AE14" s="230"/>
      <c r="AG14" s="73" t="s">
        <v>259</v>
      </c>
      <c r="AH14" s="73" t="s">
        <v>67</v>
      </c>
      <c r="AI14" s="73" t="s">
        <v>110</v>
      </c>
      <c r="AJ14" s="73" t="s">
        <v>112</v>
      </c>
      <c r="AK14" s="73" t="s">
        <v>113</v>
      </c>
      <c r="AL14" s="73" t="s">
        <v>114</v>
      </c>
      <c r="AM14" s="73" t="s">
        <v>122</v>
      </c>
      <c r="AN14" s="73" t="s">
        <v>184</v>
      </c>
    </row>
    <row r="15" spans="1:40" ht="26" thickBot="1" x14ac:dyDescent="0.35">
      <c r="B15" s="32" t="s">
        <v>67</v>
      </c>
      <c r="C15" s="32" t="s">
        <v>291</v>
      </c>
      <c r="D15" s="14" t="s">
        <v>68</v>
      </c>
      <c r="E15" s="15" t="s">
        <v>78</v>
      </c>
      <c r="F15" s="16" t="s">
        <v>70</v>
      </c>
      <c r="G15" s="14" t="s">
        <v>74</v>
      </c>
      <c r="H15" s="15" t="s">
        <v>73</v>
      </c>
      <c r="I15" s="15" t="s">
        <v>119</v>
      </c>
      <c r="J15" s="15" t="s">
        <v>151</v>
      </c>
      <c r="K15" s="15" t="s">
        <v>72</v>
      </c>
      <c r="L15" s="100" t="s">
        <v>46</v>
      </c>
      <c r="M15" s="15" t="s">
        <v>150</v>
      </c>
      <c r="N15" s="14" t="s">
        <v>96</v>
      </c>
      <c r="O15" s="15" t="s">
        <v>92</v>
      </c>
      <c r="P15" s="16" t="s">
        <v>71</v>
      </c>
      <c r="Q15" s="14" t="s">
        <v>75</v>
      </c>
      <c r="R15" s="15" t="s">
        <v>76</v>
      </c>
      <c r="S15" s="15" t="s">
        <v>82</v>
      </c>
      <c r="T15" s="15" t="s">
        <v>93</v>
      </c>
      <c r="U15" s="16" t="s">
        <v>94</v>
      </c>
      <c r="V15" s="14" t="s">
        <v>80</v>
      </c>
      <c r="W15" s="15" t="s">
        <v>81</v>
      </c>
      <c r="X15" s="16" t="s">
        <v>302</v>
      </c>
      <c r="Y15" s="14" t="s">
        <v>85</v>
      </c>
      <c r="Z15" s="15" t="s">
        <v>86</v>
      </c>
      <c r="AA15" s="16" t="s">
        <v>89</v>
      </c>
      <c r="AB15" s="38" t="s">
        <v>324</v>
      </c>
      <c r="AC15" s="38" t="s">
        <v>83</v>
      </c>
      <c r="AD15" s="14" t="s">
        <v>77</v>
      </c>
      <c r="AE15" s="16" t="s">
        <v>69</v>
      </c>
      <c r="AG15" s="69" t="s">
        <v>260</v>
      </c>
      <c r="AH15" s="69" t="s">
        <v>109</v>
      </c>
      <c r="AI15" s="69" t="s">
        <v>111</v>
      </c>
      <c r="AJ15" s="69" t="s">
        <v>252</v>
      </c>
      <c r="AK15" s="69" t="s">
        <v>115</v>
      </c>
      <c r="AL15" s="69" t="s">
        <v>116</v>
      </c>
      <c r="AM15" s="69" t="s">
        <v>123</v>
      </c>
    </row>
    <row r="16" spans="1:40" x14ac:dyDescent="0.3">
      <c r="B16" s="33" t="s">
        <v>135</v>
      </c>
      <c r="C16" s="33">
        <v>1</v>
      </c>
      <c r="D16" s="17" t="s">
        <v>133</v>
      </c>
      <c r="E16" s="18" t="s">
        <v>147</v>
      </c>
      <c r="F16" s="19" t="s">
        <v>79</v>
      </c>
      <c r="G16" s="109"/>
      <c r="H16" s="107"/>
      <c r="I16" s="123">
        <v>1.7</v>
      </c>
      <c r="J16" s="123">
        <f>(2*PI()*POWER(I16/2,2))+(K16*PI()*I16)</f>
        <v>5.0736721355475147</v>
      </c>
      <c r="K16" s="184">
        <v>0.1</v>
      </c>
      <c r="L16" s="185" t="s">
        <v>149</v>
      </c>
      <c r="M16" s="178">
        <f>PI()*POWER((I16/2),2)*K16</f>
        <v>0.22698006922186253</v>
      </c>
      <c r="N16" s="106">
        <f>E125</f>
        <v>44.124925456730068</v>
      </c>
      <c r="O16" s="107"/>
      <c r="P16" s="108">
        <f t="shared" ref="P16:P32" si="4">SUM(N16:O16)</f>
        <v>44.124925456730068</v>
      </c>
      <c r="Q16" s="109"/>
      <c r="R16" s="107"/>
      <c r="S16" s="107"/>
      <c r="T16" s="90"/>
      <c r="U16" s="91"/>
      <c r="V16" s="92"/>
      <c r="W16" s="90"/>
      <c r="X16" s="91"/>
      <c r="Y16" s="92"/>
      <c r="Z16" s="90"/>
      <c r="AA16" s="91"/>
      <c r="AB16" s="93"/>
      <c r="AC16" s="94"/>
      <c r="AD16" s="148" t="s">
        <v>376</v>
      </c>
      <c r="AE16" s="27"/>
      <c r="AG16" s="69">
        <f t="shared" ref="AG16:AG32" si="5">C16</f>
        <v>1</v>
      </c>
      <c r="AH16" s="54" t="str">
        <f t="shared" ref="AH16:AH32" si="6">_xlfn.CONCAT(B16," (",D16,")")</f>
        <v>Back Shell (Study)</v>
      </c>
      <c r="AI16" s="68">
        <f t="shared" ref="AI16:AI33" si="7">P16</f>
        <v>44.124925456730068</v>
      </c>
      <c r="AJ16" s="158"/>
      <c r="AK16" s="68">
        <f t="shared" ref="AK16:AK33" si="8">M16</f>
        <v>0.22698006922186253</v>
      </c>
      <c r="AL16" s="143"/>
      <c r="AM16" s="143"/>
      <c r="AN16" s="147" t="str">
        <f>AD16</f>
        <v>-</v>
      </c>
    </row>
    <row r="17" spans="2:40" x14ac:dyDescent="0.3">
      <c r="B17" s="33" t="s">
        <v>256</v>
      </c>
      <c r="C17" s="33">
        <v>2</v>
      </c>
      <c r="D17" s="17" t="s">
        <v>133</v>
      </c>
      <c r="E17" s="18" t="s">
        <v>147</v>
      </c>
      <c r="F17" s="19" t="s">
        <v>79</v>
      </c>
      <c r="G17" s="109"/>
      <c r="H17" s="107"/>
      <c r="I17" s="184">
        <v>3.5000000000000003E-2</v>
      </c>
      <c r="J17" s="184">
        <f>(2*PI()*POWER(I17/2,2))+(K17*PI()*I17)</f>
        <v>1.1270463644753384E-2</v>
      </c>
      <c r="K17" s="184">
        <v>8.5000000000000006E-2</v>
      </c>
      <c r="L17" s="185" t="s">
        <v>149</v>
      </c>
      <c r="M17" s="178">
        <f>PI()*POWER((I17/2),2)*K17*4</f>
        <v>3.2711833505503726E-4</v>
      </c>
      <c r="N17" s="106">
        <f>E145*4</f>
        <v>3.9401403457379236</v>
      </c>
      <c r="O17" s="107"/>
      <c r="P17" s="108">
        <f t="shared" si="4"/>
        <v>3.9401403457379236</v>
      </c>
      <c r="Q17" s="109"/>
      <c r="R17" s="195" t="s">
        <v>225</v>
      </c>
      <c r="S17" s="107"/>
      <c r="T17" s="90"/>
      <c r="U17" s="91"/>
      <c r="V17" s="103">
        <v>-54</v>
      </c>
      <c r="W17" s="104">
        <v>132</v>
      </c>
      <c r="X17" s="105" t="s">
        <v>79</v>
      </c>
      <c r="Y17" s="92"/>
      <c r="Z17" s="90"/>
      <c r="AA17" s="91"/>
      <c r="AB17" s="93"/>
      <c r="AC17" s="89" t="s">
        <v>246</v>
      </c>
      <c r="AD17" s="149" t="s">
        <v>377</v>
      </c>
      <c r="AE17" s="74"/>
      <c r="AG17" s="69">
        <f t="shared" si="5"/>
        <v>2</v>
      </c>
      <c r="AH17" s="54" t="str">
        <f t="shared" si="6"/>
        <v>Back Shell Release inc. 4 pyrotechnic bolts (Study)</v>
      </c>
      <c r="AI17" s="68">
        <f t="shared" si="7"/>
        <v>3.9401403457379236</v>
      </c>
      <c r="AJ17" s="158"/>
      <c r="AK17" s="68">
        <f t="shared" si="8"/>
        <v>3.2711833505503726E-4</v>
      </c>
      <c r="AL17" s="143"/>
      <c r="AM17" s="143"/>
      <c r="AN17" s="147" t="str">
        <f t="shared" ref="AN17:AN32" si="9">AD17</f>
        <v>Requires 4 A to initiate pyrotechnic, drive signal only.</v>
      </c>
    </row>
    <row r="18" spans="2:40" x14ac:dyDescent="0.3">
      <c r="B18" s="33" t="s">
        <v>263</v>
      </c>
      <c r="C18" s="33">
        <v>3</v>
      </c>
      <c r="D18" s="17" t="s">
        <v>133</v>
      </c>
      <c r="E18" s="18" t="s">
        <v>147</v>
      </c>
      <c r="F18" s="19" t="s">
        <v>79</v>
      </c>
      <c r="G18" s="109"/>
      <c r="H18" s="107"/>
      <c r="I18" s="184">
        <v>0.3</v>
      </c>
      <c r="J18" s="184">
        <f>(2*PI()*POWER(I18/2,2))+(K18*PI()*I18)</f>
        <v>0.42411500823462212</v>
      </c>
      <c r="K18" s="184">
        <v>0.3</v>
      </c>
      <c r="L18" s="185" t="s">
        <v>149</v>
      </c>
      <c r="M18" s="178">
        <f>PI()*POWER((I18/2),2)*K18</f>
        <v>2.1205750411731103E-2</v>
      </c>
      <c r="N18" s="106">
        <f>E92</f>
        <v>4.330357317080888</v>
      </c>
      <c r="O18" s="107"/>
      <c r="P18" s="108">
        <f t="shared" si="4"/>
        <v>4.330357317080888</v>
      </c>
      <c r="Q18" s="109"/>
      <c r="R18" s="107"/>
      <c r="S18" s="107"/>
      <c r="T18" s="90"/>
      <c r="U18" s="91"/>
      <c r="V18" s="92"/>
      <c r="W18" s="90"/>
      <c r="X18" s="91"/>
      <c r="Y18" s="92"/>
      <c r="Z18" s="90"/>
      <c r="AA18" s="91"/>
      <c r="AB18" s="93"/>
      <c r="AC18" s="94"/>
      <c r="AD18" s="149" t="s">
        <v>378</v>
      </c>
      <c r="AE18" s="74"/>
      <c r="AG18" s="69">
        <f t="shared" si="5"/>
        <v>3</v>
      </c>
      <c r="AH18" s="54" t="str">
        <f t="shared" si="6"/>
        <v>Drogue Chute Packed in Canister (Study)</v>
      </c>
      <c r="AI18" s="68">
        <f t="shared" si="7"/>
        <v>4.330357317080888</v>
      </c>
      <c r="AJ18" s="158"/>
      <c r="AK18" s="68">
        <f t="shared" si="8"/>
        <v>2.1205750411731103E-2</v>
      </c>
      <c r="AL18" s="143"/>
      <c r="AM18" s="143"/>
      <c r="AN18" s="147" t="str">
        <f t="shared" si="9"/>
        <v>Chute canister all in one system; mortar, chute and tethering.</v>
      </c>
    </row>
    <row r="19" spans="2:40" x14ac:dyDescent="0.3">
      <c r="B19" s="33" t="s">
        <v>257</v>
      </c>
      <c r="C19" s="33">
        <v>4</v>
      </c>
      <c r="D19" s="17" t="s">
        <v>133</v>
      </c>
      <c r="E19" s="18" t="s">
        <v>147</v>
      </c>
      <c r="F19" s="19" t="s">
        <v>79</v>
      </c>
      <c r="G19" s="109"/>
      <c r="H19" s="107"/>
      <c r="I19" s="107"/>
      <c r="J19" s="107"/>
      <c r="K19" s="107"/>
      <c r="L19" s="107"/>
      <c r="M19" s="177"/>
      <c r="N19" s="109"/>
      <c r="O19" s="107"/>
      <c r="P19" s="108">
        <f t="shared" si="4"/>
        <v>0</v>
      </c>
      <c r="Q19" s="109"/>
      <c r="R19" s="107"/>
      <c r="S19" s="107"/>
      <c r="T19" s="90"/>
      <c r="U19" s="91"/>
      <c r="V19" s="92"/>
      <c r="W19" s="90"/>
      <c r="X19" s="91"/>
      <c r="Y19" s="92"/>
      <c r="Z19" s="90"/>
      <c r="AA19" s="91"/>
      <c r="AB19" s="93"/>
      <c r="AC19" s="94"/>
      <c r="AD19" s="149" t="s">
        <v>376</v>
      </c>
      <c r="AE19" s="74"/>
      <c r="AG19" s="69">
        <f t="shared" si="5"/>
        <v>4</v>
      </c>
      <c r="AH19" s="54" t="str">
        <f t="shared" si="6"/>
        <v>Drogue Chute Release Mechanism/Mortar [included in 3] (Study)</v>
      </c>
      <c r="AI19" s="68">
        <f t="shared" si="7"/>
        <v>0</v>
      </c>
      <c r="AJ19" s="159"/>
      <c r="AK19" s="68">
        <f t="shared" si="8"/>
        <v>0</v>
      </c>
      <c r="AL19" s="144"/>
      <c r="AM19" s="144"/>
      <c r="AN19" s="147" t="str">
        <f t="shared" si="9"/>
        <v>-</v>
      </c>
    </row>
    <row r="20" spans="2:40" x14ac:dyDescent="0.3">
      <c r="B20" s="33" t="s">
        <v>258</v>
      </c>
      <c r="C20" s="33">
        <v>5</v>
      </c>
      <c r="D20" s="17" t="s">
        <v>133</v>
      </c>
      <c r="E20" s="18" t="s">
        <v>147</v>
      </c>
      <c r="F20" s="19" t="s">
        <v>79</v>
      </c>
      <c r="G20" s="109"/>
      <c r="H20" s="107"/>
      <c r="I20" s="107"/>
      <c r="J20" s="107"/>
      <c r="K20" s="107"/>
      <c r="L20" s="107"/>
      <c r="M20" s="177"/>
      <c r="N20" s="109"/>
      <c r="O20" s="107"/>
      <c r="P20" s="108">
        <f t="shared" si="4"/>
        <v>0</v>
      </c>
      <c r="Q20" s="109"/>
      <c r="R20" s="107"/>
      <c r="S20" s="107"/>
      <c r="T20" s="90"/>
      <c r="U20" s="91"/>
      <c r="V20" s="92"/>
      <c r="W20" s="90"/>
      <c r="X20" s="91"/>
      <c r="Y20" s="92"/>
      <c r="Z20" s="90"/>
      <c r="AA20" s="91"/>
      <c r="AB20" s="93"/>
      <c r="AC20" s="94"/>
      <c r="AD20" s="149" t="s">
        <v>376</v>
      </c>
      <c r="AE20" s="74"/>
      <c r="AG20" s="69">
        <f t="shared" si="5"/>
        <v>5</v>
      </c>
      <c r="AH20" s="54" t="str">
        <f t="shared" si="6"/>
        <v>Drogue Chute Tethering [included in 3] (Study)</v>
      </c>
      <c r="AI20" s="68">
        <f t="shared" si="7"/>
        <v>0</v>
      </c>
      <c r="AJ20" s="159"/>
      <c r="AK20" s="68">
        <f t="shared" si="8"/>
        <v>0</v>
      </c>
      <c r="AL20" s="144"/>
      <c r="AM20" s="144"/>
      <c r="AN20" s="147" t="str">
        <f t="shared" si="9"/>
        <v>-</v>
      </c>
    </row>
    <row r="21" spans="2:40" x14ac:dyDescent="0.3">
      <c r="B21" s="33" t="s">
        <v>261</v>
      </c>
      <c r="C21" s="33">
        <v>6</v>
      </c>
      <c r="D21" s="17" t="s">
        <v>133</v>
      </c>
      <c r="E21" s="18" t="s">
        <v>147</v>
      </c>
      <c r="F21" s="19" t="s">
        <v>79</v>
      </c>
      <c r="G21" s="109"/>
      <c r="H21" s="107"/>
      <c r="I21" s="107"/>
      <c r="J21" s="107"/>
      <c r="K21" s="107"/>
      <c r="L21" s="107"/>
      <c r="M21" s="177"/>
      <c r="N21" s="109"/>
      <c r="O21" s="107"/>
      <c r="P21" s="108">
        <f t="shared" si="4"/>
        <v>0</v>
      </c>
      <c r="Q21" s="109"/>
      <c r="R21" s="107"/>
      <c r="S21" s="107"/>
      <c r="T21" s="90"/>
      <c r="U21" s="91"/>
      <c r="V21" s="92"/>
      <c r="W21" s="90"/>
      <c r="X21" s="91"/>
      <c r="Y21" s="92"/>
      <c r="Z21" s="90"/>
      <c r="AA21" s="91"/>
      <c r="AB21" s="93"/>
      <c r="AC21" s="94"/>
      <c r="AD21" s="149" t="s">
        <v>376</v>
      </c>
      <c r="AE21" s="74"/>
      <c r="AG21" s="69">
        <f t="shared" si="5"/>
        <v>6</v>
      </c>
      <c r="AH21" s="54" t="str">
        <f t="shared" si="6"/>
        <v>Drogue Chute Tethering Release [included in 3] (Study)</v>
      </c>
      <c r="AI21" s="68">
        <f t="shared" si="7"/>
        <v>0</v>
      </c>
      <c r="AJ21" s="159"/>
      <c r="AK21" s="68">
        <f t="shared" si="8"/>
        <v>0</v>
      </c>
      <c r="AL21" s="144"/>
      <c r="AM21" s="144"/>
      <c r="AN21" s="147" t="str">
        <f t="shared" si="9"/>
        <v>-</v>
      </c>
    </row>
    <row r="22" spans="2:40" x14ac:dyDescent="0.3">
      <c r="B22" s="34" t="s">
        <v>264</v>
      </c>
      <c r="C22" s="33">
        <v>7</v>
      </c>
      <c r="D22" s="17" t="s">
        <v>133</v>
      </c>
      <c r="E22" s="18" t="s">
        <v>147</v>
      </c>
      <c r="F22" s="19" t="s">
        <v>79</v>
      </c>
      <c r="G22" s="109"/>
      <c r="H22" s="107"/>
      <c r="I22" s="184">
        <v>0.3</v>
      </c>
      <c r="J22" s="184">
        <f>(2*PI()*POWER(I22/2,2))+(K22*PI()*I22)</f>
        <v>0.42411500823462212</v>
      </c>
      <c r="K22" s="184">
        <v>0.3</v>
      </c>
      <c r="L22" s="185" t="s">
        <v>149</v>
      </c>
      <c r="M22" s="178">
        <f>PI()*POWER((I22/2),2)*K22</f>
        <v>2.1205750411731103E-2</v>
      </c>
      <c r="N22" s="106">
        <f>E82</f>
        <v>20.187508536963524</v>
      </c>
      <c r="O22" s="107"/>
      <c r="P22" s="108">
        <f t="shared" si="4"/>
        <v>20.187508536963524</v>
      </c>
      <c r="Q22" s="109"/>
      <c r="R22" s="107"/>
      <c r="S22" s="107"/>
      <c r="T22" s="90"/>
      <c r="U22" s="91"/>
      <c r="V22" s="92"/>
      <c r="W22" s="90"/>
      <c r="X22" s="91"/>
      <c r="Y22" s="92"/>
      <c r="Z22" s="90"/>
      <c r="AA22" s="91"/>
      <c r="AB22" s="93"/>
      <c r="AC22" s="94"/>
      <c r="AD22" s="149" t="s">
        <v>378</v>
      </c>
      <c r="AE22" s="74"/>
      <c r="AG22" s="69">
        <f t="shared" si="5"/>
        <v>7</v>
      </c>
      <c r="AH22" s="54" t="str">
        <f t="shared" si="6"/>
        <v>Main Chute Packed in Canister (Study)</v>
      </c>
      <c r="AI22" s="68">
        <f t="shared" si="7"/>
        <v>20.187508536963524</v>
      </c>
      <c r="AJ22" s="159"/>
      <c r="AK22" s="68">
        <f t="shared" si="8"/>
        <v>2.1205750411731103E-2</v>
      </c>
      <c r="AL22" s="144"/>
      <c r="AM22" s="144"/>
      <c r="AN22" s="147" t="str">
        <f t="shared" si="9"/>
        <v>Chute canister all in one system; mortar, chute and tethering.</v>
      </c>
    </row>
    <row r="23" spans="2:40" x14ac:dyDescent="0.3">
      <c r="B23" s="33" t="s">
        <v>262</v>
      </c>
      <c r="C23" s="33">
        <v>8</v>
      </c>
      <c r="D23" s="17" t="s">
        <v>133</v>
      </c>
      <c r="E23" s="18" t="s">
        <v>147</v>
      </c>
      <c r="F23" s="19" t="s">
        <v>79</v>
      </c>
      <c r="G23" s="109"/>
      <c r="H23" s="107"/>
      <c r="I23" s="107"/>
      <c r="J23" s="107"/>
      <c r="K23" s="107"/>
      <c r="L23" s="107"/>
      <c r="M23" s="177"/>
      <c r="N23" s="109"/>
      <c r="O23" s="107"/>
      <c r="P23" s="108">
        <f t="shared" si="4"/>
        <v>0</v>
      </c>
      <c r="Q23" s="109"/>
      <c r="R23" s="107"/>
      <c r="S23" s="107"/>
      <c r="T23" s="90"/>
      <c r="U23" s="91"/>
      <c r="V23" s="92"/>
      <c r="W23" s="90"/>
      <c r="X23" s="91"/>
      <c r="Y23" s="92"/>
      <c r="Z23" s="90"/>
      <c r="AA23" s="91"/>
      <c r="AB23" s="93"/>
      <c r="AC23" s="94"/>
      <c r="AD23" s="149" t="s">
        <v>376</v>
      </c>
      <c r="AE23" s="74"/>
      <c r="AG23" s="69">
        <f t="shared" si="5"/>
        <v>8</v>
      </c>
      <c r="AH23" s="54" t="str">
        <f t="shared" si="6"/>
        <v>Main Chute Release [included in 7] (Study)</v>
      </c>
      <c r="AI23" s="68">
        <f t="shared" si="7"/>
        <v>0</v>
      </c>
      <c r="AJ23" s="159"/>
      <c r="AK23" s="68">
        <f t="shared" si="8"/>
        <v>0</v>
      </c>
      <c r="AL23" s="144"/>
      <c r="AM23" s="144"/>
      <c r="AN23" s="147" t="str">
        <f t="shared" si="9"/>
        <v>-</v>
      </c>
    </row>
    <row r="24" spans="2:40" x14ac:dyDescent="0.3">
      <c r="B24" s="33" t="s">
        <v>266</v>
      </c>
      <c r="C24" s="33">
        <v>9</v>
      </c>
      <c r="D24" s="17" t="s">
        <v>133</v>
      </c>
      <c r="E24" s="18" t="s">
        <v>147</v>
      </c>
      <c r="F24" s="19" t="s">
        <v>79</v>
      </c>
      <c r="G24" s="109"/>
      <c r="H24" s="107"/>
      <c r="I24" s="107"/>
      <c r="J24" s="107"/>
      <c r="K24" s="107"/>
      <c r="L24" s="107"/>
      <c r="M24" s="177"/>
      <c r="N24" s="109"/>
      <c r="O24" s="107"/>
      <c r="P24" s="108">
        <f t="shared" si="4"/>
        <v>0</v>
      </c>
      <c r="Q24" s="109"/>
      <c r="R24" s="107"/>
      <c r="S24" s="107"/>
      <c r="T24" s="90"/>
      <c r="U24" s="91"/>
      <c r="V24" s="92"/>
      <c r="W24" s="90"/>
      <c r="X24" s="91"/>
      <c r="Y24" s="92"/>
      <c r="Z24" s="90"/>
      <c r="AA24" s="91"/>
      <c r="AB24" s="93"/>
      <c r="AC24" s="94"/>
      <c r="AD24" s="149" t="s">
        <v>376</v>
      </c>
      <c r="AE24" s="74"/>
      <c r="AG24" s="69">
        <f t="shared" si="5"/>
        <v>9</v>
      </c>
      <c r="AH24" s="54" t="str">
        <f t="shared" si="6"/>
        <v>Main Chute Tethering [included in 7] (Study)</v>
      </c>
      <c r="AI24" s="68">
        <f t="shared" si="7"/>
        <v>0</v>
      </c>
      <c r="AJ24" s="159"/>
      <c r="AK24" s="68">
        <f t="shared" si="8"/>
        <v>0</v>
      </c>
      <c r="AL24" s="144"/>
      <c r="AM24" s="144"/>
      <c r="AN24" s="147" t="str">
        <f t="shared" si="9"/>
        <v>-</v>
      </c>
    </row>
    <row r="25" spans="2:40" x14ac:dyDescent="0.3">
      <c r="B25" s="33" t="s">
        <v>267</v>
      </c>
      <c r="C25" s="33">
        <v>10</v>
      </c>
      <c r="D25" s="17" t="s">
        <v>133</v>
      </c>
      <c r="E25" s="18" t="s">
        <v>147</v>
      </c>
      <c r="F25" s="19" t="s">
        <v>79</v>
      </c>
      <c r="G25" s="109"/>
      <c r="H25" s="107"/>
      <c r="I25" s="107"/>
      <c r="J25" s="107"/>
      <c r="K25" s="107"/>
      <c r="L25" s="107"/>
      <c r="M25" s="177"/>
      <c r="N25" s="109"/>
      <c r="O25" s="107"/>
      <c r="P25" s="108">
        <f t="shared" si="4"/>
        <v>0</v>
      </c>
      <c r="Q25" s="109"/>
      <c r="R25" s="107"/>
      <c r="S25" s="107"/>
      <c r="T25" s="90"/>
      <c r="U25" s="91"/>
      <c r="V25" s="92"/>
      <c r="W25" s="90"/>
      <c r="X25" s="91"/>
      <c r="Y25" s="92"/>
      <c r="Z25" s="90"/>
      <c r="AA25" s="91"/>
      <c r="AB25" s="93" t="s">
        <v>118</v>
      </c>
      <c r="AC25" s="94"/>
      <c r="AD25" s="149" t="s">
        <v>376</v>
      </c>
      <c r="AE25" s="74"/>
      <c r="AG25" s="69">
        <f t="shared" si="5"/>
        <v>10</v>
      </c>
      <c r="AH25" s="54" t="str">
        <f t="shared" si="6"/>
        <v>Main Chute Tethering Release [included in 7] (Study)</v>
      </c>
      <c r="AI25" s="68">
        <f t="shared" si="7"/>
        <v>0</v>
      </c>
      <c r="AJ25" s="159"/>
      <c r="AK25" s="68">
        <f t="shared" si="8"/>
        <v>0</v>
      </c>
      <c r="AL25" s="144"/>
      <c r="AM25" s="144"/>
      <c r="AN25" s="147" t="str">
        <f t="shared" si="9"/>
        <v>-</v>
      </c>
    </row>
    <row r="26" spans="2:40" x14ac:dyDescent="0.3">
      <c r="B26" s="34" t="s">
        <v>388</v>
      </c>
      <c r="C26" s="34">
        <v>11</v>
      </c>
      <c r="D26" s="20" t="s">
        <v>133</v>
      </c>
      <c r="E26" s="21" t="s">
        <v>147</v>
      </c>
      <c r="F26" s="22" t="s">
        <v>79</v>
      </c>
      <c r="G26" s="109"/>
      <c r="H26" s="107"/>
      <c r="I26" s="184" t="s">
        <v>231</v>
      </c>
      <c r="J26" s="184" t="s">
        <v>79</v>
      </c>
      <c r="K26" s="184">
        <v>0.1</v>
      </c>
      <c r="L26" s="185" t="s">
        <v>229</v>
      </c>
      <c r="M26" s="179" t="s">
        <v>79</v>
      </c>
      <c r="N26" s="112">
        <f>E70</f>
        <v>20</v>
      </c>
      <c r="O26" s="110"/>
      <c r="P26" s="111">
        <f t="shared" si="4"/>
        <v>20</v>
      </c>
      <c r="Q26" s="114"/>
      <c r="R26" s="107"/>
      <c r="S26" s="110"/>
      <c r="T26" s="84"/>
      <c r="U26" s="85"/>
      <c r="V26" s="92"/>
      <c r="W26" s="90"/>
      <c r="X26" s="91"/>
      <c r="Y26" s="86"/>
      <c r="Z26" s="84"/>
      <c r="AA26" s="85"/>
      <c r="AB26" s="87"/>
      <c r="AC26" s="88"/>
      <c r="AD26" s="149" t="s">
        <v>278</v>
      </c>
      <c r="AE26" s="22"/>
      <c r="AG26" s="69">
        <f t="shared" si="5"/>
        <v>11</v>
      </c>
      <c r="AH26" s="54" t="str">
        <f t="shared" si="6"/>
        <v>Bus Orbiter Non-active Mating Structure  (Study)</v>
      </c>
      <c r="AI26" s="68">
        <f t="shared" si="7"/>
        <v>20</v>
      </c>
      <c r="AJ26" s="159"/>
      <c r="AK26" s="68" t="str">
        <f t="shared" si="8"/>
        <v>N/A</v>
      </c>
      <c r="AL26" s="144"/>
      <c r="AM26" s="144"/>
      <c r="AN26" s="147" t="str">
        <f t="shared" si="9"/>
        <v>Active mating components and release control within Bus Orbiter.</v>
      </c>
    </row>
    <row r="27" spans="2:40" x14ac:dyDescent="0.3">
      <c r="B27" s="34" t="s">
        <v>234</v>
      </c>
      <c r="C27" s="34">
        <v>12</v>
      </c>
      <c r="D27" s="20" t="s">
        <v>133</v>
      </c>
      <c r="E27" s="21" t="s">
        <v>232</v>
      </c>
      <c r="F27" s="22" t="s">
        <v>79</v>
      </c>
      <c r="G27" s="114"/>
      <c r="H27" s="110"/>
      <c r="I27" s="186">
        <v>1.7</v>
      </c>
      <c r="J27" s="187">
        <v>2.2000000000000002</v>
      </c>
      <c r="K27" s="186">
        <v>0.6</v>
      </c>
      <c r="L27" s="185" t="s">
        <v>233</v>
      </c>
      <c r="M27" s="178">
        <f>(1/3)*PI()*POWER(I27/2,2)*K27</f>
        <v>0.45396013844372501</v>
      </c>
      <c r="N27" s="112">
        <f>E69</f>
        <v>140</v>
      </c>
      <c r="O27" s="110"/>
      <c r="P27" s="111">
        <f t="shared" si="4"/>
        <v>140</v>
      </c>
      <c r="Q27" s="114"/>
      <c r="R27" s="107"/>
      <c r="S27" s="110"/>
      <c r="T27" s="84"/>
      <c r="U27" s="85"/>
      <c r="V27" s="92"/>
      <c r="W27" s="90"/>
      <c r="X27" s="91"/>
      <c r="Y27" s="86"/>
      <c r="Z27" s="84"/>
      <c r="AA27" s="85"/>
      <c r="AB27" s="87"/>
      <c r="AC27" s="88"/>
      <c r="AD27" s="149" t="s">
        <v>380</v>
      </c>
      <c r="AE27" s="22"/>
      <c r="AG27" s="69">
        <f t="shared" si="5"/>
        <v>12</v>
      </c>
      <c r="AH27" s="54" t="str">
        <f t="shared" si="6"/>
        <v>Heat Shield  (Study)</v>
      </c>
      <c r="AI27" s="68">
        <f t="shared" si="7"/>
        <v>140</v>
      </c>
      <c r="AJ27" s="159"/>
      <c r="AK27" s="68">
        <f t="shared" si="8"/>
        <v>0.45396013844372501</v>
      </c>
      <c r="AL27" s="144"/>
      <c r="AM27" s="144"/>
      <c r="AN27" s="147" t="str">
        <f t="shared" si="9"/>
        <v>Heat Shield assumed 15 % of total Entry Probe mass.</v>
      </c>
    </row>
    <row r="28" spans="2:40" x14ac:dyDescent="0.3">
      <c r="B28" s="33" t="s">
        <v>268</v>
      </c>
      <c r="C28" s="33">
        <v>13</v>
      </c>
      <c r="D28" s="17" t="s">
        <v>133</v>
      </c>
      <c r="E28" s="18" t="s">
        <v>147</v>
      </c>
      <c r="F28" s="19" t="s">
        <v>79</v>
      </c>
      <c r="G28" s="109"/>
      <c r="H28" s="107"/>
      <c r="I28" s="184">
        <v>3.5000000000000003E-2</v>
      </c>
      <c r="J28" s="184">
        <f>(2*PI()*POWER(I28/2,2))+(K28*PI()*I28)</f>
        <v>1.1270463644753384E-2</v>
      </c>
      <c r="K28" s="184">
        <v>8.5000000000000006E-2</v>
      </c>
      <c r="L28" s="185" t="s">
        <v>149</v>
      </c>
      <c r="M28" s="178">
        <f>PI()*POWER((I28/2),2)*K28*4</f>
        <v>3.2711833505503726E-4</v>
      </c>
      <c r="N28" s="106">
        <f>E145*4</f>
        <v>3.9401403457379236</v>
      </c>
      <c r="O28" s="107"/>
      <c r="P28" s="108">
        <f t="shared" ref="P28" si="10">SUM(N28:O28)</f>
        <v>3.9401403457379236</v>
      </c>
      <c r="Q28" s="109"/>
      <c r="R28" s="195" t="s">
        <v>225</v>
      </c>
      <c r="S28" s="107"/>
      <c r="T28" s="90"/>
      <c r="U28" s="91"/>
      <c r="V28" s="103">
        <v>-54</v>
      </c>
      <c r="W28" s="104">
        <v>132</v>
      </c>
      <c r="X28" s="105" t="s">
        <v>79</v>
      </c>
      <c r="Y28" s="92"/>
      <c r="Z28" s="90"/>
      <c r="AA28" s="91"/>
      <c r="AB28" s="93"/>
      <c r="AC28" s="89" t="s">
        <v>246</v>
      </c>
      <c r="AD28" s="149" t="s">
        <v>377</v>
      </c>
      <c r="AE28" s="74"/>
      <c r="AG28" s="69">
        <f t="shared" si="5"/>
        <v>13</v>
      </c>
      <c r="AH28" s="54" t="str">
        <f t="shared" si="6"/>
        <v>Heat Shield Release inc. 4 pyrotechnic bolts (Study)</v>
      </c>
      <c r="AI28" s="68">
        <f t="shared" si="7"/>
        <v>3.9401403457379236</v>
      </c>
      <c r="AJ28" s="159"/>
      <c r="AK28" s="68">
        <f t="shared" si="8"/>
        <v>3.2711833505503726E-4</v>
      </c>
      <c r="AL28" s="144"/>
      <c r="AM28" s="144"/>
      <c r="AN28" s="147" t="str">
        <f t="shared" si="9"/>
        <v>Requires 4 A to initiate pyrotechnic, drive signal only.</v>
      </c>
    </row>
    <row r="29" spans="2:40" x14ac:dyDescent="0.3">
      <c r="B29" s="34" t="s">
        <v>269</v>
      </c>
      <c r="C29" s="34">
        <v>14</v>
      </c>
      <c r="D29" s="20" t="s">
        <v>133</v>
      </c>
      <c r="E29" s="21" t="s">
        <v>147</v>
      </c>
      <c r="F29" s="22" t="s">
        <v>79</v>
      </c>
      <c r="G29" s="114"/>
      <c r="H29" s="110"/>
      <c r="I29" s="165">
        <v>1.7</v>
      </c>
      <c r="J29" s="123">
        <f>(K29*PI()*I29)</f>
        <v>4.4327872342151977</v>
      </c>
      <c r="K29" s="186">
        <v>0.83</v>
      </c>
      <c r="L29" s="185" t="s">
        <v>249</v>
      </c>
      <c r="M29" s="178">
        <f>PI()*POWER((I29/2),2)*K29</f>
        <v>1.8839345745414589</v>
      </c>
      <c r="N29" s="112">
        <f>E104</f>
        <v>114.89784511085792</v>
      </c>
      <c r="O29" s="110"/>
      <c r="P29" s="111">
        <f t="shared" si="4"/>
        <v>114.89784511085792</v>
      </c>
      <c r="Q29" s="114"/>
      <c r="R29" s="110"/>
      <c r="S29" s="110"/>
      <c r="T29" s="84"/>
      <c r="U29" s="85"/>
      <c r="V29" s="86"/>
      <c r="W29" s="84"/>
      <c r="X29" s="85"/>
      <c r="Y29" s="86"/>
      <c r="Z29" s="84"/>
      <c r="AA29" s="85"/>
      <c r="AB29" s="87"/>
      <c r="AC29" s="88"/>
      <c r="AD29" s="149" t="s">
        <v>379</v>
      </c>
      <c r="AE29" s="22"/>
      <c r="AG29" s="69">
        <f t="shared" si="5"/>
        <v>14</v>
      </c>
      <c r="AH29" s="54" t="str">
        <f t="shared" si="6"/>
        <v>Probe Structure &amp; Wiring (Study)</v>
      </c>
      <c r="AI29" s="68">
        <f t="shared" si="7"/>
        <v>114.89784511085792</v>
      </c>
      <c r="AJ29" s="159"/>
      <c r="AK29" s="68">
        <f t="shared" si="8"/>
        <v>1.8839345745414589</v>
      </c>
      <c r="AL29" s="144"/>
      <c r="AM29" s="144"/>
      <c r="AN29" s="147" t="str">
        <f t="shared" si="9"/>
        <v>Aluminium 4.8 mm sheet 100 % uplift for supporting structures.</v>
      </c>
    </row>
    <row r="30" spans="2:40" x14ac:dyDescent="0.3">
      <c r="B30" s="55" t="s">
        <v>270</v>
      </c>
      <c r="C30" s="55">
        <v>15</v>
      </c>
      <c r="D30" s="20" t="s">
        <v>133</v>
      </c>
      <c r="E30" s="21" t="s">
        <v>147</v>
      </c>
      <c r="F30" s="22" t="s">
        <v>79</v>
      </c>
      <c r="G30" s="114"/>
      <c r="H30" s="110"/>
      <c r="I30" s="165">
        <v>0.38</v>
      </c>
      <c r="J30" s="165">
        <f>(2*PI()*POWER(I30/2,2))+(K30*PI()*I30)</f>
        <v>1.1221768958622742</v>
      </c>
      <c r="K30" s="165">
        <v>0.75</v>
      </c>
      <c r="L30" s="188" t="s">
        <v>149</v>
      </c>
      <c r="M30" s="180">
        <f>PI()*POWER((I30/2),2)*K30*8</f>
        <v>0.68046896876754914</v>
      </c>
      <c r="N30" s="112">
        <f>60*8</f>
        <v>480</v>
      </c>
      <c r="O30" s="110"/>
      <c r="P30" s="111">
        <f>SUM(N30:O30)</f>
        <v>480</v>
      </c>
      <c r="Q30" s="114"/>
      <c r="R30" s="110"/>
      <c r="S30" s="110"/>
      <c r="T30" s="84"/>
      <c r="U30" s="85"/>
      <c r="V30" s="81"/>
      <c r="W30" s="79"/>
      <c r="X30" s="80"/>
      <c r="Y30" s="81"/>
      <c r="Z30" s="79"/>
      <c r="AA30" s="80"/>
      <c r="AB30" s="82"/>
      <c r="AC30" s="83"/>
      <c r="AD30" s="149" t="s">
        <v>381</v>
      </c>
      <c r="AE30" s="58"/>
      <c r="AG30" s="69">
        <f t="shared" si="5"/>
        <v>15</v>
      </c>
      <c r="AH30" s="54" t="str">
        <f t="shared" si="6"/>
        <v>Lifting Gas Canisters &amp; Lifting Gas x 8 (Study)</v>
      </c>
      <c r="AI30" s="68">
        <f t="shared" si="7"/>
        <v>480</v>
      </c>
      <c r="AJ30" s="159"/>
      <c r="AK30" s="68">
        <f t="shared" si="8"/>
        <v>0.68046896876754914</v>
      </c>
      <c r="AL30" s="144"/>
      <c r="AM30" s="144"/>
      <c r="AN30" s="147" t="str">
        <f t="shared" si="9"/>
        <v>Based on BoC standard 72 kg Helium canister  (BOC, 2025) at 300 bar re-sized for mission to 60 kg and 350 bar</v>
      </c>
    </row>
    <row r="31" spans="2:40" x14ac:dyDescent="0.3">
      <c r="B31" s="34" t="s">
        <v>271</v>
      </c>
      <c r="C31" s="34">
        <v>16</v>
      </c>
      <c r="D31" s="17" t="s">
        <v>133</v>
      </c>
      <c r="E31" s="18" t="s">
        <v>147</v>
      </c>
      <c r="F31" s="19" t="s">
        <v>79</v>
      </c>
      <c r="G31" s="109"/>
      <c r="H31" s="107"/>
      <c r="I31" s="184">
        <v>3.5000000000000003E-2</v>
      </c>
      <c r="J31" s="184">
        <f>(2*PI()*POWER(I31/2,2))+(K31*PI()*I31)</f>
        <v>1.1270463644753384E-2</v>
      </c>
      <c r="K31" s="184">
        <v>8.5000000000000006E-2</v>
      </c>
      <c r="L31" s="185" t="s">
        <v>149</v>
      </c>
      <c r="M31" s="178">
        <f>PI()*POWER((I31/2),2)*K31*8</f>
        <v>6.5423667011007451E-4</v>
      </c>
      <c r="N31" s="112">
        <f>E145*8</f>
        <v>7.8802806914758472</v>
      </c>
      <c r="O31" s="110"/>
      <c r="P31" s="111">
        <f>SUM(N31:O31)</f>
        <v>7.8802806914758472</v>
      </c>
      <c r="Q31" s="114"/>
      <c r="R31" s="195" t="s">
        <v>225</v>
      </c>
      <c r="S31" s="107"/>
      <c r="T31" s="90"/>
      <c r="U31" s="91"/>
      <c r="V31" s="103">
        <v>-54</v>
      </c>
      <c r="W31" s="104">
        <v>132</v>
      </c>
      <c r="X31" s="105" t="s">
        <v>79</v>
      </c>
      <c r="Y31" s="86"/>
      <c r="Z31" s="84"/>
      <c r="AA31" s="85"/>
      <c r="AB31" s="87"/>
      <c r="AC31" s="89" t="s">
        <v>246</v>
      </c>
      <c r="AD31" s="149" t="s">
        <v>377</v>
      </c>
      <c r="AE31" s="22"/>
      <c r="AG31" s="69">
        <f t="shared" si="5"/>
        <v>16</v>
      </c>
      <c r="AH31" s="54" t="str">
        <f t="shared" si="6"/>
        <v>Canister Release inc. 8 pyrotechnic bolts (Study)</v>
      </c>
      <c r="AI31" s="68">
        <f t="shared" si="7"/>
        <v>7.8802806914758472</v>
      </c>
      <c r="AJ31" s="159"/>
      <c r="AK31" s="68">
        <f t="shared" si="8"/>
        <v>6.5423667011007451E-4</v>
      </c>
      <c r="AL31" s="144"/>
      <c r="AM31" s="144"/>
      <c r="AN31" s="147" t="str">
        <f t="shared" si="9"/>
        <v>Requires 4 A to initiate pyrotechnic, drive signal only.</v>
      </c>
    </row>
    <row r="32" spans="2:40" ht="15" thickBot="1" x14ac:dyDescent="0.35">
      <c r="B32" s="34" t="s">
        <v>272</v>
      </c>
      <c r="C32" s="34" t="s">
        <v>250</v>
      </c>
      <c r="D32" s="20" t="s">
        <v>133</v>
      </c>
      <c r="E32" s="21" t="s">
        <v>147</v>
      </c>
      <c r="F32" s="22" t="s">
        <v>79</v>
      </c>
      <c r="G32" s="114"/>
      <c r="H32" s="110"/>
      <c r="I32" s="110"/>
      <c r="J32" s="110"/>
      <c r="K32" s="110"/>
      <c r="L32" s="189"/>
      <c r="M32" s="178">
        <f>M52</f>
        <v>2.1067242952709058</v>
      </c>
      <c r="N32" s="112">
        <f>N52</f>
        <v>104.2537146584115</v>
      </c>
      <c r="O32" s="110"/>
      <c r="P32" s="111">
        <f t="shared" si="4"/>
        <v>104.2537146584115</v>
      </c>
      <c r="Q32" s="113">
        <f t="shared" ref="Q32:Y32" si="11">Q52</f>
        <v>0</v>
      </c>
      <c r="R32" s="165">
        <f t="shared" si="11"/>
        <v>183</v>
      </c>
      <c r="S32" s="165">
        <f t="shared" si="11"/>
        <v>28</v>
      </c>
      <c r="T32" s="165">
        <f t="shared" si="11"/>
        <v>0</v>
      </c>
      <c r="U32" s="111">
        <f t="shared" si="11"/>
        <v>5400</v>
      </c>
      <c r="V32" s="45">
        <f t="shared" si="11"/>
        <v>10</v>
      </c>
      <c r="W32" s="30">
        <f t="shared" si="11"/>
        <v>30</v>
      </c>
      <c r="X32" s="42">
        <f t="shared" si="11"/>
        <v>20</v>
      </c>
      <c r="Y32" s="45">
        <f t="shared" si="11"/>
        <v>3.5</v>
      </c>
      <c r="Z32" s="30">
        <f t="shared" ref="Z32:AA32" si="12">Z52</f>
        <v>10</v>
      </c>
      <c r="AA32" s="42">
        <f t="shared" si="12"/>
        <v>120</v>
      </c>
      <c r="AB32" s="168">
        <f>AB52</f>
        <v>2</v>
      </c>
      <c r="AC32" s="88"/>
      <c r="AD32" s="150" t="s">
        <v>376</v>
      </c>
      <c r="AE32" s="22"/>
      <c r="AG32" s="69" t="str">
        <f t="shared" si="5"/>
        <v>X</v>
      </c>
      <c r="AH32" s="54" t="str">
        <f t="shared" si="6"/>
        <v>In-Situ Craft contained within Entry Probe (Study)</v>
      </c>
      <c r="AI32" s="68">
        <f t="shared" si="7"/>
        <v>104.2537146584115</v>
      </c>
      <c r="AJ32" s="159"/>
      <c r="AK32" s="68">
        <f t="shared" si="8"/>
        <v>2.1067242952709058</v>
      </c>
      <c r="AL32" s="144"/>
      <c r="AM32" s="144"/>
      <c r="AN32" s="147" t="str">
        <f t="shared" si="9"/>
        <v>-</v>
      </c>
    </row>
    <row r="33" spans="2:40" ht="15" thickBot="1" x14ac:dyDescent="0.35">
      <c r="B33" s="76" t="s">
        <v>144</v>
      </c>
      <c r="C33" s="98"/>
      <c r="D33" s="59"/>
      <c r="E33" s="60"/>
      <c r="F33" s="61"/>
      <c r="G33" s="62"/>
      <c r="H33" s="63"/>
      <c r="I33" s="63">
        <f>I27</f>
        <v>1.7</v>
      </c>
      <c r="J33" s="63"/>
      <c r="K33" s="63">
        <f>SUM(K29,K27,K16)</f>
        <v>1.53</v>
      </c>
      <c r="L33" s="102"/>
      <c r="M33" s="64">
        <f>SUM(M29,M27,M16)</f>
        <v>2.5648747822070463</v>
      </c>
      <c r="N33" s="65">
        <f>SUM(N16:N32)</f>
        <v>943.55491246299562</v>
      </c>
      <c r="O33" s="64">
        <f>SUM(O16:O32)</f>
        <v>0</v>
      </c>
      <c r="P33" s="66">
        <f>SUM(P16:P32)</f>
        <v>943.55491246299562</v>
      </c>
      <c r="Q33" s="65">
        <f t="shared" ref="Q33:T33" si="13">MAX(Q16:Q32)</f>
        <v>0</v>
      </c>
      <c r="R33" s="64">
        <f t="shared" si="13"/>
        <v>183</v>
      </c>
      <c r="S33" s="64">
        <f>S32</f>
        <v>28</v>
      </c>
      <c r="T33" s="64">
        <f t="shared" si="13"/>
        <v>0</v>
      </c>
      <c r="U33" s="66">
        <f>MAX(U16:U32)</f>
        <v>5400</v>
      </c>
      <c r="V33" s="153">
        <f>MAX(V16:V32)</f>
        <v>10</v>
      </c>
      <c r="W33" s="154">
        <f>MIN(W16:W32)</f>
        <v>30</v>
      </c>
      <c r="X33" s="164">
        <f>MAX(X16:X32)</f>
        <v>20</v>
      </c>
      <c r="Y33" s="153">
        <f>Y32</f>
        <v>3.5</v>
      </c>
      <c r="Z33" s="154">
        <f t="shared" ref="Z33:AA33" si="14">Z32</f>
        <v>10</v>
      </c>
      <c r="AA33" s="164">
        <f t="shared" si="14"/>
        <v>120</v>
      </c>
      <c r="AB33" s="167">
        <f>AB32</f>
        <v>2</v>
      </c>
      <c r="AC33" s="67"/>
      <c r="AD33" s="59"/>
      <c r="AE33" s="61"/>
      <c r="AH33" s="71" t="s">
        <v>117</v>
      </c>
      <c r="AI33" s="72">
        <f t="shared" si="7"/>
        <v>943.55491246299562</v>
      </c>
      <c r="AJ33" s="159"/>
      <c r="AK33" s="72">
        <f t="shared" si="8"/>
        <v>2.5648747822070463</v>
      </c>
      <c r="AL33" s="144"/>
      <c r="AM33" s="144"/>
      <c r="AN33" s="147"/>
    </row>
    <row r="34" spans="2:40" x14ac:dyDescent="0.3">
      <c r="M34" s="77"/>
      <c r="N34" s="13">
        <f>N27/N33</f>
        <v>0.14837504224799478</v>
      </c>
      <c r="AH34" s="54"/>
      <c r="AI34" s="68"/>
      <c r="AJ34" s="69"/>
      <c r="AK34" s="70"/>
      <c r="AL34" s="69"/>
    </row>
    <row r="35" spans="2:40" x14ac:dyDescent="0.35">
      <c r="B35" s="47" t="s">
        <v>143</v>
      </c>
      <c r="N35" s="125" t="s">
        <v>126</v>
      </c>
      <c r="O35" s="124"/>
      <c r="P35" s="127">
        <v>201.93444176833037</v>
      </c>
      <c r="Q35" s="128" t="s">
        <v>237</v>
      </c>
    </row>
    <row r="36" spans="2:40" ht="15" thickBot="1" x14ac:dyDescent="0.4">
      <c r="N36" s="125" t="s">
        <v>126</v>
      </c>
      <c r="O36" s="124"/>
      <c r="P36" s="127">
        <v>150.57216354357644</v>
      </c>
      <c r="Q36" s="128" t="s">
        <v>235</v>
      </c>
    </row>
    <row r="37" spans="2:40" ht="15" thickBot="1" x14ac:dyDescent="0.35">
      <c r="D37" s="229" t="s">
        <v>104</v>
      </c>
      <c r="E37" s="231"/>
      <c r="F37" s="230"/>
      <c r="G37" s="229" t="s">
        <v>97</v>
      </c>
      <c r="H37" s="231"/>
      <c r="I37" s="231"/>
      <c r="J37" s="231"/>
      <c r="K37" s="231"/>
      <c r="L37" s="231"/>
      <c r="M37" s="231"/>
      <c r="N37" s="229" t="s">
        <v>98</v>
      </c>
      <c r="O37" s="231"/>
      <c r="P37" s="230"/>
      <c r="Q37" s="229" t="s">
        <v>105</v>
      </c>
      <c r="R37" s="231"/>
      <c r="S37" s="231"/>
      <c r="T37" s="231"/>
      <c r="U37" s="230"/>
      <c r="V37" s="229" t="s">
        <v>99</v>
      </c>
      <c r="W37" s="231"/>
      <c r="X37" s="230"/>
      <c r="Y37" s="229" t="s">
        <v>100</v>
      </c>
      <c r="Z37" s="231"/>
      <c r="AA37" s="231"/>
      <c r="AB37" s="37" t="s">
        <v>101</v>
      </c>
      <c r="AC37" s="133" t="s">
        <v>102</v>
      </c>
      <c r="AD37" s="229" t="s">
        <v>103</v>
      </c>
      <c r="AE37" s="230"/>
      <c r="AG37" s="73" t="s">
        <v>259</v>
      </c>
      <c r="AH37" s="73" t="s">
        <v>67</v>
      </c>
      <c r="AI37" s="73" t="s">
        <v>110</v>
      </c>
      <c r="AJ37" s="73" t="s">
        <v>112</v>
      </c>
      <c r="AK37" s="73" t="s">
        <v>113</v>
      </c>
      <c r="AL37" s="73" t="s">
        <v>114</v>
      </c>
      <c r="AM37" s="73" t="s">
        <v>122</v>
      </c>
      <c r="AN37" s="73" t="s">
        <v>184</v>
      </c>
    </row>
    <row r="38" spans="2:40" ht="26" thickBot="1" x14ac:dyDescent="0.35">
      <c r="B38" s="32" t="s">
        <v>67</v>
      </c>
      <c r="C38" s="32" t="s">
        <v>291</v>
      </c>
      <c r="D38" s="14" t="s">
        <v>68</v>
      </c>
      <c r="E38" s="15" t="s">
        <v>78</v>
      </c>
      <c r="F38" s="16" t="s">
        <v>70</v>
      </c>
      <c r="G38" s="14" t="s">
        <v>74</v>
      </c>
      <c r="H38" s="15" t="s">
        <v>73</v>
      </c>
      <c r="I38" s="15" t="s">
        <v>119</v>
      </c>
      <c r="J38" s="15" t="s">
        <v>151</v>
      </c>
      <c r="K38" s="15" t="s">
        <v>72</v>
      </c>
      <c r="L38" s="100" t="s">
        <v>46</v>
      </c>
      <c r="M38" s="15" t="s">
        <v>150</v>
      </c>
      <c r="N38" s="14" t="s">
        <v>96</v>
      </c>
      <c r="O38" s="15" t="s">
        <v>92</v>
      </c>
      <c r="P38" s="16" t="s">
        <v>71</v>
      </c>
      <c r="Q38" s="14" t="s">
        <v>75</v>
      </c>
      <c r="R38" s="15" t="s">
        <v>76</v>
      </c>
      <c r="S38" s="15" t="s">
        <v>155</v>
      </c>
      <c r="T38" s="15" t="s">
        <v>93</v>
      </c>
      <c r="U38" s="16" t="s">
        <v>94</v>
      </c>
      <c r="V38" s="14" t="s">
        <v>80</v>
      </c>
      <c r="W38" s="15" t="s">
        <v>81</v>
      </c>
      <c r="X38" s="16" t="s">
        <v>302</v>
      </c>
      <c r="Y38" s="14" t="s">
        <v>85</v>
      </c>
      <c r="Z38" s="15" t="s">
        <v>86</v>
      </c>
      <c r="AA38" s="130" t="s">
        <v>89</v>
      </c>
      <c r="AB38" s="38" t="s">
        <v>324</v>
      </c>
      <c r="AC38" s="134" t="s">
        <v>83</v>
      </c>
      <c r="AD38" s="14" t="s">
        <v>77</v>
      </c>
      <c r="AE38" s="16" t="s">
        <v>69</v>
      </c>
      <c r="AG38" s="69" t="s">
        <v>260</v>
      </c>
      <c r="AH38" s="69" t="s">
        <v>109</v>
      </c>
      <c r="AI38" s="69" t="s">
        <v>111</v>
      </c>
      <c r="AJ38" s="69" t="s">
        <v>252</v>
      </c>
      <c r="AK38" s="69" t="s">
        <v>115</v>
      </c>
      <c r="AL38" s="69" t="s">
        <v>116</v>
      </c>
      <c r="AM38" s="69" t="s">
        <v>123</v>
      </c>
    </row>
    <row r="39" spans="2:40" x14ac:dyDescent="0.3">
      <c r="B39" s="34" t="s">
        <v>265</v>
      </c>
      <c r="C39" s="34">
        <v>17</v>
      </c>
      <c r="D39" s="20" t="s">
        <v>251</v>
      </c>
      <c r="E39" s="21" t="s">
        <v>157</v>
      </c>
      <c r="F39" s="22" t="s">
        <v>79</v>
      </c>
      <c r="G39" s="190"/>
      <c r="H39" s="191"/>
      <c r="I39" s="192">
        <v>0.33</v>
      </c>
      <c r="J39" s="192">
        <f>(2*PI()*POWER(I39/2,2))+(K39*PI()*I39)</f>
        <v>0.48207739269335381</v>
      </c>
      <c r="K39" s="192">
        <v>0.3</v>
      </c>
      <c r="L39" s="193" t="s">
        <v>149</v>
      </c>
      <c r="M39" s="181">
        <f>PI()*POWER((I39/2),2)*K39</f>
        <v>2.5658957998194638E-2</v>
      </c>
      <c r="N39" s="113">
        <f>E135</f>
        <v>23.897919386668953</v>
      </c>
      <c r="O39" s="110"/>
      <c r="P39" s="111">
        <f t="shared" ref="P39:P51" si="15">SUM(N39:O39)</f>
        <v>23.897919386668953</v>
      </c>
      <c r="Q39" s="114"/>
      <c r="R39" s="110"/>
      <c r="S39" s="110"/>
      <c r="T39" s="84"/>
      <c r="U39" s="85"/>
      <c r="V39" s="155"/>
      <c r="W39" s="156"/>
      <c r="X39" s="157" t="s">
        <v>253</v>
      </c>
      <c r="Y39" s="86"/>
      <c r="Z39" s="84"/>
      <c r="AA39" s="131"/>
      <c r="AB39" s="87"/>
      <c r="AC39" s="135"/>
      <c r="AD39" s="20" t="s">
        <v>279</v>
      </c>
      <c r="AE39" s="22"/>
      <c r="AG39" s="69">
        <f t="shared" ref="AG39:AG51" si="16">C39</f>
        <v>17</v>
      </c>
      <c r="AH39" s="54" t="str">
        <f t="shared" ref="AH39:AH51" si="17">_xlfn.CONCAT(B39," (",D39,")")</f>
        <v>Super-pressure Balloon Packed in Canister (JPL)</v>
      </c>
      <c r="AI39" s="68">
        <f t="shared" ref="AI39:AI52" si="18">P39</f>
        <v>23.897919386668953</v>
      </c>
      <c r="AJ39" s="68" t="s">
        <v>253</v>
      </c>
      <c r="AK39" s="68">
        <f t="shared" ref="AK39:AK52" si="19">M39</f>
        <v>2.5658957998194638E-2</v>
      </c>
      <c r="AL39" s="68" t="s">
        <v>253</v>
      </c>
      <c r="AM39" s="162" t="str">
        <f t="shared" ref="AM39:AM44" si="20">X39</f>
        <v>ND</v>
      </c>
      <c r="AN39" s="54" t="str">
        <f>AD39</f>
        <v>Balloon is packed in canister with integrated release system.</v>
      </c>
    </row>
    <row r="40" spans="2:40" x14ac:dyDescent="0.3">
      <c r="B40" s="34" t="s">
        <v>273</v>
      </c>
      <c r="C40" s="34">
        <v>18</v>
      </c>
      <c r="D40" s="20" t="s">
        <v>328</v>
      </c>
      <c r="E40" s="21" t="s">
        <v>330</v>
      </c>
      <c r="F40" s="22" t="s">
        <v>329</v>
      </c>
      <c r="G40" s="114"/>
      <c r="H40" s="110"/>
      <c r="I40" s="110"/>
      <c r="J40" s="110"/>
      <c r="K40" s="110"/>
      <c r="L40" s="194"/>
      <c r="M40" s="182"/>
      <c r="N40" s="112">
        <f>E67</f>
        <v>7.68</v>
      </c>
      <c r="O40" s="110"/>
      <c r="P40" s="111">
        <f t="shared" si="15"/>
        <v>7.68</v>
      </c>
      <c r="Q40" s="114"/>
      <c r="R40" s="186">
        <v>20</v>
      </c>
      <c r="S40" s="165" t="s">
        <v>331</v>
      </c>
      <c r="T40" s="84"/>
      <c r="U40" s="85"/>
      <c r="V40" s="45">
        <v>-25</v>
      </c>
      <c r="W40" s="30">
        <v>45</v>
      </c>
      <c r="X40" s="152" t="s">
        <v>253</v>
      </c>
      <c r="Y40" s="86"/>
      <c r="Z40" s="84"/>
      <c r="AA40" s="131"/>
      <c r="AB40" s="87"/>
      <c r="AC40" s="136" t="s">
        <v>246</v>
      </c>
      <c r="AD40" s="20" t="s">
        <v>382</v>
      </c>
      <c r="AE40" s="22"/>
      <c r="AG40" s="69">
        <f t="shared" si="16"/>
        <v>18</v>
      </c>
      <c r="AH40" s="54" t="str">
        <f t="shared" si="17"/>
        <v>Inflation Control x 8 Solenoid Valves [included in 17] (VACCO)</v>
      </c>
      <c r="AI40" s="68">
        <f t="shared" si="18"/>
        <v>7.68</v>
      </c>
      <c r="AJ40" s="68">
        <f t="shared" ref="AJ40:AJ51" si="21">R40</f>
        <v>20</v>
      </c>
      <c r="AK40" s="68">
        <f t="shared" si="19"/>
        <v>0</v>
      </c>
      <c r="AL40" s="68" t="str">
        <f>_xlfn.CONCAT(V40,"/",W40)</f>
        <v>-25/45</v>
      </c>
      <c r="AM40" s="162" t="str">
        <f t="shared" si="20"/>
        <v>ND</v>
      </c>
      <c r="AN40" s="54" t="str">
        <f t="shared" ref="AN40:AN51" si="22">AD40</f>
        <v>Total solenoid drive is &gt;160 Watts over balloon inflation period for all 8 valves.</v>
      </c>
    </row>
    <row r="41" spans="2:40" x14ac:dyDescent="0.3">
      <c r="B41" s="34" t="s">
        <v>274</v>
      </c>
      <c r="C41" s="34">
        <v>19</v>
      </c>
      <c r="D41" s="20" t="s">
        <v>251</v>
      </c>
      <c r="E41" s="21" t="s">
        <v>147</v>
      </c>
      <c r="F41" s="22" t="s">
        <v>79</v>
      </c>
      <c r="G41" s="114"/>
      <c r="H41" s="110"/>
      <c r="I41" s="110"/>
      <c r="J41" s="110"/>
      <c r="K41" s="110"/>
      <c r="L41" s="194"/>
      <c r="M41" s="182"/>
      <c r="N41" s="114"/>
      <c r="O41" s="110"/>
      <c r="P41" s="115"/>
      <c r="Q41" s="114"/>
      <c r="R41" s="110"/>
      <c r="S41" s="110"/>
      <c r="T41" s="84"/>
      <c r="U41" s="85"/>
      <c r="V41" s="86"/>
      <c r="W41" s="84"/>
      <c r="X41" s="152" t="s">
        <v>253</v>
      </c>
      <c r="Y41" s="86"/>
      <c r="Z41" s="84"/>
      <c r="AA41" s="131"/>
      <c r="AB41" s="87"/>
      <c r="AC41" s="135"/>
      <c r="AD41" s="20" t="s">
        <v>295</v>
      </c>
      <c r="AE41" s="22"/>
      <c r="AG41" s="69">
        <f t="shared" si="16"/>
        <v>19</v>
      </c>
      <c r="AH41" s="54" t="str">
        <f t="shared" si="17"/>
        <v>Balloon Tethering [included in 17] (JPL)</v>
      </c>
      <c r="AI41" s="68">
        <f t="shared" si="18"/>
        <v>0</v>
      </c>
      <c r="AJ41" s="68" t="s">
        <v>253</v>
      </c>
      <c r="AK41" s="68">
        <f t="shared" si="19"/>
        <v>0</v>
      </c>
      <c r="AL41" s="68" t="s">
        <v>253</v>
      </c>
      <c r="AM41" s="162" t="str">
        <f t="shared" si="20"/>
        <v>ND</v>
      </c>
      <c r="AN41" s="54" t="str">
        <f t="shared" si="22"/>
        <v>Included in Balloon spatial and mass estimates.</v>
      </c>
    </row>
    <row r="42" spans="2:40" x14ac:dyDescent="0.3">
      <c r="B42" s="34" t="s">
        <v>275</v>
      </c>
      <c r="C42" s="34">
        <v>20</v>
      </c>
      <c r="D42" s="20" t="s">
        <v>133</v>
      </c>
      <c r="E42" s="21" t="s">
        <v>147</v>
      </c>
      <c r="F42" s="22" t="s">
        <v>79</v>
      </c>
      <c r="G42" s="114"/>
      <c r="H42" s="110"/>
      <c r="I42" s="165">
        <v>0.75</v>
      </c>
      <c r="J42" s="165">
        <f t="shared" ref="J42" si="23">(2*PI()*POWER(I42/2,2))+(K42*PI()*I42)</f>
        <v>2.1794799034279193</v>
      </c>
      <c r="K42" s="165">
        <v>0.55000000000000004</v>
      </c>
      <c r="L42" s="188" t="s">
        <v>149</v>
      </c>
      <c r="M42" s="180">
        <f>PI()*POWER((I42/2),2)*K42*8</f>
        <v>1.9438604544086846</v>
      </c>
      <c r="N42" s="113">
        <f>E116</f>
        <v>13.995795271742528</v>
      </c>
      <c r="O42" s="110"/>
      <c r="P42" s="111">
        <f t="shared" si="15"/>
        <v>13.995795271742528</v>
      </c>
      <c r="Q42" s="114"/>
      <c r="R42" s="110"/>
      <c r="S42" s="110"/>
      <c r="T42" s="84"/>
      <c r="U42" s="85"/>
      <c r="V42" s="86"/>
      <c r="W42" s="84"/>
      <c r="X42" s="152" t="s">
        <v>253</v>
      </c>
      <c r="Y42" s="86"/>
      <c r="Z42" s="84"/>
      <c r="AA42" s="131"/>
      <c r="AB42" s="87"/>
      <c r="AC42" s="135"/>
      <c r="AD42" s="149" t="s">
        <v>280</v>
      </c>
      <c r="AE42" s="22"/>
      <c r="AG42" s="69">
        <f t="shared" si="16"/>
        <v>20</v>
      </c>
      <c r="AH42" s="54" t="str">
        <f t="shared" si="17"/>
        <v>Gondola Structure &amp; Wiring (Study)</v>
      </c>
      <c r="AI42" s="68">
        <f t="shared" si="18"/>
        <v>13.995795271742528</v>
      </c>
      <c r="AJ42" s="68" t="s">
        <v>253</v>
      </c>
      <c r="AK42" s="68">
        <f t="shared" si="19"/>
        <v>1.9438604544086846</v>
      </c>
      <c r="AL42" s="68" t="s">
        <v>253</v>
      </c>
      <c r="AM42" s="162" t="str">
        <f t="shared" si="20"/>
        <v>ND</v>
      </c>
      <c r="AN42" s="54" t="str">
        <f t="shared" si="22"/>
        <v>Assume aluminium 2mm thick skin with % allowance for supporting structures.</v>
      </c>
    </row>
    <row r="43" spans="2:40" x14ac:dyDescent="0.3">
      <c r="B43" s="34" t="s">
        <v>276</v>
      </c>
      <c r="C43" s="34">
        <v>21</v>
      </c>
      <c r="D43" s="20" t="s">
        <v>192</v>
      </c>
      <c r="E43" s="21" t="s">
        <v>195</v>
      </c>
      <c r="F43" s="22" t="s">
        <v>194</v>
      </c>
      <c r="G43" s="113">
        <v>0.21640799999999999</v>
      </c>
      <c r="H43" s="165">
        <v>9.2202000000000006E-2</v>
      </c>
      <c r="I43" s="110"/>
      <c r="J43" s="165">
        <f>(2*(G43*H43))+(2*(G43*K43))+(2*(H43*K43))</f>
        <v>0.115157963232</v>
      </c>
      <c r="K43" s="165">
        <v>0.12192</v>
      </c>
      <c r="L43" s="188" t="s">
        <v>196</v>
      </c>
      <c r="M43" s="180">
        <f t="shared" ref="M43:M51" si="24">G43*H43*K43</f>
        <v>2.4327002907187202E-3</v>
      </c>
      <c r="N43" s="113">
        <v>5.35</v>
      </c>
      <c r="O43" s="110"/>
      <c r="P43" s="111">
        <f t="shared" si="15"/>
        <v>5.35</v>
      </c>
      <c r="Q43" s="113">
        <v>0</v>
      </c>
      <c r="R43" s="165">
        <v>13</v>
      </c>
      <c r="S43" s="165" t="s">
        <v>193</v>
      </c>
      <c r="T43" s="84"/>
      <c r="U43" s="85"/>
      <c r="V43" s="45">
        <v>-40</v>
      </c>
      <c r="W43" s="30">
        <v>71</v>
      </c>
      <c r="X43" s="42">
        <v>25</v>
      </c>
      <c r="Y43" s="86"/>
      <c r="Z43" s="84"/>
      <c r="AA43" s="131"/>
      <c r="AB43" s="53" t="s">
        <v>199</v>
      </c>
      <c r="AC43" s="137" t="s">
        <v>202</v>
      </c>
      <c r="AD43" s="20" t="s">
        <v>296</v>
      </c>
      <c r="AE43" s="22"/>
      <c r="AG43" s="69">
        <f t="shared" si="16"/>
        <v>21</v>
      </c>
      <c r="AH43" s="54" t="str">
        <f t="shared" si="17"/>
        <v>Mission Computer &amp; PCI Enclosure (AI TECH)</v>
      </c>
      <c r="AI43" s="68">
        <f t="shared" si="18"/>
        <v>5.35</v>
      </c>
      <c r="AJ43" s="68">
        <f t="shared" si="21"/>
        <v>13</v>
      </c>
      <c r="AK43" s="68">
        <f t="shared" si="19"/>
        <v>2.4327002907187202E-3</v>
      </c>
      <c r="AL43" s="68" t="str">
        <f t="shared" ref="AL43:AL48" si="25">_xlfn.CONCAT(V43,"/",W43)</f>
        <v>-40/71</v>
      </c>
      <c r="AM43" s="162">
        <f t="shared" si="20"/>
        <v>25</v>
      </c>
      <c r="AN43" s="54" t="str">
        <f t="shared" si="22"/>
        <v>Small form factor cPCI enclosure with 2 cards (main computer and memory).</v>
      </c>
    </row>
    <row r="44" spans="2:40" x14ac:dyDescent="0.3">
      <c r="B44" s="34" t="s">
        <v>277</v>
      </c>
      <c r="C44" s="34">
        <v>22</v>
      </c>
      <c r="D44" s="20" t="s">
        <v>192</v>
      </c>
      <c r="E44" s="21" t="s">
        <v>198</v>
      </c>
      <c r="F44" s="22" t="s">
        <v>197</v>
      </c>
      <c r="G44" s="114"/>
      <c r="H44" s="110"/>
      <c r="I44" s="110"/>
      <c r="J44" s="110"/>
      <c r="K44" s="110"/>
      <c r="L44" s="194"/>
      <c r="M44" s="182"/>
      <c r="N44" s="114"/>
      <c r="O44" s="110"/>
      <c r="P44" s="115"/>
      <c r="Q44" s="114"/>
      <c r="R44" s="165">
        <v>2.8</v>
      </c>
      <c r="S44" s="165" t="s">
        <v>193</v>
      </c>
      <c r="T44" s="84"/>
      <c r="U44" s="85"/>
      <c r="V44" s="45">
        <v>-40</v>
      </c>
      <c r="W44" s="30">
        <v>71</v>
      </c>
      <c r="X44" s="42">
        <v>25</v>
      </c>
      <c r="Y44" s="86"/>
      <c r="Z44" s="84"/>
      <c r="AA44" s="131"/>
      <c r="AB44" s="53" t="s">
        <v>200</v>
      </c>
      <c r="AC44" s="137" t="s">
        <v>201</v>
      </c>
      <c r="AD44" s="20" t="s">
        <v>297</v>
      </c>
      <c r="AE44" s="22"/>
      <c r="AG44" s="69">
        <f t="shared" si="16"/>
        <v>22</v>
      </c>
      <c r="AH44" s="54" t="str">
        <f t="shared" si="17"/>
        <v>Data Storage [included in 21] (AI TECH)</v>
      </c>
      <c r="AI44" s="68">
        <f t="shared" si="18"/>
        <v>0</v>
      </c>
      <c r="AJ44" s="68">
        <f t="shared" si="21"/>
        <v>2.8</v>
      </c>
      <c r="AK44" s="68">
        <f t="shared" si="19"/>
        <v>0</v>
      </c>
      <c r="AL44" s="68" t="str">
        <f t="shared" si="25"/>
        <v>-40/71</v>
      </c>
      <c r="AM44" s="162">
        <f t="shared" si="20"/>
        <v>25</v>
      </c>
      <c r="AN44" s="54" t="str">
        <f t="shared" si="22"/>
        <v>Memory is 1 GB radiation hardened non-volatile for reliability.</v>
      </c>
    </row>
    <row r="45" spans="2:40" x14ac:dyDescent="0.3">
      <c r="B45" s="34" t="s">
        <v>138</v>
      </c>
      <c r="C45" s="34">
        <v>23</v>
      </c>
      <c r="D45" s="20" t="s">
        <v>284</v>
      </c>
      <c r="E45" s="21" t="s">
        <v>286</v>
      </c>
      <c r="F45" s="22" t="s">
        <v>285</v>
      </c>
      <c r="G45" s="113">
        <f>6.35*2.54/100</f>
        <v>0.16128999999999999</v>
      </c>
      <c r="H45" s="165">
        <f>8*2.54/100</f>
        <v>0.20319999999999999</v>
      </c>
      <c r="I45" s="110"/>
      <c r="J45" s="165">
        <f t="shared" ref="J45:J51" si="26">(2*(G45*H45))+(2*(G45*K45))+(2*(H45*K45))</f>
        <v>0.14164939411999999</v>
      </c>
      <c r="K45" s="165">
        <f>4.11*2.54/100</f>
        <v>0.10439400000000001</v>
      </c>
      <c r="L45" s="188" t="s">
        <v>196</v>
      </c>
      <c r="M45" s="180">
        <f t="shared" si="24"/>
        <v>3.4214223184320003E-3</v>
      </c>
      <c r="N45" s="113">
        <v>3</v>
      </c>
      <c r="O45" s="110"/>
      <c r="P45" s="111">
        <f t="shared" si="15"/>
        <v>3</v>
      </c>
      <c r="Q45" s="113">
        <v>0</v>
      </c>
      <c r="R45" s="165">
        <v>65</v>
      </c>
      <c r="S45" s="165" t="s">
        <v>287</v>
      </c>
      <c r="T45" s="84"/>
      <c r="U45" s="85"/>
      <c r="V45" s="45">
        <v>-45</v>
      </c>
      <c r="W45" s="30">
        <v>72</v>
      </c>
      <c r="X45" s="42">
        <v>20</v>
      </c>
      <c r="Y45" s="86"/>
      <c r="Z45" s="84"/>
      <c r="AA45" s="131"/>
      <c r="AB45" s="87"/>
      <c r="AC45" s="137" t="s">
        <v>88</v>
      </c>
      <c r="AD45" s="20" t="s">
        <v>299</v>
      </c>
      <c r="AE45" s="22"/>
      <c r="AG45" s="69">
        <f t="shared" si="16"/>
        <v>23</v>
      </c>
      <c r="AH45" s="54" t="str">
        <f t="shared" si="17"/>
        <v>Transceiver (L-3 Harris)</v>
      </c>
      <c r="AI45" s="68">
        <f t="shared" si="18"/>
        <v>3</v>
      </c>
      <c r="AJ45" s="68">
        <f t="shared" si="21"/>
        <v>65</v>
      </c>
      <c r="AK45" s="68">
        <f t="shared" si="19"/>
        <v>3.4214223184320003E-3</v>
      </c>
      <c r="AL45" s="68" t="str">
        <f t="shared" si="25"/>
        <v>-45/72</v>
      </c>
      <c r="AM45" s="162" t="s">
        <v>255</v>
      </c>
      <c r="AN45" s="54" t="str">
        <f t="shared" si="22"/>
        <v>UHF 435 to 450 MHz tenable (56 kHz steps) 10 Mbps Tx max rate.</v>
      </c>
    </row>
    <row r="46" spans="2:40" x14ac:dyDescent="0.3">
      <c r="B46" s="34" t="s">
        <v>139</v>
      </c>
      <c r="C46" s="34">
        <v>24</v>
      </c>
      <c r="D46" s="20" t="s">
        <v>91</v>
      </c>
      <c r="E46" s="21" t="s">
        <v>241</v>
      </c>
      <c r="F46" s="22" t="s">
        <v>240</v>
      </c>
      <c r="G46" s="113">
        <v>0.249</v>
      </c>
      <c r="H46" s="165">
        <v>0.123</v>
      </c>
      <c r="I46" s="110"/>
      <c r="J46" s="165">
        <f t="shared" si="26"/>
        <v>0.170622</v>
      </c>
      <c r="K46" s="165">
        <v>0.14699999999999999</v>
      </c>
      <c r="L46" s="188" t="s">
        <v>196</v>
      </c>
      <c r="M46" s="180">
        <f t="shared" si="24"/>
        <v>4.5021689999999994E-3</v>
      </c>
      <c r="N46" s="113">
        <v>3.3</v>
      </c>
      <c r="O46" s="110"/>
      <c r="P46" s="111">
        <f t="shared" si="15"/>
        <v>3.3</v>
      </c>
      <c r="Q46" s="113">
        <v>0</v>
      </c>
      <c r="R46" s="165">
        <v>10</v>
      </c>
      <c r="S46" s="165" t="s">
        <v>325</v>
      </c>
      <c r="T46" s="84"/>
      <c r="U46" s="85"/>
      <c r="V46" s="45">
        <v>-30</v>
      </c>
      <c r="W46" s="30">
        <v>60</v>
      </c>
      <c r="X46" s="42">
        <v>20</v>
      </c>
      <c r="Y46" s="86"/>
      <c r="Z46" s="30">
        <v>10.7</v>
      </c>
      <c r="AA46" s="131"/>
      <c r="AB46" s="87"/>
      <c r="AC46" s="137" t="s">
        <v>209</v>
      </c>
      <c r="AD46" s="20" t="s">
        <v>300</v>
      </c>
      <c r="AE46" s="22"/>
      <c r="AG46" s="69">
        <f t="shared" si="16"/>
        <v>24</v>
      </c>
      <c r="AH46" s="54" t="str">
        <f t="shared" si="17"/>
        <v>Power Distribution (AAC Clyde Space)</v>
      </c>
      <c r="AI46" s="68">
        <f t="shared" si="18"/>
        <v>3.3</v>
      </c>
      <c r="AJ46" s="68">
        <f t="shared" si="21"/>
        <v>10</v>
      </c>
      <c r="AK46" s="68">
        <f t="shared" si="19"/>
        <v>4.5021689999999994E-3</v>
      </c>
      <c r="AL46" s="68" t="str">
        <f t="shared" si="25"/>
        <v>-30/60</v>
      </c>
      <c r="AM46" s="162">
        <f>X46</f>
        <v>20</v>
      </c>
      <c r="AN46" s="54" t="str">
        <f t="shared" si="22"/>
        <v>Power distribution does not include wiring (included in canister estimates).</v>
      </c>
    </row>
    <row r="47" spans="2:40" x14ac:dyDescent="0.3">
      <c r="B47" s="34" t="s">
        <v>141</v>
      </c>
      <c r="C47" s="34">
        <v>25</v>
      </c>
      <c r="D47" s="20" t="s">
        <v>208</v>
      </c>
      <c r="E47" s="21" t="s">
        <v>207</v>
      </c>
      <c r="F47" s="22" t="s">
        <v>79</v>
      </c>
      <c r="G47" s="113">
        <v>8.3819999999999992E-2</v>
      </c>
      <c r="H47" s="165">
        <v>6.4769999999999994E-2</v>
      </c>
      <c r="I47" s="110"/>
      <c r="J47" s="165">
        <f t="shared" si="26"/>
        <v>1.84064148E-2</v>
      </c>
      <c r="K47" s="165">
        <f>2.54*1/100</f>
        <v>2.5399999999999999E-2</v>
      </c>
      <c r="L47" s="188" t="s">
        <v>196</v>
      </c>
      <c r="M47" s="180">
        <f t="shared" ref="M47:M49" si="27">G47*H47*K47</f>
        <v>1.3789714355999999E-4</v>
      </c>
      <c r="N47" s="113">
        <v>0.25</v>
      </c>
      <c r="O47" s="110"/>
      <c r="P47" s="111">
        <f t="shared" si="15"/>
        <v>0.25</v>
      </c>
      <c r="Q47" s="113">
        <v>0</v>
      </c>
      <c r="R47" s="165">
        <f>20/1000*10</f>
        <v>0.2</v>
      </c>
      <c r="S47" s="165" t="s">
        <v>210</v>
      </c>
      <c r="T47" s="84"/>
      <c r="U47" s="85"/>
      <c r="V47" s="45">
        <v>-58</v>
      </c>
      <c r="W47" s="30">
        <v>100</v>
      </c>
      <c r="X47" s="42" t="s">
        <v>253</v>
      </c>
      <c r="Y47" s="86"/>
      <c r="Z47" s="84"/>
      <c r="AA47" s="131"/>
      <c r="AB47" s="87"/>
      <c r="AC47" s="137" t="s">
        <v>209</v>
      </c>
      <c r="AD47" s="20" t="s">
        <v>294</v>
      </c>
      <c r="AE47" s="22"/>
      <c r="AG47" s="69">
        <f t="shared" si="16"/>
        <v>25</v>
      </c>
      <c r="AH47" s="54" t="str">
        <f t="shared" si="17"/>
        <v>Environmental Sensors (Sierra Space Corporation)</v>
      </c>
      <c r="AI47" s="68">
        <f t="shared" si="18"/>
        <v>0.25</v>
      </c>
      <c r="AJ47" s="68">
        <f t="shared" si="21"/>
        <v>0.2</v>
      </c>
      <c r="AK47" s="68">
        <f t="shared" si="19"/>
        <v>1.3789714355999999E-4</v>
      </c>
      <c r="AL47" s="68" t="str">
        <f t="shared" si="25"/>
        <v>-58/100</v>
      </c>
      <c r="AM47" s="162" t="str">
        <f>X47</f>
        <v>ND</v>
      </c>
      <c r="AN47" s="54" t="str">
        <f t="shared" si="22"/>
        <v>Environmental sensor limited to static and dynamic pressure monitoring.</v>
      </c>
    </row>
    <row r="48" spans="2:40" x14ac:dyDescent="0.3">
      <c r="B48" s="34" t="s">
        <v>153</v>
      </c>
      <c r="C48" s="34">
        <v>26</v>
      </c>
      <c r="D48" s="20" t="s">
        <v>204</v>
      </c>
      <c r="E48" s="21" t="s">
        <v>281</v>
      </c>
      <c r="F48" s="22" t="s">
        <v>205</v>
      </c>
      <c r="G48" s="114"/>
      <c r="H48" s="110"/>
      <c r="I48" s="165">
        <v>0.23369999999999999</v>
      </c>
      <c r="J48" s="165">
        <f t="shared" si="26"/>
        <v>0</v>
      </c>
      <c r="K48" s="165">
        <v>0.1699</v>
      </c>
      <c r="L48" s="188" t="s">
        <v>149</v>
      </c>
      <c r="M48" s="180">
        <f>PI()*POWER((I48/2),2)*K48*8</f>
        <v>5.8302969111315807E-2</v>
      </c>
      <c r="N48" s="113">
        <v>4.5999999999999996</v>
      </c>
      <c r="O48" s="110"/>
      <c r="P48" s="111">
        <f t="shared" si="15"/>
        <v>4.5999999999999996</v>
      </c>
      <c r="Q48" s="113">
        <v>0</v>
      </c>
      <c r="R48" s="165">
        <v>25</v>
      </c>
      <c r="S48" s="165" t="s">
        <v>206</v>
      </c>
      <c r="T48" s="84"/>
      <c r="U48" s="85"/>
      <c r="V48" s="45">
        <v>-30</v>
      </c>
      <c r="W48" s="30">
        <v>65</v>
      </c>
      <c r="X48" s="42">
        <v>100</v>
      </c>
      <c r="Y48" s="86"/>
      <c r="Z48" s="84"/>
      <c r="AA48" s="131"/>
      <c r="AB48" s="87"/>
      <c r="AC48" s="137" t="s">
        <v>254</v>
      </c>
      <c r="AD48" s="20" t="s">
        <v>301</v>
      </c>
      <c r="AE48" s="22"/>
      <c r="AG48" s="69">
        <f t="shared" si="16"/>
        <v>26</v>
      </c>
      <c r="AH48" s="54" t="str">
        <f t="shared" si="17"/>
        <v>Inertial Measurement Unit (Honeywell Aerospace)</v>
      </c>
      <c r="AI48" s="68">
        <f t="shared" si="18"/>
        <v>4.5999999999999996</v>
      </c>
      <c r="AJ48" s="68">
        <f t="shared" si="21"/>
        <v>25</v>
      </c>
      <c r="AK48" s="68">
        <f t="shared" si="19"/>
        <v>5.8302969111315807E-2</v>
      </c>
      <c r="AL48" s="68" t="str">
        <f t="shared" si="25"/>
        <v>-30/65</v>
      </c>
      <c r="AM48" s="162">
        <f>X48</f>
        <v>100</v>
      </c>
      <c r="AN48" s="54" t="str">
        <f t="shared" si="22"/>
        <v>Inertial measurement is critical component of entry monitoring, hence separate unit.</v>
      </c>
    </row>
    <row r="49" spans="2:40" x14ac:dyDescent="0.3">
      <c r="B49" s="55" t="s">
        <v>137</v>
      </c>
      <c r="C49" s="55">
        <v>27</v>
      </c>
      <c r="D49" s="56" t="s">
        <v>203</v>
      </c>
      <c r="E49" s="57" t="s">
        <v>154</v>
      </c>
      <c r="F49" s="58" t="s">
        <v>79</v>
      </c>
      <c r="G49" s="113">
        <v>0.5</v>
      </c>
      <c r="H49" s="165">
        <v>0.4</v>
      </c>
      <c r="I49" s="110"/>
      <c r="J49" s="165">
        <f t="shared" si="26"/>
        <v>0.76000000000000012</v>
      </c>
      <c r="K49" s="165">
        <v>0.2</v>
      </c>
      <c r="L49" s="188" t="s">
        <v>196</v>
      </c>
      <c r="M49" s="180">
        <f t="shared" si="27"/>
        <v>4.0000000000000008E-2</v>
      </c>
      <c r="N49" s="116">
        <v>12</v>
      </c>
      <c r="O49" s="117"/>
      <c r="P49" s="118">
        <f t="shared" si="15"/>
        <v>12</v>
      </c>
      <c r="Q49" s="116">
        <v>0</v>
      </c>
      <c r="R49" s="196">
        <v>34</v>
      </c>
      <c r="S49" s="197" t="s">
        <v>216</v>
      </c>
      <c r="T49" s="79"/>
      <c r="U49" s="80"/>
      <c r="V49" s="45" t="s">
        <v>253</v>
      </c>
      <c r="W49" s="30" t="s">
        <v>253</v>
      </c>
      <c r="X49" s="42" t="s">
        <v>253</v>
      </c>
      <c r="Y49" s="81"/>
      <c r="Z49" s="79"/>
      <c r="AA49" s="132"/>
      <c r="AB49" s="82"/>
      <c r="AC49" s="137" t="s">
        <v>253</v>
      </c>
      <c r="AD49" s="56" t="s">
        <v>293</v>
      </c>
      <c r="AE49" s="58"/>
      <c r="AG49" s="69">
        <f t="shared" si="16"/>
        <v>27</v>
      </c>
      <c r="AH49" s="54" t="str">
        <f t="shared" si="17"/>
        <v>Science Instrument (University of Bern)</v>
      </c>
      <c r="AI49" s="68">
        <f t="shared" si="18"/>
        <v>12</v>
      </c>
      <c r="AJ49" s="68">
        <f t="shared" si="21"/>
        <v>34</v>
      </c>
      <c r="AK49" s="68">
        <f t="shared" si="19"/>
        <v>4.0000000000000008E-2</v>
      </c>
      <c r="AL49" s="68" t="s">
        <v>253</v>
      </c>
      <c r="AM49" s="162" t="str">
        <f>X49</f>
        <v>ND</v>
      </c>
      <c r="AN49" s="54" t="str">
        <f t="shared" si="22"/>
        <v>Spatial estimate is based on Venus Life Finder mission estimates.</v>
      </c>
    </row>
    <row r="50" spans="2:40" x14ac:dyDescent="0.3">
      <c r="B50" s="34" t="s">
        <v>140</v>
      </c>
      <c r="C50" s="34">
        <v>28</v>
      </c>
      <c r="D50" s="20" t="s">
        <v>84</v>
      </c>
      <c r="E50" s="21" t="s">
        <v>106</v>
      </c>
      <c r="F50" s="22" t="s">
        <v>107</v>
      </c>
      <c r="G50" s="113">
        <v>0.1</v>
      </c>
      <c r="H50" s="165">
        <v>0.1</v>
      </c>
      <c r="I50" s="110"/>
      <c r="J50" s="165">
        <f t="shared" si="26"/>
        <v>3.6000000000000004E-2</v>
      </c>
      <c r="K50" s="165">
        <v>0.04</v>
      </c>
      <c r="L50" s="188" t="s">
        <v>196</v>
      </c>
      <c r="M50" s="180">
        <f t="shared" si="24"/>
        <v>4.0000000000000007E-4</v>
      </c>
      <c r="N50" s="113">
        <v>0.18</v>
      </c>
      <c r="O50" s="110"/>
      <c r="P50" s="111">
        <f t="shared" si="15"/>
        <v>0.18</v>
      </c>
      <c r="Q50" s="113">
        <v>0</v>
      </c>
      <c r="R50" s="165">
        <f>2.6*5</f>
        <v>13</v>
      </c>
      <c r="S50" s="165" t="s">
        <v>90</v>
      </c>
      <c r="T50" s="84"/>
      <c r="U50" s="85"/>
      <c r="V50" s="45" t="s">
        <v>253</v>
      </c>
      <c r="W50" s="30" t="s">
        <v>253</v>
      </c>
      <c r="X50" s="42" t="s">
        <v>253</v>
      </c>
      <c r="Y50" s="45">
        <v>3.5</v>
      </c>
      <c r="Z50" s="30">
        <v>10</v>
      </c>
      <c r="AA50" s="78">
        <v>120</v>
      </c>
      <c r="AB50" s="87"/>
      <c r="AC50" s="137" t="s">
        <v>87</v>
      </c>
      <c r="AD50" s="20" t="s">
        <v>298</v>
      </c>
      <c r="AE50" s="22"/>
      <c r="AG50" s="69">
        <f t="shared" si="16"/>
        <v>28</v>
      </c>
      <c r="AH50" s="54" t="str">
        <f t="shared" si="17"/>
        <v>Aerial (Helical Communications Technologies)</v>
      </c>
      <c r="AI50" s="68">
        <f t="shared" si="18"/>
        <v>0.18</v>
      </c>
      <c r="AJ50" s="68">
        <f t="shared" si="21"/>
        <v>13</v>
      </c>
      <c r="AK50" s="68">
        <f t="shared" si="19"/>
        <v>4.0000000000000007E-4</v>
      </c>
      <c r="AL50" s="68" t="s">
        <v>253</v>
      </c>
      <c r="AM50" s="162" t="s">
        <v>253</v>
      </c>
      <c r="AN50" s="54" t="str">
        <f t="shared" si="22"/>
        <v>Requires 'surge' power to burn aerial through retention lines (20 seconds)</v>
      </c>
    </row>
    <row r="51" spans="2:40" ht="15" thickBot="1" x14ac:dyDescent="0.35">
      <c r="B51" s="53" t="s">
        <v>248</v>
      </c>
      <c r="C51" s="34">
        <v>29</v>
      </c>
      <c r="D51" s="20" t="s">
        <v>120</v>
      </c>
      <c r="E51" s="21" t="s">
        <v>121</v>
      </c>
      <c r="F51" s="75" t="s">
        <v>79</v>
      </c>
      <c r="G51" s="113">
        <v>0.50900000000000001</v>
      </c>
      <c r="H51" s="165">
        <v>0.35499999999999998</v>
      </c>
      <c r="I51" s="110"/>
      <c r="J51" s="165">
        <f t="shared" si="26"/>
        <v>0.62922999999999996</v>
      </c>
      <c r="K51" s="165">
        <v>0.155</v>
      </c>
      <c r="L51" s="188" t="s">
        <v>196</v>
      </c>
      <c r="M51" s="183">
        <f t="shared" si="24"/>
        <v>2.8007725000000001E-2</v>
      </c>
      <c r="N51" s="113">
        <v>30</v>
      </c>
      <c r="O51" s="110"/>
      <c r="P51" s="111">
        <f t="shared" si="15"/>
        <v>30</v>
      </c>
      <c r="Q51" s="198"/>
      <c r="R51" s="110"/>
      <c r="S51" s="196" t="s">
        <v>156</v>
      </c>
      <c r="T51" s="84"/>
      <c r="U51" s="78">
        <v>5400</v>
      </c>
      <c r="V51" s="46">
        <v>10</v>
      </c>
      <c r="W51" s="31">
        <v>30</v>
      </c>
      <c r="X51" s="43" t="s">
        <v>253</v>
      </c>
      <c r="Y51" s="86"/>
      <c r="Z51" s="84"/>
      <c r="AA51" s="131"/>
      <c r="AB51" s="151"/>
      <c r="AC51" s="138"/>
      <c r="AD51" s="20" t="s">
        <v>292</v>
      </c>
      <c r="AE51" s="22"/>
      <c r="AG51" s="69">
        <f t="shared" si="16"/>
        <v>29</v>
      </c>
      <c r="AH51" s="54" t="str">
        <f t="shared" si="17"/>
        <v>Battery (Airbus)</v>
      </c>
      <c r="AI51" s="68">
        <f t="shared" si="18"/>
        <v>30</v>
      </c>
      <c r="AJ51" s="68">
        <f t="shared" si="21"/>
        <v>0</v>
      </c>
      <c r="AK51" s="68">
        <f t="shared" si="19"/>
        <v>2.8007725000000001E-2</v>
      </c>
      <c r="AL51" s="68" t="str">
        <f>_xlfn.CONCAT(V51,"/",W51)</f>
        <v>10/30</v>
      </c>
      <c r="AM51" s="162" t="s">
        <v>253</v>
      </c>
      <c r="AN51" s="54" t="str">
        <f t="shared" si="22"/>
        <v>Limited operating temperature range (for max power drive)</v>
      </c>
    </row>
    <row r="52" spans="2:40" ht="15" thickBot="1" x14ac:dyDescent="0.35">
      <c r="B52" s="32" t="s">
        <v>117</v>
      </c>
      <c r="C52" s="32"/>
      <c r="D52" s="59"/>
      <c r="E52" s="60"/>
      <c r="F52" s="61"/>
      <c r="G52" s="62"/>
      <c r="H52" s="63"/>
      <c r="I52" s="63"/>
      <c r="J52" s="63"/>
      <c r="K52" s="63"/>
      <c r="L52" s="102"/>
      <c r="M52" s="64">
        <f t="shared" ref="M52:R52" si="28">SUM(M39:M51)</f>
        <v>2.1067242952709058</v>
      </c>
      <c r="N52" s="65">
        <f t="shared" si="28"/>
        <v>104.2537146584115</v>
      </c>
      <c r="O52" s="64">
        <f t="shared" si="28"/>
        <v>0</v>
      </c>
      <c r="P52" s="66">
        <f t="shared" si="28"/>
        <v>104.2537146584115</v>
      </c>
      <c r="Q52" s="65">
        <f t="shared" si="28"/>
        <v>0</v>
      </c>
      <c r="R52" s="64">
        <f t="shared" si="28"/>
        <v>183</v>
      </c>
      <c r="S52" s="64">
        <v>28</v>
      </c>
      <c r="T52" s="64">
        <f>SUM(T39:T51)</f>
        <v>0</v>
      </c>
      <c r="U52" s="66">
        <f>SUM(U39:U51)</f>
        <v>5400</v>
      </c>
      <c r="V52" s="153">
        <f>MAX(V39:V51)</f>
        <v>10</v>
      </c>
      <c r="W52" s="154">
        <f>MIN(W39:W51)</f>
        <v>30</v>
      </c>
      <c r="X52" s="164">
        <f>MIN(X39:X51)</f>
        <v>20</v>
      </c>
      <c r="Y52" s="153">
        <f>Y50</f>
        <v>3.5</v>
      </c>
      <c r="Z52" s="154">
        <f>MIN(Z46:Z50)</f>
        <v>10</v>
      </c>
      <c r="AA52" s="166">
        <f>AA50</f>
        <v>120</v>
      </c>
      <c r="AB52" s="167">
        <v>2</v>
      </c>
      <c r="AC52" s="139"/>
      <c r="AD52" s="59"/>
      <c r="AE52" s="61"/>
      <c r="AG52" s="69"/>
      <c r="AH52" s="71" t="s">
        <v>117</v>
      </c>
      <c r="AI52" s="72">
        <f t="shared" si="18"/>
        <v>104.2537146584115</v>
      </c>
      <c r="AJ52" s="72">
        <f>SUM(AJ39:AJ51)</f>
        <v>183</v>
      </c>
      <c r="AK52" s="72">
        <f t="shared" si="19"/>
        <v>2.1067242952709058</v>
      </c>
      <c r="AL52" s="72" t="str">
        <f>_xlfn.CONCAT(V52,"/",W52)</f>
        <v>10/30</v>
      </c>
      <c r="AM52" s="72" t="s">
        <v>242</v>
      </c>
      <c r="AN52" s="54"/>
    </row>
    <row r="53" spans="2:40" x14ac:dyDescent="0.3">
      <c r="N53" s="125" t="s">
        <v>125</v>
      </c>
      <c r="O53" s="126"/>
      <c r="P53" s="127">
        <f>P35-P52</f>
        <v>97.680727109918877</v>
      </c>
      <c r="Q53" s="128" t="s">
        <v>237</v>
      </c>
      <c r="R53" s="128"/>
      <c r="AG53" s="69"/>
      <c r="AM53" s="73"/>
      <c r="AN53" s="54"/>
    </row>
    <row r="54" spans="2:40" x14ac:dyDescent="0.3">
      <c r="N54" s="125" t="s">
        <v>125</v>
      </c>
      <c r="O54" s="126"/>
      <c r="P54" s="127">
        <f>P36-P52</f>
        <v>46.318448885164941</v>
      </c>
      <c r="Q54" s="128" t="s">
        <v>235</v>
      </c>
      <c r="AG54" s="69"/>
      <c r="AN54" s="54"/>
    </row>
    <row r="56" spans="2:40" x14ac:dyDescent="0.35">
      <c r="B56" s="47" t="s">
        <v>174</v>
      </c>
    </row>
    <row r="57" spans="2:40" x14ac:dyDescent="0.35">
      <c r="H57"/>
      <c r="I57"/>
      <c r="J57"/>
      <c r="K57"/>
      <c r="L57" s="11"/>
      <c r="M57"/>
      <c r="N57"/>
    </row>
    <row r="58" spans="2:40" x14ac:dyDescent="0.35">
      <c r="B58" s="47" t="s">
        <v>175</v>
      </c>
      <c r="C58" s="47"/>
      <c r="D58" s="47" t="s">
        <v>320</v>
      </c>
      <c r="E58" s="47" t="s">
        <v>321</v>
      </c>
      <c r="F58" s="47" t="s">
        <v>66</v>
      </c>
      <c r="G58" s="47" t="s">
        <v>303</v>
      </c>
      <c r="H58" s="10"/>
      <c r="I58"/>
      <c r="J58"/>
      <c r="K58"/>
      <c r="L58" s="11"/>
      <c r="M58"/>
      <c r="N58"/>
      <c r="R58"/>
    </row>
    <row r="59" spans="2:40" x14ac:dyDescent="0.35">
      <c r="E59" s="51"/>
      <c r="H59"/>
      <c r="I59"/>
      <c r="J59"/>
      <c r="L59" s="11"/>
      <c r="M59"/>
      <c r="N59"/>
    </row>
    <row r="60" spans="2:40" x14ac:dyDescent="0.35">
      <c r="B60" s="13" t="s">
        <v>176</v>
      </c>
      <c r="D60" s="13" t="s">
        <v>158</v>
      </c>
      <c r="E60" s="51">
        <v>1.38</v>
      </c>
      <c r="F60" s="13" t="s">
        <v>159</v>
      </c>
      <c r="G60" s="13" t="s">
        <v>304</v>
      </c>
      <c r="H60"/>
      <c r="I60"/>
      <c r="J60"/>
      <c r="K60"/>
      <c r="L60" s="11"/>
      <c r="M60"/>
      <c r="N60"/>
    </row>
    <row r="61" spans="2:40" x14ac:dyDescent="0.35">
      <c r="B61" s="13" t="s">
        <v>177</v>
      </c>
      <c r="D61" s="13" t="s">
        <v>283</v>
      </c>
      <c r="E61" s="51">
        <v>2.7</v>
      </c>
      <c r="F61" s="13" t="s">
        <v>159</v>
      </c>
      <c r="G61" s="13" t="s">
        <v>305</v>
      </c>
      <c r="H61"/>
      <c r="I61"/>
      <c r="J61"/>
      <c r="K61"/>
      <c r="L61" s="11"/>
      <c r="M61"/>
      <c r="N61"/>
    </row>
    <row r="62" spans="2:40" x14ac:dyDescent="0.35">
      <c r="B62" s="13" t="s">
        <v>185</v>
      </c>
      <c r="D62" s="13" t="s">
        <v>178</v>
      </c>
      <c r="E62" s="262">
        <v>0.3</v>
      </c>
      <c r="G62" s="13" t="s">
        <v>306</v>
      </c>
      <c r="H62"/>
      <c r="I62"/>
      <c r="J62"/>
      <c r="K62"/>
      <c r="L62" s="11"/>
      <c r="M62"/>
      <c r="N62"/>
    </row>
    <row r="63" spans="2:40" x14ac:dyDescent="0.35">
      <c r="B63" s="13" t="s">
        <v>181</v>
      </c>
      <c r="D63" s="13" t="s">
        <v>179</v>
      </c>
      <c r="E63" s="262">
        <v>1</v>
      </c>
      <c r="G63" s="13" t="s">
        <v>307</v>
      </c>
      <c r="H63"/>
      <c r="I63"/>
      <c r="J63"/>
      <c r="K63"/>
      <c r="L63" s="11"/>
      <c r="M63"/>
      <c r="N63"/>
    </row>
    <row r="64" spans="2:40" x14ac:dyDescent="0.35">
      <c r="B64" s="13" t="s">
        <v>182</v>
      </c>
      <c r="D64" s="13" t="s">
        <v>183</v>
      </c>
      <c r="E64" s="51">
        <v>4.8</v>
      </c>
      <c r="F64" s="13" t="s">
        <v>166</v>
      </c>
      <c r="G64" s="13" t="s">
        <v>334</v>
      </c>
      <c r="H64"/>
      <c r="I64"/>
      <c r="J64"/>
      <c r="K64"/>
      <c r="L64" s="11"/>
      <c r="M64"/>
      <c r="N64"/>
    </row>
    <row r="65" spans="2:14" x14ac:dyDescent="0.35">
      <c r="B65" s="13" t="s">
        <v>312</v>
      </c>
      <c r="E65" s="51"/>
      <c r="G65" s="13" t="s">
        <v>333</v>
      </c>
      <c r="H65"/>
      <c r="I65"/>
      <c r="J65"/>
      <c r="K65"/>
      <c r="L65" s="11"/>
      <c r="M65"/>
      <c r="N65"/>
    </row>
    <row r="66" spans="2:14" x14ac:dyDescent="0.35">
      <c r="B66" s="13" t="s">
        <v>313</v>
      </c>
      <c r="D66" s="13" t="s">
        <v>228</v>
      </c>
      <c r="E66" s="51">
        <v>4</v>
      </c>
      <c r="F66" s="13" t="s">
        <v>44</v>
      </c>
      <c r="G66" s="13" t="s">
        <v>308</v>
      </c>
      <c r="H66"/>
      <c r="I66"/>
      <c r="J66"/>
      <c r="K66"/>
      <c r="L66" s="11"/>
      <c r="M66"/>
      <c r="N66"/>
    </row>
    <row r="67" spans="2:14" s="259" customFormat="1" x14ac:dyDescent="0.35">
      <c r="B67" s="259" t="s">
        <v>314</v>
      </c>
      <c r="D67" s="259" t="s">
        <v>326</v>
      </c>
      <c r="E67" s="263">
        <f>0.8*8*1.2</f>
        <v>7.68</v>
      </c>
      <c r="F67" s="259" t="s">
        <v>44</v>
      </c>
      <c r="G67" s="259" t="s">
        <v>332</v>
      </c>
      <c r="H67" s="260"/>
      <c r="I67" s="260"/>
      <c r="J67" s="260"/>
      <c r="K67" s="260"/>
      <c r="L67" s="261"/>
      <c r="M67" s="260"/>
      <c r="N67" s="260"/>
    </row>
    <row r="68" spans="2:14" x14ac:dyDescent="0.35">
      <c r="B68" s="13" t="s">
        <v>315</v>
      </c>
      <c r="D68" s="13" t="s">
        <v>239</v>
      </c>
      <c r="E68" s="51">
        <v>28</v>
      </c>
      <c r="F68" s="13" t="s">
        <v>238</v>
      </c>
      <c r="G68" s="13" t="s">
        <v>309</v>
      </c>
      <c r="H68"/>
      <c r="I68"/>
      <c r="J68"/>
      <c r="K68"/>
      <c r="L68" s="11"/>
      <c r="M68"/>
      <c r="N68"/>
    </row>
    <row r="69" spans="2:14" x14ac:dyDescent="0.35">
      <c r="B69" s="13" t="s">
        <v>316</v>
      </c>
      <c r="D69" s="13" t="s">
        <v>244</v>
      </c>
      <c r="E69" s="51">
        <v>140</v>
      </c>
      <c r="F69" s="13" t="s">
        <v>44</v>
      </c>
      <c r="G69" s="13" t="s">
        <v>310</v>
      </c>
      <c r="H69"/>
      <c r="I69"/>
      <c r="J69"/>
      <c r="K69"/>
      <c r="L69" s="11"/>
      <c r="M69"/>
      <c r="N69"/>
    </row>
    <row r="70" spans="2:14" x14ac:dyDescent="0.35">
      <c r="B70" s="13" t="s">
        <v>317</v>
      </c>
      <c r="D70" s="13" t="s">
        <v>245</v>
      </c>
      <c r="E70" s="51">
        <v>20</v>
      </c>
      <c r="F70" s="13" t="s">
        <v>44</v>
      </c>
      <c r="G70" s="13" t="s">
        <v>311</v>
      </c>
      <c r="H70"/>
      <c r="I70"/>
      <c r="J70"/>
      <c r="K70"/>
      <c r="L70" s="11"/>
      <c r="M70"/>
      <c r="N70"/>
    </row>
    <row r="71" spans="2:14" x14ac:dyDescent="0.35">
      <c r="B71" s="13" t="s">
        <v>318</v>
      </c>
      <c r="E71" s="51"/>
      <c r="G71" s="13" t="s">
        <v>282</v>
      </c>
      <c r="H71"/>
      <c r="I71"/>
      <c r="J71"/>
      <c r="K71"/>
      <c r="L71" s="11"/>
      <c r="M71"/>
      <c r="N71"/>
    </row>
    <row r="72" spans="2:14" x14ac:dyDescent="0.35">
      <c r="B72" s="13" t="s">
        <v>319</v>
      </c>
      <c r="E72" s="51"/>
      <c r="G72" s="13" t="s">
        <v>322</v>
      </c>
      <c r="H72"/>
      <c r="I72"/>
      <c r="J72"/>
      <c r="K72"/>
      <c r="L72" s="11"/>
      <c r="M72"/>
      <c r="N72"/>
    </row>
    <row r="73" spans="2:14" x14ac:dyDescent="0.35">
      <c r="B73" s="13" t="s">
        <v>323</v>
      </c>
      <c r="E73" s="51"/>
      <c r="F73" s="95"/>
      <c r="G73" s="163" t="s">
        <v>391</v>
      </c>
      <c r="H73"/>
    </row>
    <row r="74" spans="2:14" x14ac:dyDescent="0.35">
      <c r="E74" s="51"/>
      <c r="F74" s="95"/>
      <c r="G74" s="163"/>
      <c r="H74"/>
    </row>
    <row r="75" spans="2:14" x14ac:dyDescent="0.35">
      <c r="B75" s="47" t="s">
        <v>186</v>
      </c>
      <c r="D75" s="13" t="s">
        <v>46</v>
      </c>
      <c r="E75" s="99" t="s">
        <v>164</v>
      </c>
      <c r="H75"/>
    </row>
    <row r="76" spans="2:14" x14ac:dyDescent="0.35">
      <c r="B76" s="47"/>
      <c r="D76" s="13" t="s">
        <v>162</v>
      </c>
      <c r="E76" s="99" t="s">
        <v>165</v>
      </c>
      <c r="H76"/>
    </row>
    <row r="77" spans="2:14" x14ac:dyDescent="0.35">
      <c r="B77" s="47"/>
      <c r="D77" s="13" t="s">
        <v>161</v>
      </c>
      <c r="E77" s="264">
        <v>7</v>
      </c>
      <c r="F77" s="13" t="s">
        <v>11</v>
      </c>
      <c r="H77"/>
    </row>
    <row r="78" spans="2:14" x14ac:dyDescent="0.35">
      <c r="B78" s="47"/>
      <c r="D78" s="13" t="s">
        <v>142</v>
      </c>
      <c r="E78" s="264">
        <f>2*PI()*POWER(E77/2,2)</f>
        <v>76.969020012949926</v>
      </c>
      <c r="F78" s="13" t="s">
        <v>43</v>
      </c>
      <c r="G78" s="13">
        <f>E78*0.08</f>
        <v>6.1575216010359943</v>
      </c>
      <c r="H78"/>
    </row>
    <row r="79" spans="2:14" x14ac:dyDescent="0.35">
      <c r="B79" s="47"/>
      <c r="D79" s="13" t="s">
        <v>160</v>
      </c>
      <c r="E79" s="264">
        <f>0.0254*3</f>
        <v>7.619999999999999E-2</v>
      </c>
      <c r="F79" s="13" t="s">
        <v>166</v>
      </c>
      <c r="H79"/>
    </row>
    <row r="80" spans="2:14" x14ac:dyDescent="0.35">
      <c r="B80" s="47"/>
      <c r="D80" s="13" t="s">
        <v>168</v>
      </c>
      <c r="E80" s="264">
        <f>(E79/1000)*E78</f>
        <v>5.8650393249867839E-3</v>
      </c>
      <c r="F80" s="13" t="s">
        <v>115</v>
      </c>
      <c r="H80"/>
    </row>
    <row r="81" spans="2:18" x14ac:dyDescent="0.35">
      <c r="B81" s="47"/>
      <c r="D81" s="13" t="s">
        <v>163</v>
      </c>
      <c r="E81" s="264">
        <f>(E60*1000)*E80</f>
        <v>8.0937542684817618</v>
      </c>
      <c r="F81" s="13" t="s">
        <v>44</v>
      </c>
      <c r="G81" s="13" t="s">
        <v>227</v>
      </c>
      <c r="H81"/>
    </row>
    <row r="82" spans="2:18" x14ac:dyDescent="0.35">
      <c r="B82" s="47"/>
      <c r="D82" s="13" t="s">
        <v>226</v>
      </c>
      <c r="E82" s="264">
        <f>(E81*2)+4</f>
        <v>20.187508536963524</v>
      </c>
      <c r="F82" s="13" t="s">
        <v>44</v>
      </c>
      <c r="H82"/>
      <c r="I82"/>
      <c r="J82"/>
      <c r="K82"/>
      <c r="L82" s="11"/>
      <c r="M82"/>
      <c r="N82"/>
    </row>
    <row r="83" spans="2:18" x14ac:dyDescent="0.35">
      <c r="B83" s="47"/>
      <c r="D83" s="13" t="s">
        <v>167</v>
      </c>
      <c r="E83" s="264">
        <f>E80*1.3</f>
        <v>7.6245511224828193E-3</v>
      </c>
      <c r="F83" s="13" t="s">
        <v>115</v>
      </c>
      <c r="G83" s="13">
        <v>2.1205750411731103E-2</v>
      </c>
      <c r="H83" t="s">
        <v>115</v>
      </c>
      <c r="I83" s="13" t="s">
        <v>243</v>
      </c>
      <c r="J83"/>
      <c r="K83"/>
      <c r="L83" s="11"/>
      <c r="M83"/>
      <c r="N83"/>
    </row>
    <row r="84" spans="2:18" x14ac:dyDescent="0.35">
      <c r="B84" s="47"/>
      <c r="E84" s="51"/>
      <c r="H84"/>
      <c r="I84"/>
      <c r="J84"/>
      <c r="K84"/>
      <c r="L84" s="11"/>
      <c r="M84" s="11"/>
      <c r="N84" s="11"/>
      <c r="O84"/>
    </row>
    <row r="85" spans="2:18" x14ac:dyDescent="0.35">
      <c r="B85" s="47" t="s">
        <v>187</v>
      </c>
      <c r="D85" s="13" t="s">
        <v>46</v>
      </c>
      <c r="E85" s="99" t="s">
        <v>164</v>
      </c>
      <c r="H85"/>
      <c r="I85"/>
      <c r="J85"/>
      <c r="K85"/>
      <c r="L85" s="11"/>
      <c r="M85" s="11"/>
      <c r="N85" s="11"/>
      <c r="O85"/>
    </row>
    <row r="86" spans="2:18" x14ac:dyDescent="0.35">
      <c r="B86" s="47"/>
      <c r="D86" s="13" t="s">
        <v>162</v>
      </c>
      <c r="E86" s="99" t="s">
        <v>165</v>
      </c>
      <c r="H86"/>
      <c r="I86"/>
      <c r="J86"/>
      <c r="K86"/>
      <c r="L86" s="11"/>
      <c r="M86" s="11"/>
      <c r="N86" s="11"/>
      <c r="O86"/>
    </row>
    <row r="87" spans="2:18" x14ac:dyDescent="0.35">
      <c r="B87" s="47"/>
      <c r="D87" s="13" t="s">
        <v>161</v>
      </c>
      <c r="E87" s="264">
        <v>1</v>
      </c>
      <c r="F87" s="13" t="s">
        <v>11</v>
      </c>
      <c r="H87"/>
      <c r="I87"/>
      <c r="K87"/>
      <c r="L87" s="11"/>
      <c r="M87" s="11"/>
      <c r="N87" s="11"/>
      <c r="O87"/>
    </row>
    <row r="88" spans="2:18" x14ac:dyDescent="0.35">
      <c r="B88" s="47"/>
      <c r="D88" s="13" t="s">
        <v>142</v>
      </c>
      <c r="E88" s="264">
        <f>2*PI()*POWER(E87/2,2)</f>
        <v>1.5707963267948966</v>
      </c>
      <c r="F88" s="13" t="s">
        <v>43</v>
      </c>
      <c r="H88"/>
      <c r="I88"/>
      <c r="J88"/>
      <c r="K88"/>
      <c r="L88" s="11"/>
      <c r="M88" s="11"/>
      <c r="N88" s="11"/>
      <c r="O88"/>
    </row>
    <row r="89" spans="2:18" x14ac:dyDescent="0.35">
      <c r="B89" s="47"/>
      <c r="D89" s="13" t="s">
        <v>160</v>
      </c>
      <c r="E89" s="264">
        <f>0.0254*3</f>
        <v>7.619999999999999E-2</v>
      </c>
      <c r="F89" s="13" t="s">
        <v>166</v>
      </c>
      <c r="H89"/>
      <c r="I89"/>
      <c r="K89"/>
      <c r="L89" s="11"/>
      <c r="M89" s="11"/>
      <c r="N89" s="11"/>
      <c r="O89"/>
    </row>
    <row r="90" spans="2:18" x14ac:dyDescent="0.35">
      <c r="B90" s="47"/>
      <c r="D90" s="13" t="s">
        <v>168</v>
      </c>
      <c r="E90" s="264">
        <f>(E89/1000)*E88</f>
        <v>1.1969468010177111E-4</v>
      </c>
      <c r="F90" s="13" t="s">
        <v>115</v>
      </c>
      <c r="H90"/>
      <c r="I90"/>
      <c r="J90"/>
      <c r="K90"/>
      <c r="L90" s="11"/>
      <c r="M90"/>
      <c r="N90"/>
    </row>
    <row r="91" spans="2:18" x14ac:dyDescent="0.35">
      <c r="B91" s="47"/>
      <c r="D91" s="13" t="s">
        <v>163</v>
      </c>
      <c r="E91" s="264">
        <f>(E60*1000)*E90</f>
        <v>0.16517865854044414</v>
      </c>
      <c r="F91" s="13" t="s">
        <v>44</v>
      </c>
      <c r="H91"/>
      <c r="I91"/>
      <c r="J91"/>
      <c r="K91"/>
      <c r="L91" s="11"/>
      <c r="M91"/>
      <c r="N91"/>
    </row>
    <row r="92" spans="2:18" x14ac:dyDescent="0.35">
      <c r="B92" s="47"/>
      <c r="D92" s="13" t="s">
        <v>226</v>
      </c>
      <c r="E92" s="264">
        <f>(E91*2)+4</f>
        <v>4.330357317080888</v>
      </c>
      <c r="F92" s="13" t="s">
        <v>44</v>
      </c>
      <c r="G92" s="13" t="s">
        <v>227</v>
      </c>
      <c r="H92"/>
      <c r="I92"/>
      <c r="J92"/>
      <c r="K92"/>
      <c r="L92" s="11"/>
      <c r="M92"/>
      <c r="N92"/>
    </row>
    <row r="93" spans="2:18" x14ac:dyDescent="0.35">
      <c r="B93" s="47"/>
      <c r="D93" s="13" t="s">
        <v>167</v>
      </c>
      <c r="E93" s="264">
        <f>E90*1.3</f>
        <v>1.5560308413230245E-4</v>
      </c>
      <c r="F93" s="13" t="s">
        <v>115</v>
      </c>
      <c r="G93" s="13">
        <v>2.1205750411731103E-2</v>
      </c>
      <c r="H93" t="s">
        <v>115</v>
      </c>
      <c r="I93" s="13" t="s">
        <v>243</v>
      </c>
      <c r="J93"/>
      <c r="K93"/>
      <c r="L93"/>
      <c r="M93"/>
      <c r="N93"/>
      <c r="O93"/>
      <c r="P93"/>
      <c r="Q93"/>
      <c r="R93"/>
    </row>
    <row r="94" spans="2:18" x14ac:dyDescent="0.35">
      <c r="B94" s="47"/>
      <c r="E94" s="51"/>
      <c r="H94"/>
      <c r="I94"/>
      <c r="J94"/>
      <c r="K94"/>
      <c r="L94"/>
      <c r="M94"/>
      <c r="N94"/>
      <c r="O94"/>
      <c r="P94"/>
      <c r="Q94"/>
      <c r="R94"/>
    </row>
    <row r="95" spans="2:18" x14ac:dyDescent="0.35">
      <c r="B95" s="47" t="s">
        <v>188</v>
      </c>
      <c r="D95" s="13" t="s">
        <v>46</v>
      </c>
      <c r="E95" s="99" t="s">
        <v>219</v>
      </c>
      <c r="H95"/>
      <c r="I95"/>
      <c r="J95"/>
      <c r="K95"/>
      <c r="L95"/>
      <c r="M95"/>
      <c r="N95"/>
      <c r="O95"/>
      <c r="P95"/>
      <c r="Q95"/>
      <c r="R95"/>
    </row>
    <row r="96" spans="2:18" x14ac:dyDescent="0.35">
      <c r="B96" s="47"/>
      <c r="D96" s="13" t="s">
        <v>170</v>
      </c>
      <c r="E96" s="99" t="s">
        <v>171</v>
      </c>
      <c r="H96"/>
      <c r="I96"/>
      <c r="J96"/>
      <c r="K96"/>
      <c r="L96"/>
      <c r="M96"/>
      <c r="N96"/>
      <c r="O96"/>
      <c r="P96"/>
      <c r="Q96"/>
      <c r="R96"/>
    </row>
    <row r="97" spans="2:18" x14ac:dyDescent="0.35">
      <c r="B97" s="47"/>
      <c r="D97" s="13" t="s">
        <v>161</v>
      </c>
      <c r="E97" s="264">
        <v>1.7</v>
      </c>
      <c r="F97" s="13" t="s">
        <v>11</v>
      </c>
      <c r="H97"/>
      <c r="I97"/>
      <c r="J97"/>
      <c r="K97"/>
      <c r="L97"/>
      <c r="M97"/>
      <c r="N97"/>
      <c r="O97"/>
      <c r="P97"/>
      <c r="Q97"/>
      <c r="R97"/>
    </row>
    <row r="98" spans="2:18" x14ac:dyDescent="0.35">
      <c r="B98" s="47"/>
      <c r="D98" s="13" t="s">
        <v>172</v>
      </c>
      <c r="E98" s="264">
        <v>0.83</v>
      </c>
      <c r="F98" s="13" t="s">
        <v>11</v>
      </c>
      <c r="H98"/>
      <c r="I98"/>
      <c r="J98"/>
      <c r="K98"/>
      <c r="L98"/>
      <c r="M98"/>
      <c r="N98"/>
      <c r="O98"/>
      <c r="P98"/>
      <c r="Q98"/>
      <c r="R98"/>
    </row>
    <row r="99" spans="2:18" x14ac:dyDescent="0.35">
      <c r="B99" s="47"/>
      <c r="D99" s="13" t="s">
        <v>142</v>
      </c>
      <c r="E99" s="264">
        <f>PI()*E97*E98</f>
        <v>4.4327872342151977</v>
      </c>
      <c r="F99" s="13" t="s">
        <v>43</v>
      </c>
      <c r="H99"/>
      <c r="I99"/>
      <c r="J99"/>
      <c r="K99"/>
      <c r="L99"/>
      <c r="M99"/>
      <c r="N99"/>
      <c r="O99"/>
      <c r="P99"/>
      <c r="Q99"/>
      <c r="R99"/>
    </row>
    <row r="100" spans="2:18" x14ac:dyDescent="0.35">
      <c r="B100" s="47"/>
      <c r="D100" s="13" t="s">
        <v>160</v>
      </c>
      <c r="E100" s="264">
        <v>4.8</v>
      </c>
      <c r="F100" s="13" t="s">
        <v>166</v>
      </c>
      <c r="H100"/>
      <c r="I100"/>
      <c r="J100"/>
      <c r="K100"/>
      <c r="L100"/>
      <c r="M100"/>
      <c r="N100"/>
      <c r="O100"/>
      <c r="P100"/>
      <c r="Q100"/>
      <c r="R100"/>
    </row>
    <row r="101" spans="2:18" x14ac:dyDescent="0.35">
      <c r="B101" s="47"/>
      <c r="D101" s="13" t="s">
        <v>168</v>
      </c>
      <c r="E101" s="264">
        <f>E100/1000*E99</f>
        <v>2.1277378724232947E-2</v>
      </c>
      <c r="F101" s="13" t="s">
        <v>115</v>
      </c>
      <c r="H101"/>
      <c r="I101"/>
      <c r="J101"/>
      <c r="K101"/>
      <c r="L101"/>
      <c r="M101"/>
      <c r="N101"/>
      <c r="O101"/>
      <c r="P101"/>
      <c r="Q101"/>
      <c r="R101"/>
    </row>
    <row r="102" spans="2:18" x14ac:dyDescent="0.35">
      <c r="B102" s="47"/>
      <c r="D102" s="13" t="s">
        <v>173</v>
      </c>
      <c r="E102" s="264">
        <v>2700</v>
      </c>
      <c r="F102" s="13" t="s">
        <v>169</v>
      </c>
      <c r="H102"/>
      <c r="I102"/>
      <c r="J102"/>
      <c r="K102"/>
      <c r="L102"/>
      <c r="M102"/>
      <c r="N102"/>
      <c r="O102"/>
      <c r="P102"/>
      <c r="Q102"/>
      <c r="R102"/>
    </row>
    <row r="103" spans="2:18" x14ac:dyDescent="0.35">
      <c r="B103" s="47"/>
      <c r="D103" s="13" t="s">
        <v>163</v>
      </c>
      <c r="E103" s="264">
        <f>E102*E101</f>
        <v>57.448922555428958</v>
      </c>
      <c r="F103" s="13" t="s">
        <v>44</v>
      </c>
      <c r="H103"/>
      <c r="I103"/>
      <c r="J103"/>
      <c r="K103"/>
      <c r="L103"/>
      <c r="M103"/>
      <c r="N103"/>
      <c r="O103"/>
      <c r="P103"/>
      <c r="Q103"/>
      <c r="R103"/>
    </row>
    <row r="104" spans="2:18" x14ac:dyDescent="0.35">
      <c r="B104" s="47"/>
      <c r="D104" s="13" t="s">
        <v>180</v>
      </c>
      <c r="E104" s="264">
        <f>E103*2</f>
        <v>114.89784511085792</v>
      </c>
      <c r="F104" s="13" t="s">
        <v>44</v>
      </c>
      <c r="H104"/>
      <c r="I104"/>
      <c r="J104"/>
      <c r="K104"/>
      <c r="L104"/>
      <c r="M104"/>
      <c r="N104"/>
      <c r="O104"/>
      <c r="P104"/>
      <c r="Q104"/>
      <c r="R104"/>
    </row>
    <row r="105" spans="2:18" x14ac:dyDescent="0.35">
      <c r="B105" s="47"/>
      <c r="E105" s="51"/>
      <c r="H105"/>
      <c r="I105"/>
      <c r="J105"/>
      <c r="K105"/>
      <c r="L105"/>
      <c r="M105"/>
      <c r="N105"/>
      <c r="O105"/>
      <c r="P105"/>
      <c r="Q105"/>
      <c r="R105"/>
    </row>
    <row r="106" spans="2:18" x14ac:dyDescent="0.35">
      <c r="B106" s="47"/>
      <c r="E106" s="51"/>
      <c r="H106"/>
      <c r="I106"/>
      <c r="J106"/>
      <c r="K106"/>
      <c r="L106"/>
      <c r="M106"/>
      <c r="N106"/>
      <c r="O106"/>
      <c r="P106"/>
      <c r="Q106"/>
      <c r="R106"/>
    </row>
    <row r="107" spans="2:18" x14ac:dyDescent="0.35">
      <c r="B107" s="47" t="s">
        <v>189</v>
      </c>
      <c r="D107" s="13" t="s">
        <v>46</v>
      </c>
      <c r="E107" s="99" t="s">
        <v>219</v>
      </c>
      <c r="H107"/>
      <c r="I107"/>
      <c r="J107"/>
      <c r="K107"/>
      <c r="L107"/>
      <c r="M107"/>
      <c r="N107"/>
      <c r="O107"/>
      <c r="P107"/>
      <c r="Q107"/>
      <c r="R107"/>
    </row>
    <row r="108" spans="2:18" x14ac:dyDescent="0.35">
      <c r="B108" s="47"/>
      <c r="D108" s="13" t="s">
        <v>170</v>
      </c>
      <c r="E108" s="99" t="s">
        <v>171</v>
      </c>
    </row>
    <row r="109" spans="2:18" x14ac:dyDescent="0.35">
      <c r="B109" s="47"/>
      <c r="D109" s="13" t="s">
        <v>161</v>
      </c>
      <c r="E109" s="264">
        <v>0.75</v>
      </c>
      <c r="F109" s="13" t="s">
        <v>11</v>
      </c>
    </row>
    <row r="110" spans="2:18" x14ac:dyDescent="0.35">
      <c r="B110" s="47"/>
      <c r="D110" s="13" t="s">
        <v>172</v>
      </c>
      <c r="E110" s="264">
        <v>0.55000000000000004</v>
      </c>
      <c r="F110" s="13" t="s">
        <v>11</v>
      </c>
    </row>
    <row r="111" spans="2:18" x14ac:dyDescent="0.35">
      <c r="B111" s="47"/>
      <c r="D111" s="13" t="s">
        <v>142</v>
      </c>
      <c r="E111" s="264">
        <f>PI()*E109*E110</f>
        <v>1.2959069696057897</v>
      </c>
      <c r="F111" s="13" t="s">
        <v>43</v>
      </c>
    </row>
    <row r="112" spans="2:18" x14ac:dyDescent="0.35">
      <c r="B112" s="47"/>
      <c r="D112" s="13" t="s">
        <v>160</v>
      </c>
      <c r="E112" s="264">
        <v>2</v>
      </c>
      <c r="F112" s="13" t="s">
        <v>166</v>
      </c>
    </row>
    <row r="113" spans="2:16" x14ac:dyDescent="0.35">
      <c r="B113" s="47"/>
      <c r="D113" s="13" t="s">
        <v>168</v>
      </c>
      <c r="E113" s="264">
        <f>E112/1000*E111</f>
        <v>2.5918139392115793E-3</v>
      </c>
      <c r="F113" s="13" t="s">
        <v>115</v>
      </c>
    </row>
    <row r="114" spans="2:16" x14ac:dyDescent="0.35">
      <c r="B114" s="47"/>
      <c r="D114" s="13" t="s">
        <v>173</v>
      </c>
      <c r="E114" s="264">
        <v>2700</v>
      </c>
      <c r="F114" s="13" t="s">
        <v>169</v>
      </c>
    </row>
    <row r="115" spans="2:16" x14ac:dyDescent="0.35">
      <c r="B115" s="47"/>
      <c r="D115" s="13" t="s">
        <v>163</v>
      </c>
      <c r="E115" s="264">
        <f>E114*E113</f>
        <v>6.9978976358712641</v>
      </c>
      <c r="F115" s="13" t="s">
        <v>44</v>
      </c>
    </row>
    <row r="116" spans="2:16" x14ac:dyDescent="0.35">
      <c r="B116" s="47"/>
      <c r="D116" s="13" t="s">
        <v>180</v>
      </c>
      <c r="E116" s="264">
        <f>E115*2</f>
        <v>13.995795271742528</v>
      </c>
      <c r="F116" s="13" t="s">
        <v>44</v>
      </c>
    </row>
    <row r="117" spans="2:16" x14ac:dyDescent="0.35">
      <c r="B117" s="47"/>
      <c r="E117" s="51"/>
    </row>
    <row r="118" spans="2:16" x14ac:dyDescent="0.35">
      <c r="B118" s="47" t="s">
        <v>217</v>
      </c>
      <c r="D118" s="13" t="s">
        <v>46</v>
      </c>
      <c r="E118" s="99" t="s">
        <v>218</v>
      </c>
      <c r="G118" s="13" t="s">
        <v>230</v>
      </c>
      <c r="M118" s="77"/>
    </row>
    <row r="119" spans="2:16" x14ac:dyDescent="0.35">
      <c r="B119" s="47"/>
      <c r="D119" s="13" t="s">
        <v>170</v>
      </c>
      <c r="E119" s="99" t="s">
        <v>171</v>
      </c>
    </row>
    <row r="120" spans="2:16" x14ac:dyDescent="0.35">
      <c r="B120" s="47"/>
      <c r="D120" s="13" t="s">
        <v>161</v>
      </c>
      <c r="E120" s="264">
        <v>1.7</v>
      </c>
      <c r="F120" s="13" t="s">
        <v>11</v>
      </c>
    </row>
    <row r="121" spans="2:16" x14ac:dyDescent="0.35">
      <c r="B121" s="47"/>
      <c r="D121" s="13" t="s">
        <v>160</v>
      </c>
      <c r="E121" s="264">
        <v>4.8</v>
      </c>
      <c r="F121" s="13" t="s">
        <v>166</v>
      </c>
    </row>
    <row r="122" spans="2:16" x14ac:dyDescent="0.35">
      <c r="B122" s="47"/>
      <c r="D122" s="13" t="s">
        <v>168</v>
      </c>
      <c r="E122" s="264">
        <f>E121/1000*PI()*POWER(E120/2,2)</f>
        <v>1.08950433226494E-2</v>
      </c>
      <c r="F122" s="13" t="s">
        <v>115</v>
      </c>
    </row>
    <row r="123" spans="2:16" x14ac:dyDescent="0.35">
      <c r="B123" s="47"/>
      <c r="D123" s="13" t="s">
        <v>173</v>
      </c>
      <c r="E123" s="264">
        <v>2700</v>
      </c>
      <c r="F123" s="13" t="s">
        <v>169</v>
      </c>
    </row>
    <row r="124" spans="2:16" x14ac:dyDescent="0.35">
      <c r="B124" s="47"/>
      <c r="D124" s="13" t="s">
        <v>163</v>
      </c>
      <c r="E124" s="264">
        <f>E123*E122</f>
        <v>29.416616971153381</v>
      </c>
      <c r="F124" s="13" t="s">
        <v>44</v>
      </c>
    </row>
    <row r="125" spans="2:16" x14ac:dyDescent="0.35">
      <c r="B125" s="47"/>
      <c r="D125" s="13" t="s">
        <v>220</v>
      </c>
      <c r="E125" s="264">
        <f>E124*1.5</f>
        <v>44.124925456730068</v>
      </c>
      <c r="F125" s="13" t="s">
        <v>44</v>
      </c>
    </row>
    <row r="126" spans="2:16" x14ac:dyDescent="0.35">
      <c r="B126" s="47"/>
      <c r="E126" s="51"/>
    </row>
    <row r="127" spans="2:16" x14ac:dyDescent="0.35">
      <c r="B127" s="47" t="s">
        <v>213</v>
      </c>
      <c r="D127" s="13" t="s">
        <v>46</v>
      </c>
      <c r="E127" s="99" t="s">
        <v>214</v>
      </c>
      <c r="H127"/>
      <c r="I127"/>
      <c r="J127"/>
      <c r="K127"/>
      <c r="L127"/>
      <c r="M127"/>
      <c r="N127"/>
      <c r="O127"/>
      <c r="P127"/>
    </row>
    <row r="128" spans="2:16" x14ac:dyDescent="0.35">
      <c r="B128" s="47"/>
      <c r="D128" s="13" t="s">
        <v>170</v>
      </c>
      <c r="E128" s="99" t="s">
        <v>211</v>
      </c>
      <c r="H128"/>
      <c r="I128"/>
      <c r="J128"/>
      <c r="K128"/>
      <c r="L128"/>
      <c r="M128"/>
      <c r="N128"/>
      <c r="O128"/>
      <c r="P128"/>
    </row>
    <row r="129" spans="2:16" x14ac:dyDescent="0.35">
      <c r="B129" s="47"/>
      <c r="D129" s="13" t="s">
        <v>161</v>
      </c>
      <c r="E129" s="264">
        <v>6</v>
      </c>
      <c r="F129" s="13" t="s">
        <v>11</v>
      </c>
      <c r="H129"/>
      <c r="I129"/>
      <c r="J129"/>
      <c r="K129"/>
      <c r="L129"/>
      <c r="M129"/>
      <c r="N129"/>
      <c r="O129"/>
      <c r="P129"/>
    </row>
    <row r="130" spans="2:16" x14ac:dyDescent="0.35">
      <c r="B130" s="47"/>
      <c r="D130" s="13" t="s">
        <v>142</v>
      </c>
      <c r="E130" s="264">
        <f>4*PI()*POWER(E129/2,2)</f>
        <v>113.09733552923255</v>
      </c>
      <c r="F130" s="13" t="s">
        <v>43</v>
      </c>
      <c r="H130"/>
      <c r="I130"/>
      <c r="J130"/>
      <c r="K130"/>
      <c r="L130"/>
      <c r="M130"/>
      <c r="N130"/>
      <c r="O130"/>
      <c r="P130"/>
    </row>
    <row r="131" spans="2:16" x14ac:dyDescent="0.35">
      <c r="B131" s="47"/>
      <c r="D131" s="13" t="s">
        <v>160</v>
      </c>
      <c r="E131" s="264">
        <v>0.16</v>
      </c>
      <c r="F131" s="13" t="s">
        <v>166</v>
      </c>
      <c r="H131"/>
      <c r="I131"/>
      <c r="J131"/>
      <c r="K131"/>
      <c r="L131"/>
      <c r="M131"/>
      <c r="N131"/>
      <c r="O131"/>
      <c r="P131"/>
    </row>
    <row r="132" spans="2:16" x14ac:dyDescent="0.35">
      <c r="B132" s="47"/>
      <c r="D132" s="13" t="s">
        <v>168</v>
      </c>
      <c r="E132" s="264">
        <f>(E131/1000)*E130</f>
        <v>1.8095573684677211E-2</v>
      </c>
      <c r="F132" s="13" t="s">
        <v>115</v>
      </c>
      <c r="H132"/>
      <c r="I132"/>
      <c r="J132"/>
      <c r="K132"/>
      <c r="L132"/>
      <c r="M132"/>
      <c r="N132"/>
      <c r="O132"/>
      <c r="P132"/>
    </row>
    <row r="133" spans="2:16" x14ac:dyDescent="0.35">
      <c r="B133" s="47"/>
      <c r="D133" s="13" t="s">
        <v>173</v>
      </c>
      <c r="E133" s="264">
        <v>0.17319999999999999</v>
      </c>
      <c r="F133" s="13" t="s">
        <v>212</v>
      </c>
      <c r="H133"/>
      <c r="I133"/>
      <c r="J133"/>
      <c r="K133"/>
      <c r="L133"/>
      <c r="M133"/>
      <c r="N133"/>
      <c r="O133"/>
      <c r="P133"/>
    </row>
    <row r="134" spans="2:16" x14ac:dyDescent="0.35">
      <c r="B134" s="47"/>
      <c r="D134" s="13" t="s">
        <v>163</v>
      </c>
      <c r="E134" s="264">
        <f>E133*E130</f>
        <v>19.588458513663078</v>
      </c>
      <c r="F134" s="13" t="s">
        <v>44</v>
      </c>
      <c r="H134"/>
      <c r="I134"/>
      <c r="J134"/>
      <c r="K134"/>
      <c r="L134"/>
      <c r="M134"/>
      <c r="N134"/>
      <c r="O134"/>
      <c r="P134"/>
    </row>
    <row r="135" spans="2:16" x14ac:dyDescent="0.35">
      <c r="B135" s="47"/>
      <c r="D135" s="13" t="s">
        <v>215</v>
      </c>
      <c r="E135" s="264">
        <f>E134+(E134*0.22)</f>
        <v>23.897919386668953</v>
      </c>
      <c r="F135" s="13" t="s">
        <v>44</v>
      </c>
    </row>
    <row r="136" spans="2:16" x14ac:dyDescent="0.35">
      <c r="B136" s="47"/>
      <c r="D136" s="13" t="s">
        <v>167</v>
      </c>
      <c r="E136" s="264">
        <f>E132*1.3</f>
        <v>2.3524245790080375E-2</v>
      </c>
      <c r="F136" s="13" t="s">
        <v>115</v>
      </c>
      <c r="G136" s="13">
        <v>2.5658957998194638E-2</v>
      </c>
      <c r="H136" t="s">
        <v>115</v>
      </c>
      <c r="I136" s="13" t="s">
        <v>243</v>
      </c>
    </row>
    <row r="137" spans="2:16" x14ac:dyDescent="0.35">
      <c r="B137" s="47"/>
      <c r="E137" s="51"/>
    </row>
    <row r="138" spans="2:16" x14ac:dyDescent="0.35">
      <c r="B138" s="47" t="s">
        <v>221</v>
      </c>
      <c r="D138" s="13" t="s">
        <v>46</v>
      </c>
      <c r="E138" s="99" t="s">
        <v>149</v>
      </c>
    </row>
    <row r="139" spans="2:16" x14ac:dyDescent="0.35">
      <c r="B139" s="47"/>
      <c r="D139" s="13" t="s">
        <v>170</v>
      </c>
      <c r="E139" s="99" t="s">
        <v>223</v>
      </c>
    </row>
    <row r="140" spans="2:16" x14ac:dyDescent="0.35">
      <c r="B140" s="47"/>
      <c r="D140" s="13" t="s">
        <v>161</v>
      </c>
      <c r="E140" s="264">
        <v>35</v>
      </c>
      <c r="F140" s="13" t="s">
        <v>166</v>
      </c>
    </row>
    <row r="141" spans="2:16" x14ac:dyDescent="0.35">
      <c r="B141" s="47"/>
      <c r="D141" s="13" t="s">
        <v>222</v>
      </c>
      <c r="E141" s="264">
        <v>85</v>
      </c>
      <c r="F141" s="13" t="s">
        <v>166</v>
      </c>
    </row>
    <row r="142" spans="2:16" x14ac:dyDescent="0.35">
      <c r="B142" s="47"/>
      <c r="D142" s="13" t="s">
        <v>168</v>
      </c>
      <c r="E142" s="264">
        <f>PI()*POWER((E140/1000)/2,2)*(E141/1000)</f>
        <v>8.1779583763759314E-5</v>
      </c>
      <c r="F142" s="13" t="s">
        <v>115</v>
      </c>
    </row>
    <row r="143" spans="2:16" x14ac:dyDescent="0.35">
      <c r="B143" s="47"/>
      <c r="D143" s="13" t="s">
        <v>173</v>
      </c>
      <c r="E143" s="264">
        <v>8030</v>
      </c>
      <c r="F143" s="13" t="s">
        <v>212</v>
      </c>
    </row>
    <row r="144" spans="2:16" x14ac:dyDescent="0.35">
      <c r="B144" s="47"/>
      <c r="D144" s="13" t="s">
        <v>163</v>
      </c>
      <c r="E144" s="264">
        <f>E143*E142</f>
        <v>0.65669005762298727</v>
      </c>
      <c r="F144" s="13" t="s">
        <v>44</v>
      </c>
    </row>
    <row r="145" spans="2:14" x14ac:dyDescent="0.35">
      <c r="B145" s="47"/>
      <c r="D145" s="13" t="s">
        <v>224</v>
      </c>
      <c r="E145" s="264">
        <f>E144*1.5</f>
        <v>0.9850350864344809</v>
      </c>
      <c r="F145" s="13" t="s">
        <v>44</v>
      </c>
    </row>
    <row r="146" spans="2:14" x14ac:dyDescent="0.35">
      <c r="B146" s="47"/>
      <c r="E146" s="51"/>
    </row>
    <row r="147" spans="2:14" x14ac:dyDescent="0.35">
      <c r="B147" s="47"/>
      <c r="E147" s="51"/>
    </row>
    <row r="148" spans="2:14" x14ac:dyDescent="0.35">
      <c r="B148" s="47"/>
      <c r="E148" s="51"/>
    </row>
    <row r="149" spans="2:14" x14ac:dyDescent="0.35">
      <c r="B149" s="10" t="s">
        <v>190</v>
      </c>
      <c r="C149"/>
      <c r="D149" t="s">
        <v>416</v>
      </c>
      <c r="E149" s="265">
        <v>113.09733552923254</v>
      </c>
      <c r="F149" t="s">
        <v>115</v>
      </c>
      <c r="G149" t="s">
        <v>420</v>
      </c>
      <c r="L149" s="13"/>
    </row>
    <row r="150" spans="2:14" x14ac:dyDescent="0.35">
      <c r="B150" s="47"/>
      <c r="E150" s="265"/>
      <c r="G150"/>
      <c r="I150"/>
      <c r="L150" s="13"/>
    </row>
    <row r="151" spans="2:14" x14ac:dyDescent="0.35">
      <c r="D151" s="13" t="s">
        <v>417</v>
      </c>
      <c r="E151" s="265"/>
      <c r="G151"/>
      <c r="I151"/>
      <c r="L151" s="13"/>
    </row>
    <row r="152" spans="2:14" x14ac:dyDescent="0.35">
      <c r="D152" t="s">
        <v>161</v>
      </c>
      <c r="E152" s="265">
        <v>0.38</v>
      </c>
      <c r="F152" s="13" t="s">
        <v>11</v>
      </c>
      <c r="G152"/>
      <c r="I152"/>
    </row>
    <row r="153" spans="2:14" x14ac:dyDescent="0.35">
      <c r="D153" t="s">
        <v>172</v>
      </c>
      <c r="E153" s="265">
        <v>0.75</v>
      </c>
      <c r="F153" t="s">
        <v>11</v>
      </c>
      <c r="G153"/>
      <c r="H153" s="96"/>
      <c r="I153"/>
      <c r="L153" s="13"/>
    </row>
    <row r="154" spans="2:14" x14ac:dyDescent="0.35">
      <c r="D154" t="s">
        <v>142</v>
      </c>
      <c r="E154" s="265">
        <f>(2*PI()*POWER(E152/2,2))+(E153*PI()*E152)</f>
        <v>1.1221768958622742</v>
      </c>
      <c r="F154" t="s">
        <v>43</v>
      </c>
      <c r="G154"/>
      <c r="H154" s="97"/>
      <c r="I154"/>
      <c r="L154" s="13"/>
    </row>
    <row r="155" spans="2:14" x14ac:dyDescent="0.35">
      <c r="D155" t="s">
        <v>113</v>
      </c>
      <c r="E155" s="265">
        <f>PI()*POWER((E152/2),2)*E153</f>
        <v>8.5058621095943643E-2</v>
      </c>
      <c r="F155" s="13" t="s">
        <v>115</v>
      </c>
      <c r="G155"/>
      <c r="I155"/>
    </row>
    <row r="156" spans="2:14" x14ac:dyDescent="0.35">
      <c r="D156" s="13" t="s">
        <v>407</v>
      </c>
      <c r="E156" s="265">
        <f>E168/300*350</f>
        <v>15.143333333333334</v>
      </c>
      <c r="F156" t="s">
        <v>115</v>
      </c>
      <c r="G156"/>
      <c r="L156" s="13"/>
      <c r="N156" s="99"/>
    </row>
    <row r="157" spans="2:14" x14ac:dyDescent="0.35">
      <c r="D157" s="13" t="s">
        <v>408</v>
      </c>
      <c r="E157" s="265">
        <f>(E170*E154)</f>
        <v>56.384905652923571</v>
      </c>
      <c r="F157" s="13" t="s">
        <v>44</v>
      </c>
      <c r="G157"/>
      <c r="H157"/>
      <c r="I157"/>
      <c r="M157" s="7"/>
      <c r="N157"/>
    </row>
    <row r="158" spans="2:14" x14ac:dyDescent="0.35">
      <c r="D158" s="13" t="s">
        <v>413</v>
      </c>
      <c r="E158" s="265">
        <f>E156*0.135</f>
        <v>2.0443500000000001</v>
      </c>
      <c r="F158" s="13" t="s">
        <v>44</v>
      </c>
      <c r="G158" s="11"/>
      <c r="H158"/>
      <c r="I158"/>
      <c r="L158" s="13"/>
      <c r="M158"/>
      <c r="N158"/>
    </row>
    <row r="159" spans="2:14" x14ac:dyDescent="0.35">
      <c r="D159" s="13" t="s">
        <v>414</v>
      </c>
      <c r="E159" s="265">
        <v>8</v>
      </c>
      <c r="G159" s="11"/>
      <c r="H159"/>
      <c r="I159"/>
      <c r="L159" s="13"/>
      <c r="M159"/>
      <c r="N159"/>
    </row>
    <row r="160" spans="2:14" x14ac:dyDescent="0.35">
      <c r="D160" s="13" t="s">
        <v>415</v>
      </c>
      <c r="E160" s="265">
        <f>E159*E156</f>
        <v>121.14666666666668</v>
      </c>
      <c r="F160" t="s">
        <v>115</v>
      </c>
      <c r="G160" s="11"/>
      <c r="H160"/>
      <c r="I160"/>
      <c r="L160" s="13"/>
      <c r="M160"/>
      <c r="N160"/>
    </row>
    <row r="161" spans="4:14" x14ac:dyDescent="0.35">
      <c r="D161" s="13" t="s">
        <v>418</v>
      </c>
      <c r="E161" s="265">
        <f>E157+E158</f>
        <v>58.429255652923572</v>
      </c>
      <c r="F161" s="13" t="s">
        <v>44</v>
      </c>
      <c r="G161" s="13" t="s">
        <v>419</v>
      </c>
    </row>
    <row r="162" spans="4:14" x14ac:dyDescent="0.35">
      <c r="E162" s="265"/>
      <c r="G162" s="11"/>
      <c r="H162"/>
      <c r="I162"/>
      <c r="L162" s="13"/>
      <c r="M162"/>
      <c r="N162"/>
    </row>
    <row r="163" spans="4:14" x14ac:dyDescent="0.35">
      <c r="D163" s="13" t="s">
        <v>410</v>
      </c>
      <c r="E163" s="265"/>
      <c r="L163" s="13"/>
      <c r="N163" s="99"/>
    </row>
    <row r="164" spans="4:14" x14ac:dyDescent="0.35">
      <c r="D164" t="s">
        <v>161</v>
      </c>
      <c r="E164" s="265">
        <v>0.23</v>
      </c>
      <c r="F164" s="13" t="s">
        <v>11</v>
      </c>
      <c r="L164" s="13"/>
      <c r="N164" s="99"/>
    </row>
    <row r="165" spans="4:14" x14ac:dyDescent="0.35">
      <c r="D165" t="s">
        <v>172</v>
      </c>
      <c r="E165" s="265">
        <v>1.82</v>
      </c>
      <c r="F165" t="s">
        <v>11</v>
      </c>
      <c r="L165" s="13"/>
      <c r="N165" s="99"/>
    </row>
    <row r="166" spans="4:14" x14ac:dyDescent="0.35">
      <c r="D166" t="s">
        <v>142</v>
      </c>
      <c r="E166" s="265">
        <f>(2*PI()*POWER(E164/2,2))+(E165*PI()*E164)</f>
        <v>1.3981658104801378</v>
      </c>
      <c r="F166" t="s">
        <v>43</v>
      </c>
      <c r="L166" s="13"/>
      <c r="N166" s="99"/>
    </row>
    <row r="167" spans="4:14" x14ac:dyDescent="0.35">
      <c r="D167" t="s">
        <v>113</v>
      </c>
      <c r="E167" s="265">
        <f>PI()*POWER((E164/2),2)*E165</f>
        <v>7.5616564375579537E-2</v>
      </c>
      <c r="F167" s="13" t="s">
        <v>115</v>
      </c>
      <c r="L167" s="13"/>
      <c r="N167" s="99"/>
    </row>
    <row r="168" spans="4:14" x14ac:dyDescent="0.35">
      <c r="D168" s="13" t="s">
        <v>407</v>
      </c>
      <c r="E168" s="265">
        <v>12.98</v>
      </c>
      <c r="F168" t="s">
        <v>115</v>
      </c>
      <c r="L168" s="13"/>
      <c r="N168" s="99"/>
    </row>
    <row r="169" spans="4:14" x14ac:dyDescent="0.35">
      <c r="D169" s="13" t="s">
        <v>408</v>
      </c>
      <c r="E169" s="265">
        <f>72-E172</f>
        <v>70.252245970978834</v>
      </c>
      <c r="F169" s="13" t="s">
        <v>44</v>
      </c>
      <c r="L169" s="13"/>
      <c r="N169" s="99"/>
    </row>
    <row r="170" spans="4:14" x14ac:dyDescent="0.35">
      <c r="D170" s="13" t="s">
        <v>409</v>
      </c>
      <c r="E170" s="265">
        <f>E169/E166</f>
        <v>50.24600476166259</v>
      </c>
      <c r="F170" s="13" t="s">
        <v>236</v>
      </c>
      <c r="L170" s="13"/>
      <c r="N170" s="99"/>
    </row>
    <row r="171" spans="4:14" x14ac:dyDescent="0.35">
      <c r="D171" s="13" t="s">
        <v>411</v>
      </c>
      <c r="E171" s="265">
        <v>300</v>
      </c>
      <c r="F171" s="13" t="s">
        <v>412</v>
      </c>
      <c r="L171" s="13"/>
      <c r="N171" s="99"/>
    </row>
    <row r="172" spans="4:14" x14ac:dyDescent="0.35">
      <c r="D172" s="13" t="s">
        <v>413</v>
      </c>
      <c r="E172" s="265">
        <v>1.7477540290211635</v>
      </c>
      <c r="F172" s="13" t="s">
        <v>44</v>
      </c>
      <c r="L172" s="13"/>
      <c r="N172" s="99"/>
    </row>
    <row r="173" spans="4:14" x14ac:dyDescent="0.35">
      <c r="D173" s="13" t="s">
        <v>414</v>
      </c>
      <c r="E173" s="265">
        <v>8</v>
      </c>
      <c r="L173" s="13"/>
      <c r="N173" s="99"/>
    </row>
    <row r="174" spans="4:14" x14ac:dyDescent="0.35">
      <c r="D174" s="13" t="s">
        <v>415</v>
      </c>
      <c r="E174" s="265">
        <f>E173*E168</f>
        <v>103.84</v>
      </c>
      <c r="F174" s="13" t="s">
        <v>115</v>
      </c>
    </row>
    <row r="175" spans="4:14" x14ac:dyDescent="0.35">
      <c r="D175" s="13" t="s">
        <v>418</v>
      </c>
      <c r="E175" s="265">
        <f>E169+E172</f>
        <v>72</v>
      </c>
      <c r="F175" s="13" t="s">
        <v>44</v>
      </c>
    </row>
  </sheetData>
  <mergeCells count="21">
    <mergeCell ref="Y14:AA14"/>
    <mergeCell ref="AD14:AE14"/>
    <mergeCell ref="D37:F37"/>
    <mergeCell ref="G37:M37"/>
    <mergeCell ref="N37:P37"/>
    <mergeCell ref="Q37:U37"/>
    <mergeCell ref="V37:X37"/>
    <mergeCell ref="Y37:AA37"/>
    <mergeCell ref="AD37:AE37"/>
    <mergeCell ref="D14:F14"/>
    <mergeCell ref="G14:M14"/>
    <mergeCell ref="N14:P14"/>
    <mergeCell ref="Q14:U14"/>
    <mergeCell ref="V14:X14"/>
    <mergeCell ref="AD5:AE5"/>
    <mergeCell ref="D5:F5"/>
    <mergeCell ref="G5:M5"/>
    <mergeCell ref="N5:P5"/>
    <mergeCell ref="Q5:U5"/>
    <mergeCell ref="V5:X5"/>
    <mergeCell ref="Y5:AA5"/>
  </mergeCells>
  <pageMargins left="0.7" right="0.7" top="0.75" bottom="0.75" header="0.3" footer="0.3"/>
  <pageSetup paperSize="9" orientation="portrait" horizontalDpi="4294967293" r:id="rId1"/>
  <ignoredErrors>
    <ignoredError sqref="P1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F535-2ACE-496E-B64C-2196E6F4917C}">
  <dimension ref="B2:S24"/>
  <sheetViews>
    <sheetView workbookViewId="0">
      <selection activeCell="J27" sqref="J27"/>
    </sheetView>
  </sheetViews>
  <sheetFormatPr defaultRowHeight="14.5" x14ac:dyDescent="0.35"/>
  <cols>
    <col min="1" max="1" width="3.36328125" customWidth="1"/>
    <col min="2" max="2" width="29.26953125" bestFit="1" customWidth="1"/>
    <col min="17" max="17" width="12" bestFit="1" customWidth="1"/>
  </cols>
  <sheetData>
    <row r="2" spans="2:19" ht="15.5" x14ac:dyDescent="0.35">
      <c r="B2" s="3" t="s">
        <v>421</v>
      </c>
    </row>
    <row r="4" spans="2:19" x14ac:dyDescent="0.35">
      <c r="B4" t="s">
        <v>371</v>
      </c>
      <c r="C4" t="s">
        <v>422</v>
      </c>
    </row>
    <row r="6" spans="2:19" x14ac:dyDescent="0.35">
      <c r="B6" s="268" t="s">
        <v>327</v>
      </c>
      <c r="C6" s="232">
        <v>1</v>
      </c>
      <c r="D6" s="232">
        <v>2</v>
      </c>
      <c r="E6" s="232">
        <v>3</v>
      </c>
      <c r="F6" s="232">
        <v>4</v>
      </c>
      <c r="G6" s="232">
        <v>5</v>
      </c>
      <c r="H6" s="232">
        <v>6</v>
      </c>
      <c r="I6" s="232">
        <v>7</v>
      </c>
      <c r="J6" s="232">
        <v>8</v>
      </c>
      <c r="K6" s="232">
        <v>9</v>
      </c>
      <c r="L6" s="232">
        <v>10</v>
      </c>
      <c r="M6" s="232">
        <v>11</v>
      </c>
      <c r="N6" s="232">
        <v>12</v>
      </c>
      <c r="O6" s="232">
        <v>13</v>
      </c>
      <c r="P6" s="232">
        <v>14</v>
      </c>
      <c r="Q6" s="232" t="s">
        <v>117</v>
      </c>
    </row>
    <row r="7" spans="2:19" x14ac:dyDescent="0.35">
      <c r="B7" s="269" t="s">
        <v>353</v>
      </c>
      <c r="C7" s="270">
        <v>0</v>
      </c>
      <c r="D7" s="270">
        <f>C10</f>
        <v>109</v>
      </c>
      <c r="E7" s="270">
        <f t="shared" ref="E7:P7" si="0">D10</f>
        <v>218</v>
      </c>
      <c r="F7" s="270">
        <f t="shared" si="0"/>
        <v>327</v>
      </c>
      <c r="G7" s="270">
        <f t="shared" si="0"/>
        <v>436</v>
      </c>
      <c r="H7" s="270">
        <f t="shared" si="0"/>
        <v>545</v>
      </c>
      <c r="I7" s="270">
        <f t="shared" si="0"/>
        <v>654</v>
      </c>
      <c r="J7" s="270">
        <f t="shared" si="0"/>
        <v>763</v>
      </c>
      <c r="K7" s="270">
        <f t="shared" si="0"/>
        <v>872</v>
      </c>
      <c r="L7" s="270">
        <f t="shared" si="0"/>
        <v>981</v>
      </c>
      <c r="M7" s="270">
        <f t="shared" si="0"/>
        <v>1090</v>
      </c>
      <c r="N7" s="270">
        <f t="shared" si="0"/>
        <v>1199</v>
      </c>
      <c r="O7" s="270">
        <f t="shared" si="0"/>
        <v>1308</v>
      </c>
      <c r="P7" s="270">
        <f t="shared" si="0"/>
        <v>1417</v>
      </c>
      <c r="Q7" s="270">
        <f>24*60</f>
        <v>1440</v>
      </c>
      <c r="R7" t="s">
        <v>357</v>
      </c>
    </row>
    <row r="8" spans="2:19" x14ac:dyDescent="0.35">
      <c r="B8" s="269" t="s">
        <v>354</v>
      </c>
      <c r="C8" s="270">
        <v>18.7</v>
      </c>
      <c r="D8" s="270">
        <f>C8+$C$8</f>
        <v>37.4</v>
      </c>
      <c r="E8" s="270">
        <f>D8+$C$8</f>
        <v>56.099999999999994</v>
      </c>
      <c r="F8" s="270">
        <f>E8+$C$8</f>
        <v>74.8</v>
      </c>
      <c r="G8" s="270">
        <f>F8+$C$8</f>
        <v>93.5</v>
      </c>
      <c r="H8" s="270">
        <f>G8+$C$8</f>
        <v>112.2</v>
      </c>
      <c r="I8" s="270">
        <f>H8+$C$8</f>
        <v>130.9</v>
      </c>
      <c r="J8" s="270">
        <f>I8+$C$8</f>
        <v>149.6</v>
      </c>
      <c r="K8" s="270">
        <f>J8+$C$8</f>
        <v>168.29999999999998</v>
      </c>
      <c r="L8" s="270">
        <f>K8+$C$8</f>
        <v>186.99999999999997</v>
      </c>
      <c r="M8" s="270">
        <f>L8+$C$8</f>
        <v>205.69999999999996</v>
      </c>
      <c r="N8" s="270">
        <f>M8+$C$8</f>
        <v>224.39999999999995</v>
      </c>
      <c r="O8" s="270">
        <f>N8+$C$8</f>
        <v>243.09999999999994</v>
      </c>
      <c r="P8" s="270">
        <f>O8+$C$8</f>
        <v>261.79999999999995</v>
      </c>
      <c r="Q8" s="270">
        <f>P8</f>
        <v>261.79999999999995</v>
      </c>
      <c r="R8" t="s">
        <v>357</v>
      </c>
    </row>
    <row r="9" spans="2:19" x14ac:dyDescent="0.35">
      <c r="B9" s="269" t="s">
        <v>355</v>
      </c>
      <c r="C9" s="270">
        <v>18.7</v>
      </c>
      <c r="D9" s="270">
        <f>D7+$C$9</f>
        <v>127.7</v>
      </c>
      <c r="E9" s="270">
        <f>E7+$C$9</f>
        <v>236.7</v>
      </c>
      <c r="F9" s="270">
        <f>F7+$C$9</f>
        <v>345.7</v>
      </c>
      <c r="G9" s="270">
        <f>G7+$C$9</f>
        <v>454.7</v>
      </c>
      <c r="H9" s="270">
        <f>H7+$C$9</f>
        <v>563.70000000000005</v>
      </c>
      <c r="I9" s="270">
        <f>I7+$C$9</f>
        <v>672.7</v>
      </c>
      <c r="J9" s="270">
        <f>J7+$C$9</f>
        <v>781.7</v>
      </c>
      <c r="K9" s="270">
        <f>K7+$C$9</f>
        <v>890.7</v>
      </c>
      <c r="L9" s="270">
        <f>L7+$C$9</f>
        <v>999.7</v>
      </c>
      <c r="M9" s="270">
        <f>M7+$C$9</f>
        <v>1108.7</v>
      </c>
      <c r="N9" s="270">
        <f>N7+$C$9</f>
        <v>1217.7</v>
      </c>
      <c r="O9" s="270">
        <f>O7+$C$9</f>
        <v>1326.7</v>
      </c>
      <c r="P9" s="271">
        <f>P7+$C$9</f>
        <v>1435.7</v>
      </c>
      <c r="Q9" s="270">
        <v>1431</v>
      </c>
      <c r="R9" t="s">
        <v>357</v>
      </c>
    </row>
    <row r="10" spans="2:19" x14ac:dyDescent="0.35">
      <c r="B10" s="269" t="s">
        <v>356</v>
      </c>
      <c r="C10" s="270">
        <v>109</v>
      </c>
      <c r="D10" s="270">
        <f>D7+109</f>
        <v>218</v>
      </c>
      <c r="E10" s="270">
        <f t="shared" ref="E10:P10" si="1">E7+109</f>
        <v>327</v>
      </c>
      <c r="F10" s="270">
        <f t="shared" si="1"/>
        <v>436</v>
      </c>
      <c r="G10" s="270">
        <f t="shared" si="1"/>
        <v>545</v>
      </c>
      <c r="H10" s="270">
        <f t="shared" si="1"/>
        <v>654</v>
      </c>
      <c r="I10" s="270">
        <f t="shared" si="1"/>
        <v>763</v>
      </c>
      <c r="J10" s="270">
        <f t="shared" si="1"/>
        <v>872</v>
      </c>
      <c r="K10" s="270">
        <f t="shared" si="1"/>
        <v>981</v>
      </c>
      <c r="L10" s="270">
        <f t="shared" si="1"/>
        <v>1090</v>
      </c>
      <c r="M10" s="270">
        <f t="shared" si="1"/>
        <v>1199</v>
      </c>
      <c r="N10" s="270">
        <f t="shared" si="1"/>
        <v>1308</v>
      </c>
      <c r="O10" s="270">
        <f t="shared" si="1"/>
        <v>1417</v>
      </c>
      <c r="P10" s="270">
        <f t="shared" si="1"/>
        <v>1526</v>
      </c>
      <c r="Q10" s="270" t="s">
        <v>342</v>
      </c>
    </row>
    <row r="11" spans="2:19" x14ac:dyDescent="0.35">
      <c r="B11" s="269"/>
      <c r="C11" s="269"/>
      <c r="D11" s="269"/>
      <c r="E11" s="269"/>
      <c r="F11" s="269"/>
      <c r="G11" s="269"/>
      <c r="H11" s="269"/>
      <c r="I11" s="269"/>
      <c r="J11" s="269"/>
      <c r="K11" s="269"/>
      <c r="L11" s="269"/>
      <c r="M11" s="269"/>
      <c r="N11" s="269"/>
      <c r="O11" s="269"/>
      <c r="P11" s="269"/>
      <c r="Q11" s="270"/>
    </row>
    <row r="12" spans="2:19" x14ac:dyDescent="0.35">
      <c r="B12" s="269" t="s">
        <v>360</v>
      </c>
      <c r="C12" s="272">
        <f>18.7*60*2024000/8/1000/1000/1000</f>
        <v>0.28386600000000001</v>
      </c>
      <c r="D12" s="272">
        <f>C12</f>
        <v>0.28386600000000001</v>
      </c>
      <c r="E12" s="272">
        <f t="shared" ref="E12:P12" si="2">D12</f>
        <v>0.28386600000000001</v>
      </c>
      <c r="F12" s="272">
        <f t="shared" si="2"/>
        <v>0.28386600000000001</v>
      </c>
      <c r="G12" s="272">
        <f t="shared" si="2"/>
        <v>0.28386600000000001</v>
      </c>
      <c r="H12" s="272">
        <f t="shared" si="2"/>
        <v>0.28386600000000001</v>
      </c>
      <c r="I12" s="272">
        <f t="shared" si="2"/>
        <v>0.28386600000000001</v>
      </c>
      <c r="J12" s="272">
        <f t="shared" si="2"/>
        <v>0.28386600000000001</v>
      </c>
      <c r="K12" s="272">
        <f t="shared" si="2"/>
        <v>0.28386600000000001</v>
      </c>
      <c r="L12" s="272">
        <f t="shared" si="2"/>
        <v>0.28386600000000001</v>
      </c>
      <c r="M12" s="272">
        <f t="shared" si="2"/>
        <v>0.28386600000000001</v>
      </c>
      <c r="N12" s="272">
        <f t="shared" si="2"/>
        <v>0.28386600000000001</v>
      </c>
      <c r="O12" s="272">
        <f t="shared" si="2"/>
        <v>0.28386600000000001</v>
      </c>
      <c r="P12" s="272">
        <f t="shared" si="2"/>
        <v>0.28386600000000001</v>
      </c>
      <c r="Q12" s="273">
        <f>SUM(C12:P12)</f>
        <v>3.9741240000000011</v>
      </c>
      <c r="R12" t="s">
        <v>352</v>
      </c>
      <c r="S12" t="s">
        <v>358</v>
      </c>
    </row>
    <row r="13" spans="2:19" x14ac:dyDescent="0.35">
      <c r="B13" s="269" t="s">
        <v>361</v>
      </c>
      <c r="C13" s="272">
        <f>0.9*C12</f>
        <v>0.25547940000000002</v>
      </c>
      <c r="D13" s="272">
        <f t="shared" ref="D13:P13" si="3">0.9*D12</f>
        <v>0.25547940000000002</v>
      </c>
      <c r="E13" s="272">
        <f t="shared" si="3"/>
        <v>0.25547940000000002</v>
      </c>
      <c r="F13" s="272">
        <f t="shared" si="3"/>
        <v>0.25547940000000002</v>
      </c>
      <c r="G13" s="272">
        <f t="shared" si="3"/>
        <v>0.25547940000000002</v>
      </c>
      <c r="H13" s="272">
        <f t="shared" si="3"/>
        <v>0.25547940000000002</v>
      </c>
      <c r="I13" s="272">
        <f t="shared" si="3"/>
        <v>0.25547940000000002</v>
      </c>
      <c r="J13" s="272">
        <f t="shared" si="3"/>
        <v>0.25547940000000002</v>
      </c>
      <c r="K13" s="272">
        <f t="shared" si="3"/>
        <v>0.25547940000000002</v>
      </c>
      <c r="L13" s="272">
        <f t="shared" si="3"/>
        <v>0.25547940000000002</v>
      </c>
      <c r="M13" s="272">
        <f t="shared" si="3"/>
        <v>0.25547940000000002</v>
      </c>
      <c r="N13" s="272">
        <f t="shared" si="3"/>
        <v>0.25547940000000002</v>
      </c>
      <c r="O13" s="272">
        <f t="shared" si="3"/>
        <v>0.25547940000000002</v>
      </c>
      <c r="P13" s="272">
        <f t="shared" si="3"/>
        <v>0.25547940000000002</v>
      </c>
      <c r="Q13" s="273">
        <f>SUM(C13:P13)</f>
        <v>3.5767116000000003</v>
      </c>
      <c r="R13" t="s">
        <v>352</v>
      </c>
      <c r="S13" t="s">
        <v>359</v>
      </c>
    </row>
    <row r="14" spans="2:19" x14ac:dyDescent="0.35">
      <c r="B14" s="269" t="s">
        <v>362</v>
      </c>
      <c r="C14" s="274">
        <f>C13/109</f>
        <v>2.3438477064220186E-3</v>
      </c>
      <c r="D14" s="274">
        <f>C14</f>
        <v>2.3438477064220186E-3</v>
      </c>
      <c r="E14" s="274">
        <f t="shared" ref="E14:P14" si="4">D14</f>
        <v>2.3438477064220186E-3</v>
      </c>
      <c r="F14" s="274">
        <f t="shared" si="4"/>
        <v>2.3438477064220186E-3</v>
      </c>
      <c r="G14" s="274">
        <f t="shared" si="4"/>
        <v>2.3438477064220186E-3</v>
      </c>
      <c r="H14" s="274">
        <f t="shared" si="4"/>
        <v>2.3438477064220186E-3</v>
      </c>
      <c r="I14" s="274">
        <f t="shared" si="4"/>
        <v>2.3438477064220186E-3</v>
      </c>
      <c r="J14" s="274">
        <f t="shared" si="4"/>
        <v>2.3438477064220186E-3</v>
      </c>
      <c r="K14" s="274">
        <f t="shared" si="4"/>
        <v>2.3438477064220186E-3</v>
      </c>
      <c r="L14" s="274">
        <f t="shared" si="4"/>
        <v>2.3438477064220186E-3</v>
      </c>
      <c r="M14" s="274">
        <f t="shared" si="4"/>
        <v>2.3438477064220186E-3</v>
      </c>
      <c r="N14" s="274">
        <f t="shared" si="4"/>
        <v>2.3438477064220186E-3</v>
      </c>
      <c r="O14" s="274">
        <f t="shared" si="4"/>
        <v>2.3438477064220186E-3</v>
      </c>
      <c r="P14" s="274">
        <f t="shared" si="4"/>
        <v>2.3438477064220186E-3</v>
      </c>
      <c r="Q14" s="275">
        <f>Q13/(Q7+101)</f>
        <v>2.3210328358208958E-3</v>
      </c>
      <c r="R14" t="s">
        <v>372</v>
      </c>
      <c r="S14" t="s">
        <v>374</v>
      </c>
    </row>
    <row r="15" spans="2:19" x14ac:dyDescent="0.35">
      <c r="B15" s="269"/>
      <c r="C15" s="272"/>
      <c r="D15" s="272"/>
      <c r="E15" s="272"/>
      <c r="F15" s="272"/>
      <c r="G15" s="272"/>
      <c r="H15" s="272"/>
      <c r="I15" s="272"/>
      <c r="J15" s="272"/>
      <c r="K15" s="272"/>
      <c r="L15" s="272"/>
      <c r="M15" s="272"/>
      <c r="N15" s="272"/>
      <c r="O15" s="272"/>
      <c r="P15" s="272"/>
      <c r="Q15" s="276">
        <f>P14/60*1000*1000</f>
        <v>39.064128440366979</v>
      </c>
      <c r="R15" t="s">
        <v>375</v>
      </c>
    </row>
    <row r="16" spans="2:19" x14ac:dyDescent="0.35">
      <c r="B16" s="269" t="s">
        <v>363</v>
      </c>
      <c r="C16" s="272">
        <v>1.5</v>
      </c>
      <c r="D16" s="272">
        <f>C20</f>
        <v>1.2878817825688074</v>
      </c>
      <c r="E16" s="272">
        <f t="shared" ref="E16:P16" si="5">D20</f>
        <v>1.2878817825688074</v>
      </c>
      <c r="F16" s="272">
        <f t="shared" si="5"/>
        <v>1.2878817825688074</v>
      </c>
      <c r="G16" s="272">
        <f t="shared" si="5"/>
        <v>1.2878817825688074</v>
      </c>
      <c r="H16" s="272">
        <f t="shared" si="5"/>
        <v>1.2878817825688074</v>
      </c>
      <c r="I16" s="272">
        <f t="shared" si="5"/>
        <v>1.2878817825688074</v>
      </c>
      <c r="J16" s="272">
        <f t="shared" si="5"/>
        <v>1.2878817825688074</v>
      </c>
      <c r="K16" s="272">
        <f t="shared" si="5"/>
        <v>1.2878817825688074</v>
      </c>
      <c r="L16" s="272">
        <f t="shared" si="5"/>
        <v>1.2878817825688074</v>
      </c>
      <c r="M16" s="272">
        <f t="shared" si="5"/>
        <v>1.2878817825688074</v>
      </c>
      <c r="N16" s="272">
        <f t="shared" si="5"/>
        <v>1.2878817825688074</v>
      </c>
      <c r="O16" s="272">
        <f t="shared" si="5"/>
        <v>1.2878817825688074</v>
      </c>
      <c r="P16" s="272">
        <f t="shared" si="5"/>
        <v>1.2878817825688074</v>
      </c>
      <c r="Q16" s="277"/>
    </row>
    <row r="17" spans="2:19" x14ac:dyDescent="0.35">
      <c r="B17" s="269" t="s">
        <v>367</v>
      </c>
      <c r="C17" s="272">
        <f>C14*18.5</f>
        <v>4.3361182568807347E-2</v>
      </c>
      <c r="D17" s="272">
        <f>D14*18.7</f>
        <v>4.3829952110091747E-2</v>
      </c>
      <c r="E17" s="272">
        <f t="shared" ref="E17:P17" si="6">E14*18.7</f>
        <v>4.3829952110091747E-2</v>
      </c>
      <c r="F17" s="272">
        <f t="shared" si="6"/>
        <v>4.3829952110091747E-2</v>
      </c>
      <c r="G17" s="272">
        <f t="shared" si="6"/>
        <v>4.3829952110091747E-2</v>
      </c>
      <c r="H17" s="272">
        <f t="shared" si="6"/>
        <v>4.3829952110091747E-2</v>
      </c>
      <c r="I17" s="272">
        <f t="shared" si="6"/>
        <v>4.3829952110091747E-2</v>
      </c>
      <c r="J17" s="272">
        <f t="shared" si="6"/>
        <v>4.3829952110091747E-2</v>
      </c>
      <c r="K17" s="272">
        <f t="shared" si="6"/>
        <v>4.3829952110091747E-2</v>
      </c>
      <c r="L17" s="272">
        <f t="shared" si="6"/>
        <v>4.3829952110091747E-2</v>
      </c>
      <c r="M17" s="272">
        <f t="shared" si="6"/>
        <v>4.3829952110091747E-2</v>
      </c>
      <c r="N17" s="272">
        <f t="shared" si="6"/>
        <v>4.3829952110091747E-2</v>
      </c>
      <c r="O17" s="272">
        <f t="shared" si="6"/>
        <v>4.3829952110091747E-2</v>
      </c>
      <c r="P17" s="272">
        <f t="shared" si="6"/>
        <v>4.3829952110091747E-2</v>
      </c>
      <c r="Q17" s="277"/>
    </row>
    <row r="18" spans="2:19" x14ac:dyDescent="0.35">
      <c r="B18" s="269" t="s">
        <v>365</v>
      </c>
      <c r="C18" s="272">
        <f>C17</f>
        <v>4.3361182568807347E-2</v>
      </c>
      <c r="D18" s="272">
        <f>D13</f>
        <v>0.25547940000000002</v>
      </c>
      <c r="E18" s="272">
        <f t="shared" ref="E18:P18" si="7">E13</f>
        <v>0.25547940000000002</v>
      </c>
      <c r="F18" s="272">
        <f t="shared" si="7"/>
        <v>0.25547940000000002</v>
      </c>
      <c r="G18" s="272">
        <f t="shared" si="7"/>
        <v>0.25547940000000002</v>
      </c>
      <c r="H18" s="272">
        <f t="shared" si="7"/>
        <v>0.25547940000000002</v>
      </c>
      <c r="I18" s="272">
        <f t="shared" si="7"/>
        <v>0.25547940000000002</v>
      </c>
      <c r="J18" s="272">
        <f t="shared" si="7"/>
        <v>0.25547940000000002</v>
      </c>
      <c r="K18" s="272">
        <f t="shared" si="7"/>
        <v>0.25547940000000002</v>
      </c>
      <c r="L18" s="272">
        <f t="shared" si="7"/>
        <v>0.25547940000000002</v>
      </c>
      <c r="M18" s="272">
        <f t="shared" si="7"/>
        <v>0.25547940000000002</v>
      </c>
      <c r="N18" s="272">
        <f t="shared" si="7"/>
        <v>0.25547940000000002</v>
      </c>
      <c r="O18" s="272">
        <f t="shared" si="7"/>
        <v>0.25547940000000002</v>
      </c>
      <c r="P18" s="272">
        <f t="shared" si="7"/>
        <v>0.25547940000000002</v>
      </c>
      <c r="Q18" s="273">
        <f>SUM(C18:P18)</f>
        <v>3.3645933825688075</v>
      </c>
      <c r="R18" t="s">
        <v>352</v>
      </c>
      <c r="S18" t="s">
        <v>373</v>
      </c>
    </row>
    <row r="19" spans="2:19" x14ac:dyDescent="0.35">
      <c r="B19" s="269" t="s">
        <v>366</v>
      </c>
      <c r="C19" s="272">
        <f>C14*109</f>
        <v>0.25547940000000002</v>
      </c>
      <c r="D19" s="272">
        <f>D14*109</f>
        <v>0.25547940000000002</v>
      </c>
      <c r="E19" s="272">
        <f t="shared" ref="E19:P19" si="8">E14*109</f>
        <v>0.25547940000000002</v>
      </c>
      <c r="F19" s="272">
        <f t="shared" si="8"/>
        <v>0.25547940000000002</v>
      </c>
      <c r="G19" s="272">
        <f t="shared" si="8"/>
        <v>0.25547940000000002</v>
      </c>
      <c r="H19" s="272">
        <f t="shared" si="8"/>
        <v>0.25547940000000002</v>
      </c>
      <c r="I19" s="272">
        <f t="shared" si="8"/>
        <v>0.25547940000000002</v>
      </c>
      <c r="J19" s="272">
        <f t="shared" si="8"/>
        <v>0.25547940000000002</v>
      </c>
      <c r="K19" s="272">
        <f t="shared" si="8"/>
        <v>0.25547940000000002</v>
      </c>
      <c r="L19" s="272">
        <f t="shared" si="8"/>
        <v>0.25547940000000002</v>
      </c>
      <c r="M19" s="272">
        <f t="shared" si="8"/>
        <v>0.25547940000000002</v>
      </c>
      <c r="N19" s="272">
        <f t="shared" si="8"/>
        <v>0.25547940000000002</v>
      </c>
      <c r="O19" s="272">
        <f t="shared" si="8"/>
        <v>0.25547940000000002</v>
      </c>
      <c r="P19" s="272">
        <f t="shared" si="8"/>
        <v>0.25547940000000002</v>
      </c>
      <c r="Q19" s="273">
        <f>SUM(C19:P19)</f>
        <v>3.5767116000000003</v>
      </c>
      <c r="R19" t="s">
        <v>352</v>
      </c>
    </row>
    <row r="20" spans="2:19" x14ac:dyDescent="0.35">
      <c r="B20" s="269" t="s">
        <v>364</v>
      </c>
      <c r="C20" s="272">
        <f>C16-C19+C18</f>
        <v>1.2878817825688074</v>
      </c>
      <c r="D20" s="272">
        <f t="shared" ref="D20:P20" si="9">D16-D19+D18</f>
        <v>1.2878817825688074</v>
      </c>
      <c r="E20" s="272">
        <f t="shared" si="9"/>
        <v>1.2878817825688074</v>
      </c>
      <c r="F20" s="272">
        <f t="shared" si="9"/>
        <v>1.2878817825688074</v>
      </c>
      <c r="G20" s="272">
        <f t="shared" si="9"/>
        <v>1.2878817825688074</v>
      </c>
      <c r="H20" s="272">
        <f t="shared" si="9"/>
        <v>1.2878817825688074</v>
      </c>
      <c r="I20" s="272">
        <f t="shared" si="9"/>
        <v>1.2878817825688074</v>
      </c>
      <c r="J20" s="272">
        <f t="shared" si="9"/>
        <v>1.2878817825688074</v>
      </c>
      <c r="K20" s="272">
        <f t="shared" si="9"/>
        <v>1.2878817825688074</v>
      </c>
      <c r="L20" s="272">
        <f t="shared" si="9"/>
        <v>1.2878817825688074</v>
      </c>
      <c r="M20" s="272">
        <f t="shared" si="9"/>
        <v>1.2878817825688074</v>
      </c>
      <c r="N20" s="272">
        <f t="shared" si="9"/>
        <v>1.2878817825688074</v>
      </c>
      <c r="O20" s="272">
        <f t="shared" si="9"/>
        <v>1.2878817825688074</v>
      </c>
      <c r="P20" s="272">
        <f t="shared" si="9"/>
        <v>1.2878817825688074</v>
      </c>
      <c r="Q20" s="270"/>
    </row>
    <row r="21" spans="2:19" x14ac:dyDescent="0.35">
      <c r="B21" s="269" t="s">
        <v>370</v>
      </c>
      <c r="C21" s="272">
        <f>1.5-C20</f>
        <v>0.21211821743119263</v>
      </c>
      <c r="D21" s="272">
        <f t="shared" ref="D21:P21" si="10">1.5-D20</f>
        <v>0.21211821743119263</v>
      </c>
      <c r="E21" s="272">
        <f t="shared" si="10"/>
        <v>0.21211821743119263</v>
      </c>
      <c r="F21" s="272">
        <f t="shared" si="10"/>
        <v>0.21211821743119263</v>
      </c>
      <c r="G21" s="272">
        <f t="shared" si="10"/>
        <v>0.21211821743119263</v>
      </c>
      <c r="H21" s="272">
        <f t="shared" si="10"/>
        <v>0.21211821743119263</v>
      </c>
      <c r="I21" s="272">
        <f t="shared" si="10"/>
        <v>0.21211821743119263</v>
      </c>
      <c r="J21" s="272">
        <f t="shared" si="10"/>
        <v>0.21211821743119263</v>
      </c>
      <c r="K21" s="272">
        <f t="shared" si="10"/>
        <v>0.21211821743119263</v>
      </c>
      <c r="L21" s="272">
        <f t="shared" si="10"/>
        <v>0.21211821743119263</v>
      </c>
      <c r="M21" s="272">
        <f t="shared" si="10"/>
        <v>0.21211821743119263</v>
      </c>
      <c r="N21" s="272">
        <f t="shared" si="10"/>
        <v>0.21211821743119263</v>
      </c>
      <c r="O21" s="272">
        <f t="shared" si="10"/>
        <v>0.21211821743119263</v>
      </c>
      <c r="P21" s="272">
        <f t="shared" si="10"/>
        <v>0.21211821743119263</v>
      </c>
      <c r="Q21" s="270"/>
    </row>
    <row r="22" spans="2:19" x14ac:dyDescent="0.35">
      <c r="C22" s="7"/>
    </row>
    <row r="23" spans="2:19" x14ac:dyDescent="0.35">
      <c r="B23" t="s">
        <v>368</v>
      </c>
    </row>
    <row r="24" spans="2:19" x14ac:dyDescent="0.35">
      <c r="B24" t="s">
        <v>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6BAE3-9F8F-4E80-BB94-E10F7E4A8BDC}">
  <dimension ref="B2:L24"/>
  <sheetViews>
    <sheetView workbookViewId="0">
      <selection activeCell="D24" sqref="D24"/>
    </sheetView>
  </sheetViews>
  <sheetFormatPr defaultRowHeight="14.5" x14ac:dyDescent="0.35"/>
  <cols>
    <col min="1" max="1" width="3.26953125" customWidth="1"/>
    <col min="2" max="2" width="35.90625" bestFit="1" customWidth="1"/>
    <col min="3" max="3" width="5.26953125" bestFit="1" customWidth="1"/>
    <col min="4" max="4" width="26.26953125" bestFit="1" customWidth="1"/>
    <col min="5" max="5" width="29.453125" bestFit="1" customWidth="1"/>
    <col min="6" max="6" width="16.7265625" bestFit="1" customWidth="1"/>
    <col min="7" max="12" width="11.7265625" customWidth="1"/>
  </cols>
  <sheetData>
    <row r="2" spans="2:12" ht="15.5" x14ac:dyDescent="0.35">
      <c r="B2" s="3" t="s">
        <v>423</v>
      </c>
    </row>
    <row r="4" spans="2:12" x14ac:dyDescent="0.35">
      <c r="B4" t="s">
        <v>424</v>
      </c>
    </row>
    <row r="5" spans="2:12" s="13" customFormat="1" ht="15" thickBot="1" x14ac:dyDescent="0.4"/>
    <row r="6" spans="2:12" s="13" customFormat="1" ht="15" thickBot="1" x14ac:dyDescent="0.4">
      <c r="D6" s="229" t="s">
        <v>104</v>
      </c>
      <c r="E6" s="231"/>
      <c r="F6" s="231"/>
      <c r="G6" s="229" t="s">
        <v>337</v>
      </c>
      <c r="H6" s="231"/>
      <c r="I6" s="231"/>
      <c r="J6" s="231"/>
      <c r="K6" s="231"/>
      <c r="L6" s="230"/>
    </row>
    <row r="7" spans="2:12" s="13" customFormat="1" ht="43.5" customHeight="1" thickBot="1" x14ac:dyDescent="0.4">
      <c r="B7" s="207" t="s">
        <v>67</v>
      </c>
      <c r="C7" s="207" t="s">
        <v>191</v>
      </c>
      <c r="D7" s="203" t="s">
        <v>68</v>
      </c>
      <c r="E7" s="208" t="s">
        <v>78</v>
      </c>
      <c r="F7" s="204" t="s">
        <v>70</v>
      </c>
      <c r="G7" s="203" t="s">
        <v>340</v>
      </c>
      <c r="H7" s="204" t="s">
        <v>338</v>
      </c>
      <c r="I7" s="204" t="s">
        <v>335</v>
      </c>
      <c r="J7" s="204" t="s">
        <v>336</v>
      </c>
      <c r="K7" s="204" t="s">
        <v>247</v>
      </c>
      <c r="L7" s="205" t="s">
        <v>339</v>
      </c>
    </row>
    <row r="8" spans="2:12" s="13" customFormat="1" x14ac:dyDescent="0.35">
      <c r="B8" s="34" t="s">
        <v>341</v>
      </c>
      <c r="C8" s="209">
        <v>18</v>
      </c>
      <c r="D8" s="20" t="s">
        <v>328</v>
      </c>
      <c r="E8" s="21" t="s">
        <v>330</v>
      </c>
      <c r="F8" s="75" t="s">
        <v>329</v>
      </c>
      <c r="G8" s="211">
        <v>20</v>
      </c>
      <c r="H8" s="212" t="s">
        <v>342</v>
      </c>
      <c r="I8" s="212">
        <f>G8*8</f>
        <v>160</v>
      </c>
      <c r="J8" s="212" t="str">
        <f>H8</f>
        <v xml:space="preserve"> - </v>
      </c>
      <c r="K8" s="212" t="str">
        <f>J8</f>
        <v xml:space="preserve"> - </v>
      </c>
      <c r="L8" s="222" t="s">
        <v>342</v>
      </c>
    </row>
    <row r="9" spans="2:12" s="13" customFormat="1" x14ac:dyDescent="0.35">
      <c r="B9" s="34" t="s">
        <v>276</v>
      </c>
      <c r="C9" s="209">
        <v>21</v>
      </c>
      <c r="D9" s="20" t="s">
        <v>192</v>
      </c>
      <c r="E9" s="21" t="s">
        <v>195</v>
      </c>
      <c r="F9" s="75" t="s">
        <v>194</v>
      </c>
      <c r="G9" s="213">
        <v>13</v>
      </c>
      <c r="H9" s="214">
        <f t="shared" ref="H9:J10" si="0">G9</f>
        <v>13</v>
      </c>
      <c r="I9" s="214">
        <f t="shared" si="0"/>
        <v>13</v>
      </c>
      <c r="J9" s="214">
        <f t="shared" si="0"/>
        <v>13</v>
      </c>
      <c r="K9" s="214">
        <f>J9</f>
        <v>13</v>
      </c>
      <c r="L9" s="215">
        <f>K9</f>
        <v>13</v>
      </c>
    </row>
    <row r="10" spans="2:12" s="13" customFormat="1" x14ac:dyDescent="0.35">
      <c r="B10" s="34" t="s">
        <v>277</v>
      </c>
      <c r="C10" s="209">
        <v>22</v>
      </c>
      <c r="D10" s="20" t="s">
        <v>192</v>
      </c>
      <c r="E10" s="21" t="s">
        <v>198</v>
      </c>
      <c r="F10" s="75" t="s">
        <v>197</v>
      </c>
      <c r="G10" s="213">
        <v>2.8</v>
      </c>
      <c r="H10" s="214">
        <f t="shared" si="0"/>
        <v>2.8</v>
      </c>
      <c r="I10" s="214">
        <f t="shared" si="0"/>
        <v>2.8</v>
      </c>
      <c r="J10" s="214">
        <f t="shared" si="0"/>
        <v>2.8</v>
      </c>
      <c r="K10" s="214">
        <f>J10</f>
        <v>2.8</v>
      </c>
      <c r="L10" s="215">
        <f>K10</f>
        <v>2.8</v>
      </c>
    </row>
    <row r="11" spans="2:12" s="13" customFormat="1" x14ac:dyDescent="0.35">
      <c r="B11" s="34" t="s">
        <v>138</v>
      </c>
      <c r="C11" s="209">
        <v>23</v>
      </c>
      <c r="D11" s="20" t="s">
        <v>284</v>
      </c>
      <c r="E11" s="21" t="s">
        <v>286</v>
      </c>
      <c r="F11" s="75" t="s">
        <v>285</v>
      </c>
      <c r="G11" s="213">
        <v>65</v>
      </c>
      <c r="H11" s="212" t="s">
        <v>342</v>
      </c>
      <c r="I11" s="212" t="s">
        <v>342</v>
      </c>
      <c r="J11" s="214">
        <f>G11</f>
        <v>65</v>
      </c>
      <c r="K11" s="212" t="s">
        <v>342</v>
      </c>
      <c r="L11" s="215">
        <f>J11</f>
        <v>65</v>
      </c>
    </row>
    <row r="12" spans="2:12" s="13" customFormat="1" x14ac:dyDescent="0.35">
      <c r="B12" s="34" t="s">
        <v>139</v>
      </c>
      <c r="C12" s="209">
        <v>24</v>
      </c>
      <c r="D12" s="20" t="s">
        <v>91</v>
      </c>
      <c r="E12" s="21" t="s">
        <v>241</v>
      </c>
      <c r="F12" s="75" t="s">
        <v>240</v>
      </c>
      <c r="G12" s="213">
        <v>10</v>
      </c>
      <c r="H12" s="214">
        <f>G12</f>
        <v>10</v>
      </c>
      <c r="I12" s="214">
        <f>G12</f>
        <v>10</v>
      </c>
      <c r="J12" s="214">
        <f>G12</f>
        <v>10</v>
      </c>
      <c r="K12" s="214">
        <f t="shared" ref="K12:L14" si="1">J12</f>
        <v>10</v>
      </c>
      <c r="L12" s="215">
        <f t="shared" si="1"/>
        <v>10</v>
      </c>
    </row>
    <row r="13" spans="2:12" s="13" customFormat="1" x14ac:dyDescent="0.35">
      <c r="B13" s="34" t="s">
        <v>141</v>
      </c>
      <c r="C13" s="209">
        <v>25</v>
      </c>
      <c r="D13" s="20" t="s">
        <v>208</v>
      </c>
      <c r="E13" s="21" t="s">
        <v>207</v>
      </c>
      <c r="F13" s="75" t="s">
        <v>79</v>
      </c>
      <c r="G13" s="213">
        <v>0.2</v>
      </c>
      <c r="H13" s="214">
        <f>G13</f>
        <v>0.2</v>
      </c>
      <c r="I13" s="214">
        <f>G13</f>
        <v>0.2</v>
      </c>
      <c r="J13" s="214">
        <f>G13</f>
        <v>0.2</v>
      </c>
      <c r="K13" s="214">
        <f t="shared" si="1"/>
        <v>0.2</v>
      </c>
      <c r="L13" s="215">
        <f t="shared" si="1"/>
        <v>0.2</v>
      </c>
    </row>
    <row r="14" spans="2:12" s="13" customFormat="1" x14ac:dyDescent="0.35">
      <c r="B14" s="34" t="s">
        <v>153</v>
      </c>
      <c r="C14" s="209">
        <v>26</v>
      </c>
      <c r="D14" s="20" t="s">
        <v>204</v>
      </c>
      <c r="E14" s="21" t="s">
        <v>281</v>
      </c>
      <c r="F14" s="75" t="s">
        <v>205</v>
      </c>
      <c r="G14" s="213">
        <v>25</v>
      </c>
      <c r="H14" s="214">
        <f>G14</f>
        <v>25</v>
      </c>
      <c r="I14" s="214">
        <f>G14</f>
        <v>25</v>
      </c>
      <c r="J14" s="214">
        <f>G14</f>
        <v>25</v>
      </c>
      <c r="K14" s="214">
        <f t="shared" si="1"/>
        <v>25</v>
      </c>
      <c r="L14" s="215">
        <f t="shared" si="1"/>
        <v>25</v>
      </c>
    </row>
    <row r="15" spans="2:12" s="13" customFormat="1" x14ac:dyDescent="0.35">
      <c r="B15" s="55" t="s">
        <v>137</v>
      </c>
      <c r="C15" s="210">
        <v>27</v>
      </c>
      <c r="D15" s="56" t="s">
        <v>203</v>
      </c>
      <c r="E15" s="57" t="s">
        <v>154</v>
      </c>
      <c r="F15" s="140" t="s">
        <v>79</v>
      </c>
      <c r="G15" s="216">
        <v>34</v>
      </c>
      <c r="H15" s="212" t="s">
        <v>342</v>
      </c>
      <c r="I15" s="212" t="s">
        <v>342</v>
      </c>
      <c r="J15" s="212" t="s">
        <v>342</v>
      </c>
      <c r="K15" s="217">
        <f>G15</f>
        <v>34</v>
      </c>
      <c r="L15" s="218">
        <f>K15</f>
        <v>34</v>
      </c>
    </row>
    <row r="16" spans="2:12" s="13" customFormat="1" ht="15" thickBot="1" x14ac:dyDescent="0.4">
      <c r="B16" s="34" t="s">
        <v>140</v>
      </c>
      <c r="C16" s="209">
        <v>28</v>
      </c>
      <c r="D16" s="20" t="s">
        <v>84</v>
      </c>
      <c r="E16" s="21" t="s">
        <v>106</v>
      </c>
      <c r="F16" s="75" t="s">
        <v>107</v>
      </c>
      <c r="G16" s="213">
        <v>13</v>
      </c>
      <c r="H16" s="212" t="s">
        <v>342</v>
      </c>
      <c r="I16" s="212" t="s">
        <v>342</v>
      </c>
      <c r="J16" s="214">
        <f>G16</f>
        <v>13</v>
      </c>
      <c r="K16" s="212" t="s">
        <v>342</v>
      </c>
      <c r="L16" s="215">
        <f>J16</f>
        <v>13</v>
      </c>
    </row>
    <row r="17" spans="2:12" s="13" customFormat="1" ht="15" thickBot="1" x14ac:dyDescent="0.4">
      <c r="B17" s="32"/>
      <c r="C17" s="32"/>
      <c r="D17" s="59"/>
      <c r="E17" s="60"/>
      <c r="F17" s="166" t="s">
        <v>117</v>
      </c>
      <c r="G17" s="219">
        <f>SUM(G8:G16)</f>
        <v>183</v>
      </c>
      <c r="H17" s="220">
        <f t="shared" ref="H17:L17" si="2">SUM(H8:H16)</f>
        <v>51</v>
      </c>
      <c r="I17" s="220">
        <f t="shared" si="2"/>
        <v>211</v>
      </c>
      <c r="J17" s="220">
        <f t="shared" si="2"/>
        <v>129</v>
      </c>
      <c r="K17" s="220">
        <f t="shared" si="2"/>
        <v>85</v>
      </c>
      <c r="L17" s="221">
        <f t="shared" si="2"/>
        <v>163</v>
      </c>
    </row>
    <row r="18" spans="2:12" s="13" customFormat="1" x14ac:dyDescent="0.35">
      <c r="B18" s="141"/>
      <c r="C18" s="141"/>
      <c r="D18" s="142"/>
      <c r="E18" s="142"/>
      <c r="F18" s="142"/>
      <c r="G18" s="206"/>
      <c r="H18" s="206"/>
      <c r="I18" s="206"/>
      <c r="J18" s="206"/>
      <c r="K18" s="206"/>
      <c r="L18" s="206"/>
    </row>
    <row r="19" spans="2:12" s="13" customFormat="1" x14ac:dyDescent="0.35">
      <c r="G19" s="2"/>
      <c r="H19" s="2"/>
      <c r="I19" s="2"/>
      <c r="J19" s="2"/>
      <c r="K19" s="2"/>
      <c r="L19" s="2"/>
    </row>
    <row r="20" spans="2:12" s="13" customFormat="1" x14ac:dyDescent="0.35">
      <c r="G20" s="2"/>
      <c r="H20" s="2"/>
      <c r="I20" s="2"/>
      <c r="J20" s="2"/>
      <c r="K20" s="2"/>
      <c r="L20" s="2"/>
    </row>
    <row r="21" spans="2:12" x14ac:dyDescent="0.35">
      <c r="G21" s="2"/>
      <c r="H21" s="2"/>
      <c r="I21" s="2"/>
      <c r="J21" s="2"/>
      <c r="K21" s="2"/>
      <c r="L21" s="2"/>
    </row>
    <row r="22" spans="2:12" x14ac:dyDescent="0.35">
      <c r="G22" s="2"/>
      <c r="H22" s="2"/>
      <c r="I22" s="2"/>
      <c r="J22" s="2"/>
      <c r="K22" s="2"/>
      <c r="L22" s="2"/>
    </row>
    <row r="23" spans="2:12" x14ac:dyDescent="0.35">
      <c r="G23" s="2"/>
      <c r="H23" s="2"/>
      <c r="I23" s="2"/>
      <c r="J23" s="2"/>
      <c r="K23" s="2"/>
      <c r="L23" s="2"/>
    </row>
    <row r="24" spans="2:12" x14ac:dyDescent="0.35">
      <c r="G24" s="2"/>
      <c r="H24" s="2"/>
      <c r="I24" s="2"/>
      <c r="J24" s="2"/>
      <c r="K24" s="2"/>
      <c r="L24" s="2"/>
    </row>
  </sheetData>
  <mergeCells count="2">
    <mergeCell ref="D6:F6"/>
    <mergeCell ref="G6:L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Delta-V</vt:lpstr>
      <vt:lpstr>Communications</vt:lpstr>
      <vt:lpstr>Product Breakdown</vt:lpstr>
      <vt:lpstr>Data Budget</vt:lpstr>
      <vt:lpstr>Power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Smith</dc:creator>
  <cp:lastModifiedBy>Stuart Smith</cp:lastModifiedBy>
  <dcterms:created xsi:type="dcterms:W3CDTF">2023-02-27T12:59:40Z</dcterms:created>
  <dcterms:modified xsi:type="dcterms:W3CDTF">2025-08-29T11:35:19Z</dcterms:modified>
</cp:coreProperties>
</file>