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Technical\Calculation spreadheets\"/>
    </mc:Choice>
  </mc:AlternateContent>
  <xr:revisionPtr revIDLastSave="0" documentId="13_ncr:1_{7F2D6FBF-D978-47A9-A8FC-5712D6E949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puts" sheetId="1" r:id="rId1"/>
    <sheet name="Results" sheetId="4" r:id="rId2"/>
    <sheet name="Calculations" sheetId="3" r:id="rId3"/>
    <sheet name="Absorption Coefficients" sheetId="2" r:id="rId4"/>
  </sheets>
  <definedNames>
    <definedName name="absorbancy_125Hz">Calculations!$D$69</definedName>
    <definedName name="absorbancy_1kHz">Calculations!$G$69</definedName>
    <definedName name="absorbancy_250Hz">Calculations!$E$69</definedName>
    <definedName name="absorbancy_2kHz">Calculations!$H$69</definedName>
    <definedName name="absorbancy_4kHz">Calculations!$I$69</definedName>
    <definedName name="absorbancy_500Hz">Calculations!$F$69</definedName>
    <definedName name="Absorption_Coefficient_125Hz">Calculations!$E$9:$E$28</definedName>
    <definedName name="Absorption_Coefficient_1kHz">Calculations!$H$9:$H$28</definedName>
    <definedName name="Absorption_Coefficient_250Hz">Calculations!$F$9:$F$28</definedName>
    <definedName name="Absorption_Coefficient_2kHz">Calculations!$I$9:$I$28</definedName>
    <definedName name="Absorption_Coefficient_4kHz">Calculations!$J$9:$J$28</definedName>
    <definedName name="Absorption_Coefficient_500Hz">Calculations!$G$9:$G$28</definedName>
    <definedName name="Absorption_Coefficient_Surface1_125Hz">Calculations!$E$9</definedName>
    <definedName name="Absorption_Coefficient_Surface1_1kHz">Calculations!$H$9</definedName>
    <definedName name="Absorption_Coefficient_Surface1_250Hz">Calculations!$F$9</definedName>
    <definedName name="Absorption_Coefficient_Surface1_2kHz">Calculations!$I$9</definedName>
    <definedName name="Absorption_Coefficient_Surface1_4kHz">Calculations!$J$9</definedName>
    <definedName name="Absorption_Coefficient_Surface1_500Hz">Calculations!$G$9</definedName>
    <definedName name="Absorption_Coefficient_Surface10_125Hz">Calculations!$E$18</definedName>
    <definedName name="Absorption_Coefficient_Surface10_1kHz">Calculations!$H$18</definedName>
    <definedName name="Absorption_Coefficient_Surface10_250Hz">Calculations!$F$18</definedName>
    <definedName name="Absorption_Coefficient_Surface10_2kHz">Calculations!$I$18</definedName>
    <definedName name="Absorption_Coefficient_Surface10_4kHz">Calculations!$J$18</definedName>
    <definedName name="Absorption_Coefficient_Surface10_500Hz">Calculations!$G$18</definedName>
    <definedName name="Absorption_Coefficient_Surface11_125Hz">Calculations!$E$19</definedName>
    <definedName name="Absorption_Coefficient_Surface11_1kHz">Calculations!$H$19</definedName>
    <definedName name="Absorption_Coefficient_Surface11_250Hz">Calculations!$F$19</definedName>
    <definedName name="Absorption_Coefficient_Surface11_2kHz">Calculations!$I$19</definedName>
    <definedName name="Absorption_Coefficient_Surface11_4kHz">Calculations!$J$19</definedName>
    <definedName name="Absorption_Coefficient_Surface11_500Hz">Calculations!$G$19</definedName>
    <definedName name="Absorption_Coefficient_Surface12_125Hz">Calculations!$E$20</definedName>
    <definedName name="Absorption_Coefficient_Surface12_1kHz">Calculations!$H$20</definedName>
    <definedName name="Absorption_Coefficient_Surface12_250Hz">Calculations!$F$20</definedName>
    <definedName name="Absorption_Coefficient_Surface12_2kHz">Calculations!$I$20</definedName>
    <definedName name="Absorption_Coefficient_Surface12_4kHz">Calculations!$J$20</definedName>
    <definedName name="Absorption_Coefficient_Surface12_500Hz">Calculations!$G$20</definedName>
    <definedName name="Absorption_Coefficient_Surface13_125Hz">Calculations!$E$21</definedName>
    <definedName name="Absorption_Coefficient_Surface13_1kHz">Calculations!$H$21</definedName>
    <definedName name="Absorption_Coefficient_Surface13_250Hz">Calculations!$F$21</definedName>
    <definedName name="Absorption_Coefficient_Surface13_2kHz">Calculations!$I$21</definedName>
    <definedName name="Absorption_Coefficient_Surface13_4kHz">Calculations!$J$21</definedName>
    <definedName name="Absorption_Coefficient_Surface13_500Hz">Calculations!$G$21</definedName>
    <definedName name="Absorption_Coefficient_Surface14_125Hz">Calculations!$E$22</definedName>
    <definedName name="Absorption_Coefficient_Surface14_1kHz">Calculations!$H$22</definedName>
    <definedName name="Absorption_Coefficient_Surface14_250Hz">Calculations!$F$22</definedName>
    <definedName name="Absorption_Coefficient_Surface14_2kHz">Calculations!$I$22</definedName>
    <definedName name="Absorption_Coefficient_Surface14_4kHz">Calculations!$J$22</definedName>
    <definedName name="Absorption_Coefficient_Surface14_500Hz">Calculations!$G$22</definedName>
    <definedName name="Absorption_Coefficient_Surface15_125Hz">Calculations!$E$23</definedName>
    <definedName name="Absorption_Coefficient_Surface15_1kHz">Calculations!$H$23</definedName>
    <definedName name="Absorption_Coefficient_Surface15_250Hz">Calculations!$F$23</definedName>
    <definedName name="Absorption_Coefficient_Surface15_2kHz">Calculations!$I$23</definedName>
    <definedName name="Absorption_Coefficient_Surface15_4kHz">Calculations!$J$23</definedName>
    <definedName name="Absorption_Coefficient_Surface15_500Hz">Calculations!$G$23</definedName>
    <definedName name="Absorption_Coefficient_Surface16_125Hz">Calculations!$E$24</definedName>
    <definedName name="Absorption_Coefficient_Surface16_1kHz">Calculations!$H$24</definedName>
    <definedName name="Absorption_Coefficient_Surface16_250Hz">Calculations!$F$24</definedName>
    <definedName name="Absorption_Coefficient_Surface16_2kHz">Calculations!$I$24</definedName>
    <definedName name="Absorption_Coefficient_Surface16_4kHz">Calculations!$J$24</definedName>
    <definedName name="Absorption_Coefficient_Surface16_500Hz">Calculations!$G$24</definedName>
    <definedName name="Absorption_Coefficient_Surface17_125Hz">Calculations!$E$25</definedName>
    <definedName name="Absorption_Coefficient_Surface17_1kHz">Calculations!$H$25</definedName>
    <definedName name="Absorption_Coefficient_Surface17_250Hz">Calculations!$F$25</definedName>
    <definedName name="Absorption_Coefficient_Surface17_2kHz">Calculations!$I$25</definedName>
    <definedName name="Absorption_Coefficient_Surface17_4kHz">Calculations!$J$25</definedName>
    <definedName name="Absorption_Coefficient_Surface17_500Hz">Calculations!$G$25</definedName>
    <definedName name="Absorption_Coefficient_Surface18_125Hz">Calculations!$E$26</definedName>
    <definedName name="Absorption_Coefficient_Surface18_1kHz">Calculations!$H$26</definedName>
    <definedName name="Absorption_Coefficient_Surface18_250Hz">Calculations!$F$26</definedName>
    <definedName name="Absorption_Coefficient_Surface18_2kHz">Calculations!$I$26</definedName>
    <definedName name="Absorption_Coefficient_Surface18_4kHz">Calculations!$J$26</definedName>
    <definedName name="Absorption_Coefficient_Surface18_500Hz">Calculations!$G$26</definedName>
    <definedName name="Absorption_Coefficient_Surface19_125Hz">Calculations!$E$27</definedName>
    <definedName name="Absorption_Coefficient_Surface19_1kHz">Calculations!$H$27</definedName>
    <definedName name="Absorption_Coefficient_Surface19_250Hz">Calculations!$F$27</definedName>
    <definedName name="Absorption_Coefficient_Surface19_2kHz">Calculations!$I$27</definedName>
    <definedName name="Absorption_Coefficient_Surface19_4kHz">Calculations!$J$27</definedName>
    <definedName name="Absorption_Coefficient_Surface19_500Hz">Calculations!$G$27</definedName>
    <definedName name="Absorption_Coefficient_Surface2_125Hz">Calculations!$E$10</definedName>
    <definedName name="Absorption_Coefficient_Surface2_1kHz">Calculations!$H$10</definedName>
    <definedName name="Absorption_Coefficient_Surface2_250Hz">Calculations!$F$10</definedName>
    <definedName name="Absorption_Coefficient_Surface2_2kHz">Calculations!$I$10</definedName>
    <definedName name="Absorption_Coefficient_Surface2_4kHz">Calculations!$J$10</definedName>
    <definedName name="Absorption_Coefficient_Surface2_500Hz">Calculations!$G$10</definedName>
    <definedName name="Absorption_Coefficient_Surface20_125Hz">Calculations!$E$28</definedName>
    <definedName name="Absorption_Coefficient_Surface20_1kHz">Calculations!$H$28</definedName>
    <definedName name="Absorption_Coefficient_Surface20_250Hz">Calculations!$F$28</definedName>
    <definedName name="Absorption_Coefficient_Surface20_2kHz">Calculations!$I$28</definedName>
    <definedName name="Absorption_Coefficient_Surface20_4kHz">Calculations!$J$28</definedName>
    <definedName name="Absorption_Coefficient_Surface20_500Hz">Calculations!$G$28</definedName>
    <definedName name="Absorption_Coefficient_Surface3_125Hz">Calculations!$E$11</definedName>
    <definedName name="Absorption_Coefficient_Surface3_1kHz">Calculations!$H$11</definedName>
    <definedName name="Absorption_Coefficient_Surface3_250Hz">Calculations!$F$11</definedName>
    <definedName name="Absorption_Coefficient_Surface3_2kHz">Calculations!$I$11</definedName>
    <definedName name="Absorption_Coefficient_Surface3_4kHz">Calculations!$J$11</definedName>
    <definedName name="Absorption_Coefficient_Surface3_500Hz">Calculations!$G$11</definedName>
    <definedName name="Absorption_Coefficient_Surface4_125Hz">Calculations!$E$12</definedName>
    <definedName name="Absorption_Coefficient_Surface4_1kHz">Calculations!$H$12</definedName>
    <definedName name="Absorption_Coefficient_Surface4_250Hz">Calculations!$F$12</definedName>
    <definedName name="Absorption_Coefficient_Surface4_2kHz">Calculations!$I$12</definedName>
    <definedName name="Absorption_Coefficient_Surface4_4kHz">Calculations!$J$12</definedName>
    <definedName name="Absorption_Coefficient_Surface4_500Hz">Calculations!$G$12</definedName>
    <definedName name="Absorption_Coefficient_Surface5_125Hz">Calculations!$E$13</definedName>
    <definedName name="Absorption_Coefficient_Surface5_1kHz">Calculations!$H$13</definedName>
    <definedName name="Absorption_Coefficient_Surface5_250Hz">Calculations!$F$13</definedName>
    <definedName name="Absorption_Coefficient_Surface5_2kHz">Calculations!$I$13</definedName>
    <definedName name="Absorption_Coefficient_Surface5_4kHz">Calculations!$J$13</definedName>
    <definedName name="Absorption_Coefficient_Surface5_500Hz">Calculations!$G$13</definedName>
    <definedName name="Absorption_Coefficient_Surface6_125Hz">Calculations!$E$14</definedName>
    <definedName name="Absorption_Coefficient_Surface6_1kHz">Calculations!$H$14</definedName>
    <definedName name="Absorption_Coefficient_Surface6_250Hz">Calculations!$F$14</definedName>
    <definedName name="Absorption_Coefficient_Surface6_2kHz">Calculations!$I$14</definedName>
    <definedName name="Absorption_Coefficient_Surface6_4kHz">Calculations!$J$14</definedName>
    <definedName name="Absorption_Coefficient_Surface6_500Hz">Calculations!$G$14</definedName>
    <definedName name="Absorption_Coefficient_Surface7_125Hz">Calculations!$E$15</definedName>
    <definedName name="Absorption_Coefficient_Surface7_1kHz">Calculations!$H$15</definedName>
    <definedName name="Absorption_Coefficient_Surface7_250Hz">Calculations!$F$15</definedName>
    <definedName name="Absorption_Coefficient_Surface7_2kHz">Calculations!$I$15</definedName>
    <definedName name="Absorption_Coefficient_Surface7_4kHz">Calculations!$J$15</definedName>
    <definedName name="Absorption_Coefficient_Surface7_500Hz">Calculations!$G$15</definedName>
    <definedName name="Absorption_Coefficient_Surface8_125Hz">Calculations!$E$16</definedName>
    <definedName name="Absorption_Coefficient_Surface8_1kHz">Calculations!$H$16</definedName>
    <definedName name="Absorption_Coefficient_Surface8_250Hz">Calculations!$F$16</definedName>
    <definedName name="Absorption_Coefficient_Surface8_2kHz">Calculations!$I$16</definedName>
    <definedName name="Absorption_Coefficient_Surface8_4kHz">Calculations!$J$16</definedName>
    <definedName name="Absorption_Coefficient_Surface8_500Hz">Calculations!$G$16</definedName>
    <definedName name="Absorption_Coefficient_Surface9_125Hz">Calculations!$E$17</definedName>
    <definedName name="Absorption_Coefficient_Surface9_1kHz">Calculations!$H$17</definedName>
    <definedName name="Absorption_Coefficient_Surface9_250Hz">Calculations!$F$17</definedName>
    <definedName name="Absorption_Coefficient_Surface9_2kHz">Calculations!$I$17</definedName>
    <definedName name="Absorption_Coefficient_Surface9_4kHz">Calculations!$J$17</definedName>
    <definedName name="Absorption_Coefficient_Surface9_500Hz">Calculations!$G$17</definedName>
    <definedName name="Additional_Volume">Inputs!$E$11</definedName>
    <definedName name="arau_x_125Hz">Calculations!$D$81</definedName>
    <definedName name="arau_x_1kHz">Calculations!$G$81</definedName>
    <definedName name="arau_x_250Hz">Calculations!$E$81</definedName>
    <definedName name="arau_x_2kHz">Calculations!$H$81</definedName>
    <definedName name="arau_x_4kHz">Calculations!$I$81</definedName>
    <definedName name="arau_x_500Hz">Calculations!$F$81</definedName>
    <definedName name="arau_y_125Hz">Calculations!$D$82</definedName>
    <definedName name="arau_y_1kHz">Calculations!$G$82</definedName>
    <definedName name="arau_y_250Hz">Calculations!$E$82</definedName>
    <definedName name="arau_y_2kHz">Calculations!$H$82</definedName>
    <definedName name="arau_y_4kHz">Calculations!$I$82</definedName>
    <definedName name="arau_y_500Hz">Calculations!$F$82</definedName>
    <definedName name="arau_z_125Hz">Calculations!$D$83</definedName>
    <definedName name="arau_z_1kHz">Calculations!$G$83</definedName>
    <definedName name="arau_z_250Hz">Calculations!$E$83</definedName>
    <definedName name="arau_z_2kHz">Calculations!$H$83</definedName>
    <definedName name="arau_z_4kHz">Calculations!$I$83</definedName>
    <definedName name="arau_z_500Hz">Calculations!$F$83</definedName>
    <definedName name="Axis">Calculations!$D$9:$D$28</definedName>
    <definedName name="Axis_Input">Inputs!$F$16:$F$35</definedName>
    <definedName name="K_Value">Inputs!$J$8</definedName>
    <definedName name="Material_Code">Inputs!$G$16:$H$35</definedName>
    <definedName name="Material_Description">Inputs!$I$16:$M$35</definedName>
    <definedName name="Millington_σ_125Hz">Calculations!$F$93:$F$112</definedName>
    <definedName name="Millington_σ_1kHz">Calculations!$I$93:$I$112</definedName>
    <definedName name="Millington_σ_250Hz">Calculations!$G$93:$G$112</definedName>
    <definedName name="Millington_σ_2kHz">Calculations!$J$93:$J$112</definedName>
    <definedName name="Millington_σ_4kHz">Calculations!$K$93:$K$112</definedName>
    <definedName name="Millington_σ_500Hz">Calculations!$H$93:$H$112</definedName>
    <definedName name="reflectivity_125Hz">Calculations!$D$70</definedName>
    <definedName name="reflectivity_1kHz">Calculations!$G$70</definedName>
    <definedName name="reflectivity_250Hz">Calculations!$E$70</definedName>
    <definedName name="reflectivity_2kHz">Calculations!$H$70</definedName>
    <definedName name="reflectivity_4kHz">Calculations!$I$70</definedName>
    <definedName name="reflectivity_500Hz">Calculations!$F$70</definedName>
    <definedName name="Reflectivity_X_Y_125Hz">Calculations!$D$67</definedName>
    <definedName name="Reflectivity_X_Y_1kHz">Calculations!$G$67</definedName>
    <definedName name="Reflectivity_X_Y_250Hz">Calculations!$E$67</definedName>
    <definedName name="Reflectivity_X_Y_2kHz">Calculations!$H$67</definedName>
    <definedName name="Reflectivity_X_Y_4kHz">Calculations!$I$67</definedName>
    <definedName name="Reflectivity_X_Y_500Hz">Calculations!$F$67</definedName>
    <definedName name="Reflectivity_Z_125Hz">Calculations!$D$68</definedName>
    <definedName name="Reflectivity_Z_1kHz">Calculations!$G$68</definedName>
    <definedName name="Reflectivity_Z_250Hz">Calculations!$E$68</definedName>
    <definedName name="Reflectivity_Z_2kHz">Calculations!$H$68</definedName>
    <definedName name="Reflectivity_Z_4kHz">Calculations!$I$68</definedName>
    <definedName name="Reflectivity_Z_500Hz">Calculations!$F$68</definedName>
    <definedName name="Room_Height">Inputs!$E$10</definedName>
    <definedName name="Room_Lenght">Inputs!$E$9</definedName>
    <definedName name="Room_Width">Inputs!$E$8</definedName>
    <definedName name="RT60_Fitzroy">Calculations!$D$58:$I$58</definedName>
    <definedName name="RT60_Fitzroy_X">Calculations!$D$59:$I$59</definedName>
    <definedName name="RT60_Fitzroy_Y">Calculations!$D$60:$I$60</definedName>
    <definedName name="RT60_Fitzroy_Z">Calculations!$D$61:$I$61</definedName>
    <definedName name="Sum_S_α">Calculations!$D$34:$I$34</definedName>
    <definedName name="Sum_Sα">Inputs!#REF!</definedName>
    <definedName name="Sum_Sα_125Hz">Calculations!$D$34</definedName>
    <definedName name="Sum_Sα_1kHz">Calculations!$G$34</definedName>
    <definedName name="Sum_Sα_250Hz">Calculations!$E$34</definedName>
    <definedName name="Sum_Sα_2kHz">Calculations!$H$34</definedName>
    <definedName name="Sum_Sα_4kHz">Calculations!$I$34</definedName>
    <definedName name="Sum_Sα_500Hz">Calculations!$F$34</definedName>
    <definedName name="Sum_Sα_Surface1_125Hz">Calculations!$K$9</definedName>
    <definedName name="Sum_Sα_Surface1_1kHz">Calculations!$N$9</definedName>
    <definedName name="Sum_Sα_Surface1_250Hz">Calculations!$L$9</definedName>
    <definedName name="Sum_Sα_Surface1_2kHz">Calculations!$O$9</definedName>
    <definedName name="Sum_Sα_Surface1_4kHz">Calculations!$P$9</definedName>
    <definedName name="Sum_Sα_Surface1_500Hz">Calculations!$M$9</definedName>
    <definedName name="Sum_Sα_Surface10_125Hz">Calculations!$K$18</definedName>
    <definedName name="Sum_Sα_Surface10_1kHz">Calculations!$N$18</definedName>
    <definedName name="Sum_Sα_Surface10_250Hz">Calculations!$L$18</definedName>
    <definedName name="Sum_Sα_Surface10_2kHz">Calculations!$O$18</definedName>
    <definedName name="Sum_Sα_Surface10_4kHz">Calculations!$P$18</definedName>
    <definedName name="Sum_Sα_Surface10_500Hz">Calculations!$M$18</definedName>
    <definedName name="Sum_Sα_Surface11_125Hz">Calculations!$K$19</definedName>
    <definedName name="Sum_Sα_Surface11_1kHz">Calculations!$N$19</definedName>
    <definedName name="Sum_Sα_Surface11_250Hz">Calculations!$L$19</definedName>
    <definedName name="Sum_Sα_Surface11_2kHz">Calculations!$O$19</definedName>
    <definedName name="Sum_Sα_Surface11_4kHz">Calculations!$P$19</definedName>
    <definedName name="Sum_Sα_Surface11_500Hz">Calculations!$M$19</definedName>
    <definedName name="Sum_Sα_Surface12_125Hz">Calculations!$K$20</definedName>
    <definedName name="Sum_Sα_Surface12_1kHz">Calculations!$N$20</definedName>
    <definedName name="Sum_Sα_Surface12_250Hz">Calculations!$L$20</definedName>
    <definedName name="Sum_Sα_Surface12_2kHz">Calculations!$O$20</definedName>
    <definedName name="Sum_Sα_Surface12_4kHz">Calculations!$P$20</definedName>
    <definedName name="Sum_Sα_Surface12_500Hz">Calculations!$M$20</definedName>
    <definedName name="Sum_Sα_Surface13_125Hz">Calculations!$K$21</definedName>
    <definedName name="Sum_Sα_Surface13_1kHz">Calculations!$N$21</definedName>
    <definedName name="Sum_Sα_Surface13_250Hz">Calculations!$L$21</definedName>
    <definedName name="Sum_Sα_Surface13_2kHz">Calculations!$O$21</definedName>
    <definedName name="Sum_Sα_Surface13_4kHz">Calculations!$P$21</definedName>
    <definedName name="Sum_Sα_Surface13_500Hz">Calculations!$M$21</definedName>
    <definedName name="Sum_Sα_Surface14_125Hz">Calculations!$K$22</definedName>
    <definedName name="Sum_Sα_Surface14_1kHz">Calculations!$N$22</definedName>
    <definedName name="Sum_Sα_Surface14_250Hz">Calculations!$L$22</definedName>
    <definedName name="Sum_Sα_Surface14_2kHz">Calculations!$O$22</definedName>
    <definedName name="Sum_Sα_Surface14_4kHz">Calculations!$P$22</definedName>
    <definedName name="Sum_Sα_Surface14_500Hz">Calculations!$M$22</definedName>
    <definedName name="Sum_Sα_Surface15_125Hz">Calculations!$K$23</definedName>
    <definedName name="Sum_Sα_Surface15_1kHz">Calculations!$N$23</definedName>
    <definedName name="Sum_Sα_Surface15_250Hz">Calculations!$L$23</definedName>
    <definedName name="Sum_Sα_Surface15_2kHz">Calculations!$O$23</definedName>
    <definedName name="Sum_Sα_Surface15_4kHz">Calculations!$P$23</definedName>
    <definedName name="Sum_Sα_Surface15_500Hz">Calculations!$M$23</definedName>
    <definedName name="Sum_Sα_Surface16_125Hz">Calculations!$K$24</definedName>
    <definedName name="Sum_Sα_Surface16_1kHz">Calculations!$N$24</definedName>
    <definedName name="Sum_Sα_Surface16_250Hz">Calculations!$L$24</definedName>
    <definedName name="Sum_Sα_Surface16_2kHz">Calculations!$O$24</definedName>
    <definedName name="Sum_Sα_Surface16_4kHz">Calculations!$P$24</definedName>
    <definedName name="Sum_Sα_Surface16_500Hz">Calculations!$M$24</definedName>
    <definedName name="Sum_Sα_Surface17_125Hz">Calculations!$K$25</definedName>
    <definedName name="Sum_Sα_Surface17_1kHz">Calculations!$N$25</definedName>
    <definedName name="Sum_Sα_Surface17_250Hz">Calculations!$L$25</definedName>
    <definedName name="Sum_Sα_Surface17_2kHz">Calculations!$O$25</definedName>
    <definedName name="Sum_Sα_Surface17_4kHz">Calculations!$P$25</definedName>
    <definedName name="Sum_Sα_Surface17_500Hz">Calculations!$M$25</definedName>
    <definedName name="Sum_Sα_Surface18_125Hz">Calculations!$K$26</definedName>
    <definedName name="Sum_Sα_Surface18_1kHz">Calculations!$N$26</definedName>
    <definedName name="Sum_Sα_Surface18_250Hz">Calculations!$L$26</definedName>
    <definedName name="Sum_Sα_Surface18_2kHz">Calculations!$O$26</definedName>
    <definedName name="Sum_Sα_Surface18_4kHz">Calculations!$P$26</definedName>
    <definedName name="Sum_Sα_Surface18_500Hz">Calculations!$M$26</definedName>
    <definedName name="Sum_Sα_Surface19_125Hz">Calculations!$K$27</definedName>
    <definedName name="Sum_Sα_Surface19_1kHz">Calculations!$N$27</definedName>
    <definedName name="Sum_Sα_Surface19_250Hz">Calculations!$L$27</definedName>
    <definedName name="Sum_Sα_Surface19_2kHz">Calculations!$O$27</definedName>
    <definedName name="Sum_Sα_Surface19_4kHz">Calculations!$P$27</definedName>
    <definedName name="Sum_Sα_Surface19_500Hz">Calculations!$M$27</definedName>
    <definedName name="Sum_Sα_Surface2_125Hz">Calculations!$K$10</definedName>
    <definedName name="Sum_Sα_Surface2_1kHz">Calculations!$N$10</definedName>
    <definedName name="Sum_Sα_Surface2_250Hz">Calculations!$L$10</definedName>
    <definedName name="Sum_Sα_Surface2_2kHz">Calculations!$O$10</definedName>
    <definedName name="Sum_Sα_Surface2_4kHz">Calculations!$P$10</definedName>
    <definedName name="Sum_Sα_Surface2_500Hz">Calculations!$M$10</definedName>
    <definedName name="Sum_Sα_Surface20_125Hz">Calculations!$K$28</definedName>
    <definedName name="Sum_Sα_Surface20_1kHz">Calculations!$N$28</definedName>
    <definedName name="Sum_Sα_Surface20_250Hz">Calculations!$L$28</definedName>
    <definedName name="Sum_Sα_Surface20_2kHz">Calculations!$O$28</definedName>
    <definedName name="Sum_Sα_Surface20_4kHz">Calculations!$P$28</definedName>
    <definedName name="Sum_Sα_Surface20_500Hz">Calculations!$M$28</definedName>
    <definedName name="Sum_Sα_Surface3_125Hz">Calculations!$K$11</definedName>
    <definedName name="Sum_Sα_Surface3_1kHz">Calculations!$N$11</definedName>
    <definedName name="Sum_Sα_Surface3_250Hz">Calculations!$L$11</definedName>
    <definedName name="Sum_Sα_Surface3_2kHz">Calculations!$O$11</definedName>
    <definedName name="Sum_Sα_Surface3_4kHz">Calculations!$P$11</definedName>
    <definedName name="Sum_Sα_Surface3_500Hz">Calculations!$M$11</definedName>
    <definedName name="Sum_Sα_Surface4_125Hz">Calculations!$K$12</definedName>
    <definedName name="Sum_Sα_Surface4_1kHz">Calculations!$N$12</definedName>
    <definedName name="Sum_Sα_Surface4_250Hz">Calculations!$L$12</definedName>
    <definedName name="Sum_Sα_Surface4_2kHz">Calculations!$O$12</definedName>
    <definedName name="Sum_Sα_Surface4_4kHz">Calculations!$P$12</definedName>
    <definedName name="Sum_Sα_Surface4_500Hz">Calculations!$M$12</definedName>
    <definedName name="Sum_Sα_Surface5_125Hz">Calculations!$K$13</definedName>
    <definedName name="Sum_Sα_Surface5_1kHz">Calculations!$N$13</definedName>
    <definedName name="Sum_Sα_Surface5_250Hz">Calculations!$L$13</definedName>
    <definedName name="Sum_Sα_Surface5_2kHz">Calculations!$O$13</definedName>
    <definedName name="Sum_Sα_Surface5_4kHz">Calculations!$P$13</definedName>
    <definedName name="Sum_Sα_Surface5_500Hz">Calculations!$M$13</definedName>
    <definedName name="Sum_Sα_Surface6_125Hz">Calculations!$K$14</definedName>
    <definedName name="Sum_Sα_Surface6_1kHz">Calculations!$N$14</definedName>
    <definedName name="Sum_Sα_Surface6_250Hz">Calculations!$L$14</definedName>
    <definedName name="Sum_Sα_Surface6_2kHz">Calculations!$O$14</definedName>
    <definedName name="Sum_Sα_Surface6_4kHz">Calculations!$P$14</definedName>
    <definedName name="Sum_Sα_Surface6_500Hz">Calculations!$M$14</definedName>
    <definedName name="Sum_Sα_Surface7_125Hz">Calculations!$K$15</definedName>
    <definedName name="Sum_Sα_Surface7_1kHz">Calculations!$N$15</definedName>
    <definedName name="Sum_Sα_Surface7_250Hz">Calculations!$L$15</definedName>
    <definedName name="Sum_Sα_Surface7_2kHz">Calculations!$O$15</definedName>
    <definedName name="Sum_Sα_Surface7_4kHz">Calculations!$P$15</definedName>
    <definedName name="Sum_Sα_Surface7_500Hz">Calculations!$M$15</definedName>
    <definedName name="Sum_Sα_Surface8_125Hz">Calculations!$K$16</definedName>
    <definedName name="Sum_Sα_Surface8_1kHz">Calculations!$N$16</definedName>
    <definedName name="Sum_Sα_Surface8_250Hz">Calculations!$L$16</definedName>
    <definedName name="Sum_Sα_Surface8_2kHz">Calculations!$O$16</definedName>
    <definedName name="Sum_Sα_Surface8_4kHz">Calculations!$P$16</definedName>
    <definedName name="Sum_Sα_Surface8_500Hz">Calculations!$M$16</definedName>
    <definedName name="Sum_Sα_Surface9_125Hz">Calculations!$K$17</definedName>
    <definedName name="Sum_Sα_Surface9_1kHz">Calculations!$N$17</definedName>
    <definedName name="Sum_Sα_Surface9_250Hz">Calculations!$L$17</definedName>
    <definedName name="Sum_Sα_Surface9_2kHz">Calculations!$O$17</definedName>
    <definedName name="Sum_Sα_Surface9_4kHz">Calculations!$P$17</definedName>
    <definedName name="Sum_Sα_Surface9_500Hz">Calculations!$M$17</definedName>
    <definedName name="Surface_Area__m2">Inputs!$D$16:$E$35</definedName>
    <definedName name="Surface_Area_1">Inputs!$D$16</definedName>
    <definedName name="Surface_Area_10">Inputs!$D$25</definedName>
    <definedName name="Surface_Area_11">Inputs!$D$26</definedName>
    <definedName name="Surface_Area_12">Inputs!$D$27</definedName>
    <definedName name="Surface_Area_13">Inputs!$D$28</definedName>
    <definedName name="Surface_Area_14">Inputs!$D$29</definedName>
    <definedName name="Surface_Area_15">Inputs!$D$30</definedName>
    <definedName name="Surface_Area_16">Inputs!$D$31</definedName>
    <definedName name="Surface_Area_17">Inputs!$D$32</definedName>
    <definedName name="Surface_Area_18">Inputs!$D$33</definedName>
    <definedName name="Surface_Area_19">Inputs!$D$34</definedName>
    <definedName name="Surface_Area_2">Inputs!$D$17</definedName>
    <definedName name="Surface_Area_20">Inputs!$D$35</definedName>
    <definedName name="Surface_Area_3">Inputs!$D$18</definedName>
    <definedName name="Surface_Area_4">Inputs!$D$19</definedName>
    <definedName name="Surface_Area_5">Inputs!$D$20</definedName>
    <definedName name="Surface_Area_6">Inputs!$D$21</definedName>
    <definedName name="Surface_Area_7">Inputs!$D$22</definedName>
    <definedName name="Surface_Area_8">Inputs!$D$23</definedName>
    <definedName name="Surface_Area_9">Inputs!$D$24</definedName>
    <definedName name="Surface_Description">Inputs!$B$16:$C$35</definedName>
    <definedName name="Sα_125Hz">Calculations!$K$9:$K$28</definedName>
    <definedName name="Sα_1kHz">Calculations!$N$9:$N$28</definedName>
    <definedName name="Sα_250Hz">Calculations!$L$9:$L$28</definedName>
    <definedName name="Sα_2kHz">Calculations!$O$9:$O$28</definedName>
    <definedName name="Sα_4kHz">Calculations!$P$9:$P$28</definedName>
    <definedName name="Sα_500Hz">Calculations!$M$9:$M$28</definedName>
    <definedName name="T60_Arau">Calculations!$D$86:$I$86</definedName>
    <definedName name="T60_Avg_Sabine">Calculations!#REF!</definedName>
    <definedName name="T60_Eyring">Calculations!$D$52:$I$52</definedName>
    <definedName name="T60_Millington">Calculations!$D$118:$I$118</definedName>
    <definedName name="T60_Neubauer">Calculations!$D$75:$I$75</definedName>
    <definedName name="T60_Sabine">Calculations!$D$40:$I$40</definedName>
    <definedName name="Total_Surface_Area">Inputs!$D$40</definedName>
    <definedName name="Total_Volume">Inputs!$E$12</definedName>
    <definedName name="X_Surface_Area">Inputs!$D$37</definedName>
    <definedName name="x_α_Bar">Calculations!$D$47:$I$47</definedName>
    <definedName name="x_α_Bar_125Hz">Calculations!$D$47</definedName>
    <definedName name="x_α_Bar_1kHz">Calculations!$G$47</definedName>
    <definedName name="x_α_Bar_250Hz">Calculations!$E$47</definedName>
    <definedName name="x_α_Bar_2kHz">Calculations!$H$47</definedName>
    <definedName name="x_α_Bar_4kHz">Calculations!$I$47</definedName>
    <definedName name="x_α_Bar_500Hz">Calculations!$F$47</definedName>
    <definedName name="Y_Surface_Area">Inputs!$D$38</definedName>
    <definedName name="y_α_Bar">Calculations!$D$48:$I$48</definedName>
    <definedName name="y_α_Bar_125Hz">Calculations!$D$48</definedName>
    <definedName name="y_α_Bar_1kHz">Calculations!$G$48</definedName>
    <definedName name="y_α_Bar_250Hz">Calculations!$E$48</definedName>
    <definedName name="y_α_Bar_2kHz">Calculations!$H$48</definedName>
    <definedName name="y_α_Bar_4kHz">Calculations!$I$48</definedName>
    <definedName name="y_α_Bar_500Hz">Calculations!$F$48</definedName>
    <definedName name="Z_Surface_Area">Inputs!$D$39</definedName>
    <definedName name="z_α_Bar">Calculations!$D$49:$I$49</definedName>
    <definedName name="z_α_Bar_125Hz">Calculations!$D$49</definedName>
    <definedName name="z_α_Bar_1kHz">Calculations!$G$49</definedName>
    <definedName name="z_α_Bar_250Hz">Calculations!$E$49</definedName>
    <definedName name="z_α_Bar_2kHz">Calculations!$H$49</definedName>
    <definedName name="z_α_Bar_4kHz">Calculations!$I$49</definedName>
    <definedName name="z_α_Bar_500Hz">Calculations!$F$49</definedName>
    <definedName name="α_Bar">Calculations!$D$46:$I$46</definedName>
    <definedName name="α_Bar_125Hz">Calculations!$D$46</definedName>
    <definedName name="α_Bar_1kHz">Calculations!$G$46</definedName>
    <definedName name="α_Bar_250Hz">Calculations!$E$46</definedName>
    <definedName name="α_Bar_2kHz">Calculations!$H$46</definedName>
    <definedName name="α_Bar_4kHz">Calculations!$I$46</definedName>
    <definedName name="α_Bar_500Hz">Calculations!$F$46</definedName>
    <definedName name="α_Star_X_Y_125Hz">Calculations!$D$71</definedName>
    <definedName name="α_Star_X_Y_1kHz">Calculations!$G$71</definedName>
    <definedName name="α_Star_X_Y_250Hz">Calculations!$E$71</definedName>
    <definedName name="α_Star_X_Y_2kHz">Calculations!$H$71</definedName>
    <definedName name="α_Star_X_Y_4kHz">Calculations!$I$71</definedName>
    <definedName name="α_Star_X_Y_500Hz">Calculations!$F$71</definedName>
    <definedName name="α_Star_Z_125Hz">Calculations!$D$72</definedName>
    <definedName name="α_Star_Z_1kHz">Calculations!$G$72</definedName>
    <definedName name="α_Star_Z_250Hz">Calculations!$E$72</definedName>
    <definedName name="α_Star_Z_2kHz">Calculations!$H$72</definedName>
    <definedName name="α_Star_Z_4kHz">Calculations!$I$72</definedName>
    <definedName name="α_Star_Z_500Hz">Calculations!$F$72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4" l="1"/>
  <c r="I28" i="4"/>
  <c r="H28" i="4"/>
  <c r="G28" i="4"/>
  <c r="F28" i="4"/>
  <c r="E28" i="4"/>
  <c r="D28" i="4"/>
  <c r="I118" i="3"/>
  <c r="H118" i="3"/>
  <c r="G118" i="3"/>
  <c r="F118" i="3"/>
  <c r="E118" i="3"/>
  <c r="D118" i="3"/>
  <c r="I115" i="3"/>
  <c r="H115" i="3"/>
  <c r="G115" i="3"/>
  <c r="F115" i="3"/>
  <c r="E115" i="3"/>
  <c r="D115" i="3"/>
  <c r="K112" i="3"/>
  <c r="J112" i="3"/>
  <c r="I112" i="3"/>
  <c r="H112" i="3"/>
  <c r="G112" i="3"/>
  <c r="K111" i="3"/>
  <c r="J111" i="3"/>
  <c r="I111" i="3"/>
  <c r="H111" i="3"/>
  <c r="G111" i="3"/>
  <c r="K110" i="3"/>
  <c r="J110" i="3"/>
  <c r="I110" i="3"/>
  <c r="H110" i="3"/>
  <c r="G110" i="3"/>
  <c r="K109" i="3"/>
  <c r="J109" i="3"/>
  <c r="I109" i="3"/>
  <c r="H109" i="3"/>
  <c r="G109" i="3"/>
  <c r="K108" i="3"/>
  <c r="J108" i="3"/>
  <c r="I108" i="3"/>
  <c r="H108" i="3"/>
  <c r="G108" i="3"/>
  <c r="K107" i="3"/>
  <c r="J107" i="3"/>
  <c r="I107" i="3"/>
  <c r="H107" i="3"/>
  <c r="G107" i="3"/>
  <c r="K106" i="3"/>
  <c r="J106" i="3"/>
  <c r="I106" i="3"/>
  <c r="H106" i="3"/>
  <c r="G106" i="3"/>
  <c r="K105" i="3"/>
  <c r="J105" i="3"/>
  <c r="I105" i="3"/>
  <c r="H105" i="3"/>
  <c r="G105" i="3"/>
  <c r="K104" i="3"/>
  <c r="J104" i="3"/>
  <c r="I104" i="3"/>
  <c r="H104" i="3"/>
  <c r="G104" i="3"/>
  <c r="K103" i="3"/>
  <c r="J103" i="3"/>
  <c r="I103" i="3"/>
  <c r="H103" i="3"/>
  <c r="G103" i="3"/>
  <c r="K102" i="3"/>
  <c r="J102" i="3"/>
  <c r="I102" i="3"/>
  <c r="H102" i="3"/>
  <c r="G102" i="3"/>
  <c r="K101" i="3"/>
  <c r="J101" i="3"/>
  <c r="I101" i="3"/>
  <c r="H101" i="3"/>
  <c r="G101" i="3"/>
  <c r="K100" i="3"/>
  <c r="J100" i="3"/>
  <c r="I100" i="3"/>
  <c r="H100" i="3"/>
  <c r="G100" i="3"/>
  <c r="K99" i="3"/>
  <c r="J99" i="3"/>
  <c r="I99" i="3"/>
  <c r="H99" i="3"/>
  <c r="G99" i="3"/>
  <c r="K98" i="3"/>
  <c r="J98" i="3"/>
  <c r="I98" i="3"/>
  <c r="H98" i="3"/>
  <c r="G98" i="3"/>
  <c r="K97" i="3"/>
  <c r="J97" i="3"/>
  <c r="I97" i="3"/>
  <c r="H97" i="3"/>
  <c r="G97" i="3"/>
  <c r="K96" i="3"/>
  <c r="J96" i="3"/>
  <c r="I96" i="3"/>
  <c r="H96" i="3"/>
  <c r="G96" i="3"/>
  <c r="K95" i="3"/>
  <c r="J95" i="3"/>
  <c r="I95" i="3"/>
  <c r="H95" i="3"/>
  <c r="G95" i="3"/>
  <c r="K94" i="3"/>
  <c r="J94" i="3"/>
  <c r="I94" i="3"/>
  <c r="H94" i="3"/>
  <c r="G94" i="3"/>
  <c r="K93" i="3"/>
  <c r="J93" i="3"/>
  <c r="I93" i="3"/>
  <c r="H93" i="3"/>
  <c r="G9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E20" i="3"/>
  <c r="G28" i="3"/>
  <c r="J118" i="3" l="1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93" i="3"/>
  <c r="D17" i="1" l="1"/>
  <c r="D16" i="1"/>
  <c r="D39" i="1" l="1"/>
  <c r="D38" i="1"/>
  <c r="D37" i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J28" i="3"/>
  <c r="I28" i="3"/>
  <c r="H28" i="3"/>
  <c r="F28" i="3"/>
  <c r="E28" i="3"/>
  <c r="J27" i="3"/>
  <c r="I27" i="3"/>
  <c r="H27" i="3"/>
  <c r="G27" i="3"/>
  <c r="F27" i="3"/>
  <c r="E27" i="3"/>
  <c r="J26" i="3"/>
  <c r="I26" i="3"/>
  <c r="H26" i="3"/>
  <c r="G26" i="3"/>
  <c r="F26" i="3"/>
  <c r="E26" i="3"/>
  <c r="J25" i="3"/>
  <c r="I25" i="3"/>
  <c r="H25" i="3"/>
  <c r="G25" i="3"/>
  <c r="F25" i="3"/>
  <c r="E25" i="3"/>
  <c r="J24" i="3"/>
  <c r="I24" i="3"/>
  <c r="H24" i="3"/>
  <c r="G24" i="3"/>
  <c r="F24" i="3"/>
  <c r="E24" i="3"/>
  <c r="J23" i="3"/>
  <c r="I23" i="3"/>
  <c r="H23" i="3"/>
  <c r="G23" i="3"/>
  <c r="F23" i="3"/>
  <c r="E23" i="3"/>
  <c r="J22" i="3"/>
  <c r="I22" i="3"/>
  <c r="H22" i="3"/>
  <c r="G22" i="3"/>
  <c r="F22" i="3"/>
  <c r="E22" i="3"/>
  <c r="J21" i="3"/>
  <c r="I21" i="3"/>
  <c r="H21" i="3"/>
  <c r="G21" i="3"/>
  <c r="F21" i="3"/>
  <c r="E21" i="3"/>
  <c r="J20" i="3"/>
  <c r="I20" i="3"/>
  <c r="H20" i="3"/>
  <c r="G20" i="3"/>
  <c r="F20" i="3"/>
  <c r="J19" i="3"/>
  <c r="I19" i="3"/>
  <c r="H19" i="3"/>
  <c r="G19" i="3"/>
  <c r="F19" i="3"/>
  <c r="E19" i="3"/>
  <c r="J18" i="3"/>
  <c r="I18" i="3"/>
  <c r="H18" i="3"/>
  <c r="G18" i="3"/>
  <c r="F18" i="3"/>
  <c r="E18" i="3"/>
  <c r="J17" i="3"/>
  <c r="I17" i="3"/>
  <c r="H17" i="3"/>
  <c r="G17" i="3"/>
  <c r="F17" i="3"/>
  <c r="E17" i="3"/>
  <c r="J16" i="3"/>
  <c r="I16" i="3"/>
  <c r="H16" i="3"/>
  <c r="G16" i="3"/>
  <c r="F16" i="3"/>
  <c r="E16" i="3"/>
  <c r="J15" i="3"/>
  <c r="I15" i="3"/>
  <c r="H15" i="3"/>
  <c r="G15" i="3"/>
  <c r="F15" i="3"/>
  <c r="E15" i="3"/>
  <c r="J14" i="3"/>
  <c r="I14" i="3"/>
  <c r="H14" i="3"/>
  <c r="G14" i="3"/>
  <c r="F14" i="3"/>
  <c r="E14" i="3"/>
  <c r="J13" i="3"/>
  <c r="I13" i="3"/>
  <c r="H13" i="3"/>
  <c r="G13" i="3"/>
  <c r="F13" i="3"/>
  <c r="E13" i="3"/>
  <c r="J12" i="3"/>
  <c r="I12" i="3"/>
  <c r="H12" i="3"/>
  <c r="G12" i="3"/>
  <c r="F12" i="3"/>
  <c r="E12" i="3"/>
  <c r="J11" i="3"/>
  <c r="I11" i="3"/>
  <c r="H11" i="3"/>
  <c r="G11" i="3"/>
  <c r="F11" i="3"/>
  <c r="E11" i="3"/>
  <c r="J10" i="3"/>
  <c r="I10" i="3"/>
  <c r="H10" i="3"/>
  <c r="G10" i="3"/>
  <c r="F10" i="3"/>
  <c r="E10" i="3"/>
  <c r="J9" i="3"/>
  <c r="I9" i="3"/>
  <c r="H9" i="3"/>
  <c r="G9" i="3"/>
  <c r="F9" i="3"/>
  <c r="E9" i="3"/>
  <c r="B19" i="3" l="1"/>
  <c r="B20" i="3"/>
  <c r="B21" i="3"/>
  <c r="B22" i="3"/>
  <c r="B23" i="3"/>
  <c r="B24" i="3"/>
  <c r="B25" i="3"/>
  <c r="B26" i="3"/>
  <c r="B27" i="3"/>
  <c r="B28" i="3"/>
  <c r="I26" i="1"/>
  <c r="I27" i="1"/>
  <c r="I28" i="1"/>
  <c r="I29" i="1"/>
  <c r="I30" i="1"/>
  <c r="I31" i="1"/>
  <c r="I32" i="1"/>
  <c r="I33" i="1"/>
  <c r="I34" i="1"/>
  <c r="I35" i="1"/>
  <c r="B10" i="3"/>
  <c r="B11" i="3"/>
  <c r="B12" i="3"/>
  <c r="B13" i="3"/>
  <c r="B14" i="3"/>
  <c r="B15" i="3"/>
  <c r="B16" i="3"/>
  <c r="B17" i="3"/>
  <c r="B18" i="3"/>
  <c r="B9" i="3"/>
  <c r="D40" i="1" l="1"/>
  <c r="I47" i="3" l="1"/>
  <c r="H47" i="3"/>
  <c r="G49" i="3"/>
  <c r="G83" i="3" s="1"/>
  <c r="I17" i="1"/>
  <c r="I18" i="1"/>
  <c r="I19" i="1"/>
  <c r="I20" i="1"/>
  <c r="I21" i="1"/>
  <c r="I22" i="1"/>
  <c r="I23" i="1"/>
  <c r="I24" i="1"/>
  <c r="I25" i="1"/>
  <c r="I16" i="1"/>
  <c r="E12" i="1"/>
  <c r="H81" i="3" l="1"/>
  <c r="I81" i="3"/>
  <c r="F49" i="3"/>
  <c r="F83" i="3" s="1"/>
  <c r="E47" i="3"/>
  <c r="H49" i="3"/>
  <c r="H83" i="3" s="1"/>
  <c r="D48" i="3"/>
  <c r="D82" i="3" s="1"/>
  <c r="E49" i="3"/>
  <c r="E83" i="3" s="1"/>
  <c r="F47" i="3"/>
  <c r="I49" i="3"/>
  <c r="I83" i="3" s="1"/>
  <c r="G47" i="3"/>
  <c r="D49" i="3"/>
  <c r="D83" i="3" s="1"/>
  <c r="G48" i="3"/>
  <c r="H48" i="3"/>
  <c r="I48" i="3"/>
  <c r="E48" i="3"/>
  <c r="F48" i="3"/>
  <c r="F81" i="3" l="1"/>
  <c r="I60" i="3"/>
  <c r="I82" i="3"/>
  <c r="I86" i="3" s="1"/>
  <c r="E81" i="3"/>
  <c r="H60" i="3"/>
  <c r="H82" i="3"/>
  <c r="H24" i="4" s="1"/>
  <c r="G81" i="3"/>
  <c r="F60" i="3"/>
  <c r="F82" i="3"/>
  <c r="E60" i="3"/>
  <c r="E82" i="3"/>
  <c r="G60" i="3"/>
  <c r="G82" i="3"/>
  <c r="D47" i="3"/>
  <c r="D14" i="4" s="1"/>
  <c r="F15" i="4"/>
  <c r="G61" i="3"/>
  <c r="G68" i="3"/>
  <c r="I61" i="3"/>
  <c r="I68" i="3"/>
  <c r="F61" i="3"/>
  <c r="F68" i="3"/>
  <c r="E61" i="3"/>
  <c r="E68" i="3"/>
  <c r="H61" i="3"/>
  <c r="H68" i="3"/>
  <c r="E58" i="3"/>
  <c r="I59" i="3"/>
  <c r="H59" i="3"/>
  <c r="F13" i="4"/>
  <c r="G16" i="4"/>
  <c r="H16" i="4"/>
  <c r="F16" i="4"/>
  <c r="E15" i="4"/>
  <c r="I15" i="4"/>
  <c r="E16" i="4"/>
  <c r="G15" i="4"/>
  <c r="H15" i="4"/>
  <c r="I16" i="4"/>
  <c r="D68" i="3"/>
  <c r="E34" i="3"/>
  <c r="I34" i="3"/>
  <c r="H34" i="3"/>
  <c r="G34" i="3"/>
  <c r="F34" i="3"/>
  <c r="D34" i="3"/>
  <c r="D70" i="3" l="1"/>
  <c r="D59" i="3"/>
  <c r="E86" i="3"/>
  <c r="E24" i="4"/>
  <c r="D81" i="3"/>
  <c r="I24" i="4"/>
  <c r="H86" i="3"/>
  <c r="G24" i="4"/>
  <c r="G86" i="3"/>
  <c r="F86" i="3"/>
  <c r="F24" i="4"/>
  <c r="H58" i="3"/>
  <c r="I58" i="3"/>
  <c r="D67" i="3"/>
  <c r="E14" i="4"/>
  <c r="E69" i="3"/>
  <c r="E67" i="3"/>
  <c r="E70" i="3"/>
  <c r="E59" i="3"/>
  <c r="F14" i="4"/>
  <c r="F67" i="3"/>
  <c r="F70" i="3"/>
  <c r="F69" i="3"/>
  <c r="D69" i="3"/>
  <c r="G14" i="4"/>
  <c r="G69" i="3"/>
  <c r="G67" i="3"/>
  <c r="G70" i="3"/>
  <c r="I14" i="4"/>
  <c r="I70" i="3"/>
  <c r="I69" i="3"/>
  <c r="I67" i="3"/>
  <c r="E13" i="4"/>
  <c r="H13" i="4"/>
  <c r="H67" i="3"/>
  <c r="H70" i="3"/>
  <c r="H69" i="3"/>
  <c r="I13" i="4"/>
  <c r="G58" i="3"/>
  <c r="G13" i="4"/>
  <c r="G59" i="3"/>
  <c r="F58" i="3"/>
  <c r="H14" i="4"/>
  <c r="F59" i="3"/>
  <c r="G5" i="4"/>
  <c r="E5" i="4"/>
  <c r="H5" i="4"/>
  <c r="I5" i="4"/>
  <c r="D5" i="4"/>
  <c r="F5" i="4"/>
  <c r="D60" i="3"/>
  <c r="D15" i="4"/>
  <c r="D61" i="3"/>
  <c r="D16" i="4"/>
  <c r="D13" i="4"/>
  <c r="D58" i="3"/>
  <c r="F46" i="3"/>
  <c r="F9" i="4" s="1"/>
  <c r="F40" i="3"/>
  <c r="G46" i="3"/>
  <c r="G9" i="4" s="1"/>
  <c r="G40" i="3"/>
  <c r="H46" i="3"/>
  <c r="H9" i="4" s="1"/>
  <c r="H40" i="3"/>
  <c r="E46" i="3"/>
  <c r="E9" i="4" s="1"/>
  <c r="E40" i="3"/>
  <c r="D46" i="3"/>
  <c r="D9" i="4" s="1"/>
  <c r="D40" i="3"/>
  <c r="I46" i="3"/>
  <c r="I9" i="4" s="1"/>
  <c r="I40" i="3"/>
  <c r="D86" i="3" l="1"/>
  <c r="D24" i="4"/>
  <c r="J59" i="3"/>
  <c r="I71" i="3"/>
  <c r="I72" i="3"/>
  <c r="F72" i="3"/>
  <c r="F71" i="3"/>
  <c r="G71" i="3"/>
  <c r="G72" i="3"/>
  <c r="J14" i="4"/>
  <c r="D72" i="3"/>
  <c r="D71" i="3"/>
  <c r="E71" i="3"/>
  <c r="E72" i="3"/>
  <c r="H72" i="3"/>
  <c r="H71" i="3"/>
  <c r="J5" i="4"/>
  <c r="J60" i="3"/>
  <c r="J15" i="4"/>
  <c r="J58" i="3"/>
  <c r="J13" i="4"/>
  <c r="J61" i="3"/>
  <c r="J16" i="4"/>
  <c r="J40" i="3"/>
  <c r="H52" i="3"/>
  <c r="G52" i="3"/>
  <c r="I52" i="3"/>
  <c r="D52" i="3"/>
  <c r="E52" i="3"/>
  <c r="F52" i="3"/>
  <c r="J24" i="4" l="1"/>
  <c r="J86" i="3"/>
  <c r="H75" i="3"/>
  <c r="H20" i="4"/>
  <c r="G20" i="4"/>
  <c r="G75" i="3"/>
  <c r="F20" i="4"/>
  <c r="F75" i="3"/>
  <c r="E75" i="3"/>
  <c r="E20" i="4"/>
  <c r="D75" i="3"/>
  <c r="D20" i="4"/>
  <c r="I20" i="4"/>
  <c r="I75" i="3"/>
  <c r="J9" i="4"/>
  <c r="J52" i="3"/>
  <c r="J20" i="4" l="1"/>
  <c r="J75" i="3"/>
</calcChain>
</file>

<file path=xl/sharedStrings.xml><?xml version="1.0" encoding="utf-8"?>
<sst xmlns="http://schemas.openxmlformats.org/spreadsheetml/2006/main" count="1133" uniqueCount="769">
  <si>
    <t>Code</t>
  </si>
  <si>
    <t>Description</t>
  </si>
  <si>
    <t>B12</t>
  </si>
  <si>
    <t>C11</t>
  </si>
  <si>
    <t>C23</t>
  </si>
  <si>
    <t>V56</t>
  </si>
  <si>
    <t>1k</t>
  </si>
  <si>
    <t>2k</t>
  </si>
  <si>
    <t>4k</t>
  </si>
  <si>
    <t>NRC</t>
  </si>
  <si>
    <t>Source</t>
  </si>
  <si>
    <t>B065</t>
  </si>
  <si>
    <t>A002</t>
  </si>
  <si>
    <t>A01</t>
  </si>
  <si>
    <t>B110</t>
  </si>
  <si>
    <t>B111</t>
  </si>
  <si>
    <t>B13</t>
  </si>
  <si>
    <t>B14</t>
  </si>
  <si>
    <t>B15</t>
  </si>
  <si>
    <t>B001</t>
  </si>
  <si>
    <t>B002</t>
  </si>
  <si>
    <t>B01</t>
  </si>
  <si>
    <t>B02</t>
  </si>
  <si>
    <t>B03</t>
  </si>
  <si>
    <t>B04</t>
  </si>
  <si>
    <t>B05</t>
  </si>
  <si>
    <t>B055</t>
  </si>
  <si>
    <t>B06</t>
  </si>
  <si>
    <t>B07</t>
  </si>
  <si>
    <t>B08</t>
  </si>
  <si>
    <t>B09</t>
  </si>
  <si>
    <t>B10</t>
  </si>
  <si>
    <t>B17</t>
  </si>
  <si>
    <t>B20</t>
  </si>
  <si>
    <t>B21</t>
  </si>
  <si>
    <t>C001</t>
  </si>
  <si>
    <t>C002</t>
  </si>
  <si>
    <t>C01</t>
  </si>
  <si>
    <t>C02</t>
  </si>
  <si>
    <t>C03</t>
  </si>
  <si>
    <t>C04</t>
  </si>
  <si>
    <t>C12</t>
  </si>
  <si>
    <t>C13</t>
  </si>
  <si>
    <t>C21</t>
  </si>
  <si>
    <t>C22</t>
  </si>
  <si>
    <t>V001</t>
  </si>
  <si>
    <t>V002</t>
  </si>
  <si>
    <t>V50</t>
  </si>
  <si>
    <t>V51</t>
  </si>
  <si>
    <t>V52</t>
  </si>
  <si>
    <t>V53</t>
  </si>
  <si>
    <t>V54</t>
  </si>
  <si>
    <t>V55</t>
  </si>
  <si>
    <t>V57</t>
  </si>
  <si>
    <t>V58</t>
  </si>
  <si>
    <t>V59</t>
  </si>
  <si>
    <t>V591</t>
  </si>
  <si>
    <t>V592</t>
  </si>
  <si>
    <t>V593</t>
  </si>
  <si>
    <t>V594</t>
  </si>
  <si>
    <t>V595</t>
  </si>
  <si>
    <t>V596</t>
  </si>
  <si>
    <t>V597</t>
  </si>
  <si>
    <t>V05</t>
  </si>
  <si>
    <t>V06</t>
  </si>
  <si>
    <t>V08</t>
  </si>
  <si>
    <t>V12</t>
  </si>
  <si>
    <t>V13</t>
  </si>
  <si>
    <t>V30</t>
  </si>
  <si>
    <t>V31</t>
  </si>
  <si>
    <t>V32</t>
  </si>
  <si>
    <t>V33</t>
  </si>
  <si>
    <t>V34</t>
  </si>
  <si>
    <t>V35</t>
  </si>
  <si>
    <t>V37</t>
  </si>
  <si>
    <t>V38</t>
  </si>
  <si>
    <t>V39</t>
  </si>
  <si>
    <t>V60</t>
  </si>
  <si>
    <t>V600</t>
  </si>
  <si>
    <t>V61</t>
  </si>
  <si>
    <t>V62</t>
  </si>
  <si>
    <t>V63</t>
  </si>
  <si>
    <t>V640</t>
  </si>
  <si>
    <t>V641</t>
  </si>
  <si>
    <t>V642</t>
  </si>
  <si>
    <t>V643</t>
  </si>
  <si>
    <t>V644</t>
  </si>
  <si>
    <t>V650</t>
  </si>
  <si>
    <t>V66</t>
  </si>
  <si>
    <t>V67</t>
  </si>
  <si>
    <t>V68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</si>
  <si>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</si>
  <si>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</si>
  <si>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</si>
  <si>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</si>
  <si>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</si>
  <si>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</si>
  <si>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</si>
  <si>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</si>
  <si>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</si>
  <si>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</si>
  <si>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V791</t>
  </si>
  <si>
    <t>V792</t>
  </si>
  <si>
    <t>V80</t>
  </si>
  <si>
    <t>V81</t>
  </si>
  <si>
    <t>V82</t>
  </si>
  <si>
    <t>V83</t>
  </si>
  <si>
    <t>V84</t>
  </si>
  <si>
    <t>V85</t>
  </si>
  <si>
    <t>V851</t>
  </si>
  <si>
    <t>V852</t>
  </si>
  <si>
    <t>V853</t>
  </si>
  <si>
    <t>V854</t>
  </si>
  <si>
    <t>V855</t>
  </si>
  <si>
    <t>V856</t>
  </si>
  <si>
    <t>V857</t>
  </si>
  <si>
    <t>V858</t>
  </si>
  <si>
    <t>V859</t>
  </si>
  <si>
    <t>V86</t>
  </si>
  <si>
    <t>V89</t>
  </si>
  <si>
    <t>V91</t>
  </si>
  <si>
    <t>V92</t>
  </si>
  <si>
    <t>V93</t>
  </si>
  <si>
    <t>V94</t>
  </si>
  <si>
    <t>V97</t>
  </si>
  <si>
    <t>V98</t>
  </si>
  <si>
    <t>V99</t>
  </si>
  <si>
    <t>V990</t>
  </si>
  <si>
    <t>V991</t>
  </si>
  <si>
    <t>V992</t>
  </si>
  <si>
    <t>V993</t>
  </si>
  <si>
    <t>VV00</t>
  </si>
  <si>
    <t>VV04</t>
  </si>
  <si>
    <t>VV05</t>
  </si>
  <si>
    <t>VV06</t>
  </si>
  <si>
    <t>VV09</t>
  </si>
  <si>
    <t>VV10</t>
  </si>
  <si>
    <t>X32</t>
  </si>
  <si>
    <t>X33</t>
  </si>
  <si>
    <t>X34</t>
  </si>
  <si>
    <t>X37</t>
  </si>
  <si>
    <t>X38</t>
  </si>
  <si>
    <t>X39</t>
  </si>
  <si>
    <t>V860</t>
  </si>
  <si>
    <t>V87</t>
  </si>
  <si>
    <t>V88</t>
  </si>
  <si>
    <t>D001</t>
  </si>
  <si>
    <t>D002</t>
  </si>
  <si>
    <t>D01</t>
  </si>
  <si>
    <t>D02</t>
  </si>
  <si>
    <t>D03</t>
  </si>
  <si>
    <t>D04</t>
  </si>
  <si>
    <t>D05</t>
  </si>
  <si>
    <t>F001</t>
  </si>
  <si>
    <t>F002</t>
  </si>
  <si>
    <t>F01</t>
  </si>
  <si>
    <t>F02</t>
  </si>
  <si>
    <t>F03</t>
  </si>
  <si>
    <t>F06</t>
  </si>
  <si>
    <t>F07</t>
  </si>
  <si>
    <t>F08</t>
  </si>
  <si>
    <t>G001</t>
  </si>
  <si>
    <t>G002</t>
  </si>
  <si>
    <t>G01</t>
  </si>
  <si>
    <t>G02</t>
  </si>
  <si>
    <t>G03</t>
  </si>
  <si>
    <t>M001</t>
  </si>
  <si>
    <t>M002</t>
  </si>
  <si>
    <t>M01</t>
  </si>
  <si>
    <t>M02</t>
  </si>
  <si>
    <t>M03</t>
  </si>
  <si>
    <t>M04</t>
  </si>
  <si>
    <t>M05</t>
  </si>
  <si>
    <t>M06</t>
  </si>
  <si>
    <t>P01</t>
  </si>
  <si>
    <t>P03</t>
  </si>
  <si>
    <t>P04</t>
  </si>
  <si>
    <t>P06</t>
  </si>
  <si>
    <t>MC00</t>
  </si>
  <si>
    <t>MC01</t>
  </si>
  <si>
    <t>MC02</t>
  </si>
  <si>
    <t>MC03</t>
  </si>
  <si>
    <t>MS00</t>
  </si>
  <si>
    <t>MS01</t>
  </si>
  <si>
    <t>R000</t>
  </si>
  <si>
    <t>R001</t>
  </si>
  <si>
    <t>S691</t>
  </si>
  <si>
    <t>S692</t>
  </si>
  <si>
    <t>S70</t>
  </si>
  <si>
    <t>S71</t>
  </si>
  <si>
    <t>S72</t>
  </si>
  <si>
    <t>W000</t>
  </si>
  <si>
    <t>W001</t>
  </si>
  <si>
    <t>W03</t>
  </si>
  <si>
    <t>W04</t>
  </si>
  <si>
    <t>W05</t>
  </si>
  <si>
    <t>W07</t>
  </si>
  <si>
    <t>W08</t>
  </si>
  <si>
    <t>W10</t>
  </si>
  <si>
    <t>W11</t>
  </si>
  <si>
    <t>W12</t>
  </si>
  <si>
    <t>W13</t>
  </si>
  <si>
    <t>W14</t>
  </si>
  <si>
    <t>W15</t>
  </si>
  <si>
    <t>X001</t>
  </si>
  <si>
    <t>X003</t>
  </si>
  <si>
    <t>X01</t>
  </si>
  <si>
    <t>X02</t>
  </si>
  <si>
    <t>X03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</si>
  <si>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</si>
  <si>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</si>
  <si>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</si>
  <si>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</si>
  <si>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</si>
  <si>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</si>
  <si>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</si>
  <si>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</si>
  <si>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</si>
  <si>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X24</t>
  </si>
  <si>
    <t>X390</t>
  </si>
  <si>
    <t>X391</t>
  </si>
  <si>
    <t>X40</t>
  </si>
  <si>
    <t>X41</t>
  </si>
  <si>
    <t>X42</t>
  </si>
  <si>
    <t>X43</t>
  </si>
  <si>
    <t>X44</t>
  </si>
  <si>
    <t>X45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</si>
  <si>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</si>
  <si>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</si>
  <si>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</si>
  <si>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</si>
  <si>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</si>
  <si>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</si>
  <si>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</si>
  <si>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</si>
  <si>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</si>
  <si>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XC00</t>
  </si>
  <si>
    <t>XC01</t>
  </si>
  <si>
    <t>XC02</t>
  </si>
  <si>
    <t>XC03</t>
  </si>
  <si>
    <t>XC12</t>
  </si>
  <si>
    <t>XC13</t>
  </si>
  <si>
    <t>XW00</t>
  </si>
  <si>
    <t>XW01</t>
  </si>
  <si>
    <t>XW02</t>
  </si>
  <si>
    <t>XW03</t>
  </si>
  <si>
    <t>XW04</t>
  </si>
  <si>
    <t>XW05</t>
  </si>
  <si>
    <t>XW06</t>
  </si>
  <si>
    <t>XW07</t>
  </si>
  <si>
    <t>XW08</t>
  </si>
  <si>
    <t>XW09</t>
  </si>
  <si>
    <t>XW10</t>
  </si>
  <si>
    <t>XW11</t>
  </si>
  <si>
    <t>XW12</t>
  </si>
  <si>
    <t>XW14</t>
  </si>
  <si>
    <t>XW16</t>
  </si>
  <si>
    <t>XW17</t>
  </si>
  <si>
    <t>XW18</t>
  </si>
  <si>
    <t>XW19</t>
  </si>
  <si>
    <t>XW20</t>
  </si>
  <si>
    <t>XW21</t>
  </si>
  <si>
    <t>XW22</t>
  </si>
  <si>
    <t>XW23</t>
  </si>
  <si>
    <t>XW24</t>
  </si>
  <si>
    <t>XW25</t>
  </si>
  <si>
    <t>XW26</t>
  </si>
  <si>
    <t>XW27</t>
  </si>
  <si>
    <t>XW28</t>
  </si>
  <si>
    <t>XW29</t>
  </si>
  <si>
    <t>XW30</t>
  </si>
  <si>
    <t>XW31</t>
  </si>
  <si>
    <t>XW32</t>
  </si>
  <si>
    <t>XW33</t>
  </si>
  <si>
    <t>XW34</t>
  </si>
  <si>
    <t>XW35</t>
  </si>
  <si>
    <t>XW36</t>
  </si>
  <si>
    <t>XW37</t>
  </si>
  <si>
    <t>XW38</t>
  </si>
  <si>
    <t>XW39</t>
  </si>
  <si>
    <t>XW40</t>
  </si>
  <si>
    <t>XW41</t>
  </si>
  <si>
    <t>S00</t>
  </si>
  <si>
    <t>S001</t>
  </si>
  <si>
    <t>S01</t>
  </si>
  <si>
    <t>S02</t>
  </si>
  <si>
    <t>S03</t>
  </si>
  <si>
    <t>S04</t>
  </si>
  <si>
    <t>S040</t>
  </si>
  <si>
    <t>S14</t>
  </si>
  <si>
    <t>S21</t>
  </si>
  <si>
    <t>S22</t>
  </si>
  <si>
    <t>S30</t>
  </si>
  <si>
    <t>S64</t>
  </si>
  <si>
    <t>S640</t>
  </si>
  <si>
    <t>XC04</t>
  </si>
  <si>
    <t>XC05</t>
  </si>
  <si>
    <t>XC06</t>
  </si>
  <si>
    <t>XC07</t>
  </si>
  <si>
    <t>XC08</t>
  </si>
  <si>
    <t>XC09</t>
  </si>
  <si>
    <t>T11</t>
  </si>
  <si>
    <t>T12</t>
  </si>
  <si>
    <t>T19</t>
  </si>
  <si>
    <t>T20</t>
  </si>
  <si>
    <t>T22</t>
  </si>
  <si>
    <t>T23</t>
  </si>
  <si>
    <t>T25</t>
  </si>
  <si>
    <t>P291</t>
  </si>
  <si>
    <t>P292</t>
  </si>
  <si>
    <t>P30</t>
  </si>
  <si>
    <t>P31</t>
  </si>
  <si>
    <t>P32</t>
  </si>
  <si>
    <t>P33</t>
  </si>
  <si>
    <t>P34</t>
  </si>
  <si>
    <t>P35</t>
  </si>
  <si>
    <t>P36</t>
  </si>
  <si>
    <t>P37</t>
  </si>
  <si>
    <t>P50</t>
  </si>
  <si>
    <t>P51</t>
  </si>
  <si>
    <t>P52</t>
  </si>
  <si>
    <t>P53</t>
  </si>
  <si>
    <t>P54</t>
  </si>
  <si>
    <t>T001</t>
  </si>
  <si>
    <t>T002</t>
  </si>
  <si>
    <t>T01</t>
  </si>
  <si>
    <t>T02</t>
  </si>
  <si>
    <t>T03</t>
  </si>
  <si>
    <t>T04</t>
  </si>
  <si>
    <t>T05</t>
  </si>
  <si>
    <t>T06</t>
  </si>
  <si>
    <t>T07</t>
  </si>
  <si>
    <t>T08</t>
  </si>
  <si>
    <t>T10</t>
  </si>
  <si>
    <t>WP00</t>
  </si>
  <si>
    <t>WP01</t>
  </si>
  <si>
    <t>WP02</t>
  </si>
  <si>
    <t>WP03</t>
  </si>
  <si>
    <t>WP04</t>
  </si>
  <si>
    <t>WP05</t>
  </si>
  <si>
    <t>WP06</t>
  </si>
  <si>
    <t>Room Width (m)</t>
  </si>
  <si>
    <t>Room Length (m)</t>
  </si>
  <si>
    <t>Room Height (m)</t>
  </si>
  <si>
    <t>Chairs metal or wood seats (pp)</t>
  </si>
  <si>
    <t>ASA EGAN</t>
  </si>
  <si>
    <t>AIR ABSORPTION</t>
  </si>
  <si>
    <t>50% R.H. per cubic m</t>
  </si>
  <si>
    <t>SRL/EGAN/P&amp;H</t>
  </si>
  <si>
    <t>AUDIENCE-LARGE  ( &gt;1000 )  per m2</t>
  </si>
  <si>
    <t>Audience in upholstered seats (m2)</t>
  </si>
  <si>
    <t>BERANEK</t>
  </si>
  <si>
    <t>Unoccupied upholstered seats (m2)</t>
  </si>
  <si>
    <t>MDA</t>
  </si>
  <si>
    <t>Unoccupied vinyl seats (m2)</t>
  </si>
  <si>
    <t>AUDIENCE-SMALL  ( &lt;1000 )  per person</t>
  </si>
  <si>
    <t>Upholstered seat + Audience (pp)</t>
  </si>
  <si>
    <t>Upholstered seat - Unoccupied (pp)</t>
  </si>
  <si>
    <t>Leatherette Chair +Aud.(Wgtn Townhall) pp</t>
  </si>
  <si>
    <t>ATS</t>
  </si>
  <si>
    <t>Wood padded seat + Audience (pp)</t>
  </si>
  <si>
    <t>Wood padded seat - Unoccupied  (pp)</t>
  </si>
  <si>
    <t>Wooden Pews (padded seat and back)</t>
  </si>
  <si>
    <t>Leatherette Chair -Unocc.(Wgtn T.hall) pp</t>
  </si>
  <si>
    <t>Upholstd seat on carpet + Audience (pp)</t>
  </si>
  <si>
    <t>Upholstd seat on carpet - Unoccupied (pp)</t>
  </si>
  <si>
    <t>People standing pp</t>
  </si>
  <si>
    <t>REYNOLDS</t>
  </si>
  <si>
    <t>Musician &amp; Inst +seat (pp)</t>
  </si>
  <si>
    <t>Meeting room chair-padded ,unoccpd. (pp)</t>
  </si>
  <si>
    <t>KOB</t>
  </si>
  <si>
    <t>Primary school children</t>
  </si>
  <si>
    <t>High School children</t>
  </si>
  <si>
    <t>CARPET (short &lt; 5mm ,Medium = 5mm, thick</t>
  </si>
  <si>
    <t>Short pile on concrete</t>
  </si>
  <si>
    <t>Short pile on closed foam</t>
  </si>
  <si>
    <t>Short pile on open foam</t>
  </si>
  <si>
    <t>15mm thick closed foam backed</t>
  </si>
  <si>
    <t>Med pile on concrete</t>
  </si>
  <si>
    <t>Med pile on closed foam</t>
  </si>
  <si>
    <t>Med pile on open foam</t>
  </si>
  <si>
    <t>Thick pile on concrete(Feltex 39 oz 9mm)</t>
  </si>
  <si>
    <t>Thick pile on closed foam</t>
  </si>
  <si>
    <t>Thick pile on open foam</t>
  </si>
  <si>
    <t>CEILINGS</t>
  </si>
  <si>
    <t>Fibreglass Tiles</t>
  </si>
  <si>
    <t>Ecophon Gedina -25mm 175mm airgap</t>
  </si>
  <si>
    <t>ECOPHON</t>
  </si>
  <si>
    <t>Ecophon Gedina -25mm 30mm airgap</t>
  </si>
  <si>
    <t>Ecophon Focus -20mm 200mm airgap</t>
  </si>
  <si>
    <t>Ecophon Wallpanel  Akutex -40mm edge B</t>
  </si>
  <si>
    <t>Ecophon Hygiene Sealed 20mm 200mm a/g</t>
  </si>
  <si>
    <t>Ecophon Focus Direct</t>
  </si>
  <si>
    <t>Ecophon Super G 40mm, (no a/g)</t>
  </si>
  <si>
    <t>Ecophon Super G 40mm, 200 a/g</t>
  </si>
  <si>
    <t>Ecophon Advantage ods 80mm</t>
  </si>
  <si>
    <t>Ecophon Advantage 15mm thick 200mm ods</t>
  </si>
  <si>
    <t>Ecophon Sonet 15mm thick 200mm ods</t>
  </si>
  <si>
    <t>Ecophon Europa 12mm thick 200mm ods</t>
  </si>
  <si>
    <t>Ecophon Gedina 25mm thick 200mm ods</t>
  </si>
  <si>
    <t>Ecophon Focus 20mm thick 400mm ods</t>
  </si>
  <si>
    <t>Ecophon Master F-Beta (direct) 40mm</t>
  </si>
  <si>
    <t>Ecophon MasterA-Beta (200mm ods)</t>
  </si>
  <si>
    <t>Monocoustic Timespun 25mm, 400 airgap</t>
  </si>
  <si>
    <t>AHI</t>
  </si>
  <si>
    <t>Monocoustic Timespun 50mm, 400 airgap</t>
  </si>
  <si>
    <t>Monocoustic Tradition 65mm, 400 airgap</t>
  </si>
  <si>
    <t>Monolite 19mm, 48kg/m3 400 airgap</t>
  </si>
  <si>
    <t>Asona Avant 20mm thick 200mm airgap</t>
  </si>
  <si>
    <t>Asona</t>
  </si>
  <si>
    <t>Plaster Tiles</t>
  </si>
  <si>
    <t>Plastercraft Shadowblock 400mm airgap</t>
  </si>
  <si>
    <t>Plastercraft Monotyle paper backing</t>
  </si>
  <si>
    <t>Plastercraft Monotyle plaster backing</t>
  </si>
  <si>
    <t>Stone Tyle 6% perf 20mm f/g 27kg/m3</t>
  </si>
  <si>
    <t>BRZ</t>
  </si>
  <si>
    <t>Ceil-Sound No.3 400 a/g 19mm,38kg/m3 f/g</t>
  </si>
  <si>
    <t>Hawkes Bay Fibrous ASCON Tile</t>
  </si>
  <si>
    <t>Acoustical Materials/Gordon Simmonds Kupe</t>
  </si>
  <si>
    <t>Mineral Fibre</t>
  </si>
  <si>
    <t>Rockfon Plano -300mm airgap</t>
  </si>
  <si>
    <t>ROCKFON</t>
  </si>
  <si>
    <t>Rockfon Nova (=Sonar) 18mm -300mm airgap</t>
  </si>
  <si>
    <t>Rockfon Deko -300mm airgap</t>
  </si>
  <si>
    <t>Eurocoustic Minerval 20mm thick 300mm ods</t>
  </si>
  <si>
    <t>EUR</t>
  </si>
  <si>
    <t>Eurocoustic Quartette 20mm thick 300mm ods</t>
  </si>
  <si>
    <t>Eurocoustic Vega 25mm thick 300mm ods</t>
  </si>
  <si>
    <t>Eurocoustic Acoustichoc 40mm (?ods)</t>
  </si>
  <si>
    <t>Owa mineral fibre tiles (15mm)</t>
  </si>
  <si>
    <t>OWA</t>
  </si>
  <si>
    <t>Owa Harmony (15mm) 200mm airgap</t>
  </si>
  <si>
    <t>Owa plain (unfissured 15mm) 200mm airgap</t>
  </si>
  <si>
    <t>USG Acoustone Fissured 18mm  no airgap</t>
  </si>
  <si>
    <t>USG</t>
  </si>
  <si>
    <t>USG Acoustone Fissured 18mm  400mm a/g</t>
  </si>
  <si>
    <t>USG Auratone Omni Fissured 16mm 405mm a/</t>
  </si>
  <si>
    <t>USG Auratone Pin-Perf II 16mm 400 a/g</t>
  </si>
  <si>
    <t>USG Auratone Nat. Fissured II 16mm 400 a/g</t>
  </si>
  <si>
    <t>USG HH 90 Corona 400mm a/g</t>
  </si>
  <si>
    <t>USG Orion 210/220 400mm a/g</t>
  </si>
  <si>
    <t>USG Acoustone 'Frost' 400mm a/g</t>
  </si>
  <si>
    <t>USG Orion 210 12.5mm 300mm a/g</t>
  </si>
  <si>
    <t>USG Orion 270 19mm, 300mm a/g</t>
  </si>
  <si>
    <t>USG Orion 270 25mm, 300mm a/g</t>
  </si>
  <si>
    <t>Armstrong Travertone Fissured 18mm 400mm ai</t>
  </si>
  <si>
    <t>ARMSTRONG</t>
  </si>
  <si>
    <t>Armstrong Second Look 18mm 400mm airgap</t>
  </si>
  <si>
    <t>Armstrong Designer ceilings Soft Look 18mm 40</t>
  </si>
  <si>
    <t>Armstrong Minatone Fissured 16mm 400mm air</t>
  </si>
  <si>
    <t>Armstrong RH 90 Fissured 400 a/g</t>
  </si>
  <si>
    <t>Armstrong RH 95 Fine Fissured</t>
  </si>
  <si>
    <t>Armstrong RH 95 Texura</t>
  </si>
  <si>
    <t>Armstrong RH 95 Dune</t>
  </si>
  <si>
    <t>Armstrong RH 95 Minatuff</t>
  </si>
  <si>
    <t>Armstrong RH 95 Cortega</t>
  </si>
  <si>
    <t>Armstrong RH Ultima</t>
  </si>
  <si>
    <t>Armstrong RH100 Ceramguard</t>
  </si>
  <si>
    <t>Armstrong RH95 Mylar Clean R</t>
  </si>
  <si>
    <t>RH95 Optima</t>
  </si>
  <si>
    <t>RH95 Shasta</t>
  </si>
  <si>
    <t>Daiken Excel-Tone 16mm 400 a/g</t>
  </si>
  <si>
    <t>DAIKEN</t>
  </si>
  <si>
    <t>Daiken Excel-Tone 19mm 400 a/g</t>
  </si>
  <si>
    <t>Daiken New-Tone 19mm 400 a/g</t>
  </si>
  <si>
    <t>Daiken Dai-Lotone 15mm 400 a/g</t>
  </si>
  <si>
    <t>Celotex Hytone baroque 16mm 400 a/g</t>
  </si>
  <si>
    <t>CELOTEX</t>
  </si>
  <si>
    <t>Celotex Hytone baroque 19mm 400a/g</t>
  </si>
  <si>
    <t>Canite 13mm, no gap</t>
  </si>
  <si>
    <t>CMDA</t>
  </si>
  <si>
    <t>Canite 13mm, 25mm airgap</t>
  </si>
  <si>
    <t>Canite 13mm, 100mm airgap</t>
  </si>
  <si>
    <t>Metal (slatted &amp; perforated)</t>
  </si>
  <si>
    <t>Luxalon 84R unperf, 20mm 48kg f/g 200 a/g</t>
  </si>
  <si>
    <t>LUXALON</t>
  </si>
  <si>
    <t>Luxalon 84R perf, 20mm 48kg f/g 200 a/g</t>
  </si>
  <si>
    <t>Luxalon 84R perf, 20mm 107kg f/g 200 a/g</t>
  </si>
  <si>
    <t>Daiken superline SP 24 kg/m3 f/g 300 a/g</t>
  </si>
  <si>
    <t>Daiken superline SP 80 kg/m3 f/g 300 a/g</t>
  </si>
  <si>
    <t>Ripplesound 80mm 15kg/m3 f/g 10% perf</t>
  </si>
  <si>
    <t>CSIRO</t>
  </si>
  <si>
    <t>Ripplesound 50mm 22kg/m3 f/g 10% perf</t>
  </si>
  <si>
    <t>Ripplesound 25mm 32kg/m3 f/g 10% perf</t>
  </si>
  <si>
    <t>Rensound 80mm 15kg/m3 (unperf)</t>
  </si>
  <si>
    <t>Rensound 50mm 22kg/m3 (unperf)</t>
  </si>
  <si>
    <t>Rensound 25mm 32kg/m3 (unperf)</t>
  </si>
  <si>
    <t>Wood Fibre Tiles</t>
  </si>
  <si>
    <t>Panelite plain or stucco 16mm</t>
  </si>
  <si>
    <t>Panelite acoustic 16mm</t>
  </si>
  <si>
    <t>DRAPES</t>
  </si>
  <si>
    <t>Med velour straight across solid backing</t>
  </si>
  <si>
    <t>P&amp;H</t>
  </si>
  <si>
    <t>Med velour (100 Rayls) 50% drape over solid</t>
  </si>
  <si>
    <t>Heavy velour (200-500 Rayls) hung straight</t>
  </si>
  <si>
    <t>ASA/BERANEK</t>
  </si>
  <si>
    <t>Heavy velour 50% drape (200-500 Rayls)</t>
  </si>
  <si>
    <t>EGAN/ABPA/AS</t>
  </si>
  <si>
    <t>Vinyl or impervious material (2.4 kg/m2)</t>
  </si>
  <si>
    <t>ATS/MDA</t>
  </si>
  <si>
    <t>FLOORS</t>
  </si>
  <si>
    <t>Slate or Terrazzo (c.f. concrete)</t>
  </si>
  <si>
    <t>ASA/ABPA/SRL</t>
  </si>
  <si>
    <t>Cork/rubber/linoleum/asphalt on concrete</t>
  </si>
  <si>
    <t>ASA/EGAN</t>
  </si>
  <si>
    <t>Wood parquet and asphalt on concrete</t>
  </si>
  <si>
    <t>ASA/ABPA</t>
  </si>
  <si>
    <t>Water (for swimming pools etc.)</t>
  </si>
  <si>
    <t>20mm Particle Bd. or Timber on joists</t>
  </si>
  <si>
    <t>MDA est</t>
  </si>
  <si>
    <t>Wood platform with large space beneath</t>
  </si>
  <si>
    <t>GLASS</t>
  </si>
  <si>
    <t>4-6 mm small panes</t>
  </si>
  <si>
    <t>SRL/ASA/EGAN</t>
  </si>
  <si>
    <t>6mm heavy plate (lg panes)</t>
  </si>
  <si>
    <t>"Open Window"</t>
  </si>
  <si>
    <t>MASONRY &amp; PLASTERBOARD</t>
  </si>
  <si>
    <t>brick- unglazed</t>
  </si>
  <si>
    <t>SRL</t>
  </si>
  <si>
    <t>brick- glazed</t>
  </si>
  <si>
    <t>concrete block- unpainted</t>
  </si>
  <si>
    <t>AIMA</t>
  </si>
  <si>
    <t>concrete block- painted</t>
  </si>
  <si>
    <t>SRL/EGAN/ABP</t>
  </si>
  <si>
    <t>concrete- unpainted</t>
  </si>
  <si>
    <t>W/SRL/ASA/BE</t>
  </si>
  <si>
    <t>concrete- painted</t>
  </si>
  <si>
    <t>SRL/ASA/BER.</t>
  </si>
  <si>
    <t>plaster on concrete block</t>
  </si>
  <si>
    <t>EGAN/ASA/BER.</t>
  </si>
  <si>
    <t>smooth finish on tile/brick</t>
  </si>
  <si>
    <t>Gypsum Board 1 - 2 layers, 100-150 airspace</t>
  </si>
  <si>
    <t>50mm plaster</t>
  </si>
  <si>
    <t>JRH</t>
  </si>
  <si>
    <t>POLYSTYRENE PANELS</t>
  </si>
  <si>
    <t>Polystyrene insulating panel 0.5mm steel skins</t>
  </si>
  <si>
    <t>RUDNEV</t>
  </si>
  <si>
    <t>12.5mm Gib-62mm Polystyrene-12.5mm Gib</t>
  </si>
  <si>
    <t>MISCELLANEOUS</t>
  </si>
  <si>
    <t>Books</t>
  </si>
  <si>
    <t>POROUS ABSORBERS</t>
  </si>
  <si>
    <t>Wood Fibre</t>
  </si>
  <si>
    <t>Winstones Type 11 6mm slots at 45mm ctrs</t>
  </si>
  <si>
    <t>Winstones Type 13 9mm slots at 90mm ctrs</t>
  </si>
  <si>
    <t>Winstones Type 28 3mm slots at 22mm ctrs</t>
  </si>
  <si>
    <t>Woodtex</t>
  </si>
  <si>
    <t>25mm Woodtex</t>
  </si>
  <si>
    <t>UEB</t>
  </si>
  <si>
    <t>38mm Woodtex</t>
  </si>
  <si>
    <t>50mm Woodtex</t>
  </si>
  <si>
    <t>50mm Woodtex - 50 AG</t>
  </si>
  <si>
    <t>75mm Woodtex</t>
  </si>
  <si>
    <t>Woodcemair 100mm slabs 25mm airgap</t>
  </si>
  <si>
    <t>Woodcemair 50mm slabs 25mm airgap</t>
  </si>
  <si>
    <t>Woodcemair 100mm slabs solid backing</t>
  </si>
  <si>
    <t>Woodcemair 75mm slabs solid backing</t>
  </si>
  <si>
    <t>Woodcemair 100mm slabs 70mm a/g 1 coat pai</t>
  </si>
  <si>
    <t>Woodcemair 100mm slabs 70mm a/g 2 coat pai</t>
  </si>
  <si>
    <t>Fibreglass</t>
  </si>
  <si>
    <t>Noise Control Block 100mm (12kg/m3)</t>
  </si>
  <si>
    <t>Building Insulation Blanket 75mm (16kg/m3)</t>
  </si>
  <si>
    <t>Building Insulation Blanket 50mm (16kg/m3)</t>
  </si>
  <si>
    <t>Noise Control Panel 50mm (36kg/m3)</t>
  </si>
  <si>
    <t>Factory Liner 50mm 400 a/g (36kg/m3)</t>
  </si>
  <si>
    <t>Factory Liner 50mm solid back (36kg/m3)</t>
  </si>
  <si>
    <t>Siliner 25mm (48kg/m3)</t>
  </si>
  <si>
    <t>Siliner 50mm (48kg/m3)</t>
  </si>
  <si>
    <t>Siliner 100mm (48kg/m3)</t>
  </si>
  <si>
    <t>SC</t>
  </si>
  <si>
    <t>Siliner 150mm (48kg/m3)</t>
  </si>
  <si>
    <t>Ductliner 50mm with 11%perf (48kg/m3)</t>
  </si>
  <si>
    <t>Ductliner 25mm with 11% perf (48kg/m3)</t>
  </si>
  <si>
    <t>Noise Control Board 11mm (144kg/m3)</t>
  </si>
  <si>
    <t>Rockwool</t>
  </si>
  <si>
    <t>Bradford Fibretex 350 25mm thick 60kg/m3</t>
  </si>
  <si>
    <t>BRADFORD</t>
  </si>
  <si>
    <t>Bradford Fibretex 350 50mm thick 60kg/m3</t>
  </si>
  <si>
    <t>Bradford Fibretex 450 25mm thick 80kg/m3</t>
  </si>
  <si>
    <t>Bradford Fibretex 450 50mm thick 80kg/m3</t>
  </si>
  <si>
    <t>Bradford Fibretex 650 25mm thick 100kg/m3</t>
  </si>
  <si>
    <t>Bradford Fibretex 650 50mm thick 100kg/m3</t>
  </si>
  <si>
    <t>23kg/m3 50mm thick solid backing</t>
  </si>
  <si>
    <t>33kg/m3 50mm thick solid backing</t>
  </si>
  <si>
    <t>33kg/m3 100mm thick solid backing</t>
  </si>
  <si>
    <t>100kg/m3 75mm thick solid backing</t>
  </si>
  <si>
    <t>150kg/m3 30mm thick solid backing</t>
  </si>
  <si>
    <t>150kg/m3 50mm thick solid backing</t>
  </si>
  <si>
    <t>150kg/m3 50mm thick 300mm airgap</t>
  </si>
  <si>
    <t>180kg/m3 50mm thick solid backing</t>
  </si>
  <si>
    <t>300kg/m3 12mm thick 300mm airgap</t>
  </si>
  <si>
    <t>Polyurethane foams</t>
  </si>
  <si>
    <t>Polyurethane foam 25mm SPF Vita (8000 Rayls)</t>
  </si>
  <si>
    <t>Polyurethane foam 50mm SPF Vita</t>
  </si>
  <si>
    <t>Polyurethane foam 100mm SPF Vita ($55/m2)</t>
  </si>
  <si>
    <t>Polyurethane foam Chevron cut 50mm (Vita)</t>
  </si>
  <si>
    <t>CON</t>
  </si>
  <si>
    <t>Polyurethane foam Sonex 50mm</t>
  </si>
  <si>
    <t>Wool &amp; Polyester</t>
  </si>
  <si>
    <t>Needle punched Batt 23mm (47kg/m3)</t>
  </si>
  <si>
    <t>Bonded Batt, 50mm (10kg/m3)</t>
  </si>
  <si>
    <t>Woolhouse W1, Bonded Batt, 75mm (900gsm)</t>
  </si>
  <si>
    <t>Thermohush polyester fibre 75mm (350gsm)</t>
  </si>
  <si>
    <t>Thermohush polyester fibre 580gsm</t>
  </si>
  <si>
    <t>INZCO Polyester acoustic blanket</t>
  </si>
  <si>
    <t>INZCO 350 gsm Wool Line</t>
  </si>
  <si>
    <t>INZCO R1.7 Wool Line</t>
  </si>
  <si>
    <t>INZCO R1.6 Comfort Zone Polyester Fibre</t>
  </si>
  <si>
    <t>Insul-Wool 21 kg/m3 100mm thick</t>
  </si>
  <si>
    <t>IPL Acoustiliner 1000gsm+580gsm wool 50mm</t>
  </si>
  <si>
    <t>IPL 100mm Whiteliner 6 Denier</t>
  </si>
  <si>
    <t>IPL 25mm Whiteliner 6 Denier</t>
  </si>
  <si>
    <t>IPL 25mm Whiteliner 4 Denier</t>
  </si>
  <si>
    <t>Autex AAB 14-25</t>
  </si>
  <si>
    <t>Autex AAB 14-50</t>
  </si>
  <si>
    <t>Autex AAB 20-25</t>
  </si>
  <si>
    <t>Autex AAB 20-50</t>
  </si>
  <si>
    <t>Autex AAB 20-75</t>
  </si>
  <si>
    <t>Autex AAB 20-100</t>
  </si>
  <si>
    <t>Autex AAB 25-25</t>
  </si>
  <si>
    <t>Autex AAB 25-50</t>
  </si>
  <si>
    <t>Autex AAB 25-75</t>
  </si>
  <si>
    <t>Autex AAB 25-100</t>
  </si>
  <si>
    <t>Autex AAB 32-25</t>
  </si>
  <si>
    <t>Autex AAB 32-50</t>
  </si>
  <si>
    <t>Autex AAB 32-75</t>
  </si>
  <si>
    <t>Autex AAB 32-100</t>
  </si>
  <si>
    <t>Autex AAB 35-25</t>
  </si>
  <si>
    <t>Autex AAB 35-50</t>
  </si>
  <si>
    <t>Autex AAB 40-25</t>
  </si>
  <si>
    <t>Autex AAB 40-50</t>
  </si>
  <si>
    <t>Autex AAB 40-75</t>
  </si>
  <si>
    <t>Autex AAB 40-100</t>
  </si>
  <si>
    <t>Autex AAB 48-25</t>
  </si>
  <si>
    <t>Autex AAB 48-50</t>
  </si>
  <si>
    <t>Autex AAB 48-75</t>
  </si>
  <si>
    <t>Autex AAB 48-100</t>
  </si>
  <si>
    <t>Autex Vertiface Composition (1000gsm)</t>
  </si>
  <si>
    <t>RMIT</t>
  </si>
  <si>
    <t>SLOT &amp; PERFORATED ABSORBERS</t>
  </si>
  <si>
    <t>50 X 25 boards on 50mm foam 33% OA</t>
  </si>
  <si>
    <t>50 X 25 boards on 25mm foam 33% OA</t>
  </si>
  <si>
    <t>50 X 25 boards on 50mm foam 50% OA</t>
  </si>
  <si>
    <t>50 X 25 boards on 25mm foam 50% OA</t>
  </si>
  <si>
    <t>140 Hz (90:90x19:6) 100  Siliner full</t>
  </si>
  <si>
    <t>210 Hz (90:90x19:6)  50  Siliner front</t>
  </si>
  <si>
    <t>220 Hz (90:90x19:6)  50  Siliner back</t>
  </si>
  <si>
    <t>300 Hz (50:43x12:3)  50  Siliner full</t>
  </si>
  <si>
    <t>640 Hz (50:43x12:3)  no  f/g</t>
  </si>
  <si>
    <t>12% open area pegbd on 50mm SPF foam</t>
  </si>
  <si>
    <t>6% open area pegbd on 50mm SPF foam</t>
  </si>
  <si>
    <t>12% open area pegbd on 25mm SPF foam</t>
  </si>
  <si>
    <t>6% open area pegbd on 25mm SPF foam</t>
  </si>
  <si>
    <t>6% open area  pegbd on 150mm Wool (W1+W</t>
  </si>
  <si>
    <t>6% open area pegbd on 100mm Wool+50mm f</t>
  </si>
  <si>
    <t>Medium Density Fibre Board (unpainted)</t>
  </si>
  <si>
    <t>Particle Board (unpainted)</t>
  </si>
  <si>
    <t>SOFTBOARD</t>
  </si>
  <si>
    <t>12mm softboard painted</t>
  </si>
  <si>
    <t>P&amp;H/SRL</t>
  </si>
  <si>
    <t>12mm softboard, 25mm a/g, painted</t>
  </si>
  <si>
    <t>12mm Softboard in Donn Grid, large airgap</t>
  </si>
  <si>
    <t>SPRAYED MINERAL FIBRE</t>
  </si>
  <si>
    <t>3mm Revertex Whisper spray</t>
  </si>
  <si>
    <t>6mm Revertex Whisper spray</t>
  </si>
  <si>
    <t>10mm Revertex Whisper spray</t>
  </si>
  <si>
    <t>25mm Deckshield C/F</t>
  </si>
  <si>
    <t>25mm Mineral fibre tamped finish</t>
  </si>
  <si>
    <t>Insulroc 50mm</t>
  </si>
  <si>
    <t>Insulroc 75mm</t>
  </si>
  <si>
    <t>Insulroc 100mm</t>
  </si>
  <si>
    <t>STONEWORK</t>
  </si>
  <si>
    <t>Coustone  no airgap</t>
  </si>
  <si>
    <t>COUSTONE</t>
  </si>
  <si>
    <t>Coustone -50mm airgap</t>
  </si>
  <si>
    <t>Coustone -100mm airgap</t>
  </si>
  <si>
    <t>TIMBER</t>
  </si>
  <si>
    <t>12mm ply/hardboard on 25mm airspace</t>
  </si>
  <si>
    <t>12mm ply/hardboard on 25mm fibreglass</t>
  </si>
  <si>
    <t>12-25mm timber on 50-100mm airspace</t>
  </si>
  <si>
    <t>6mm ply/hardboard on 25mm airspace</t>
  </si>
  <si>
    <t>6mm ply/hardboard on 100mm airspace</t>
  </si>
  <si>
    <t>6mm ply/hardboard on 50mm airspace</t>
  </si>
  <si>
    <t>Polished timber</t>
  </si>
  <si>
    <t>BBC</t>
  </si>
  <si>
    <t>9mm ply on 50mm fibreglass,48kg (National Th</t>
  </si>
  <si>
    <t>Door (Sabines per door)</t>
  </si>
  <si>
    <t>WALL PANELS</t>
  </si>
  <si>
    <t>Ecophon acoustic wall panel (40mm thick)</t>
  </si>
  <si>
    <t>ECO</t>
  </si>
  <si>
    <t>Ecophon acoustic wall panel (100mm overall)</t>
  </si>
  <si>
    <t>Acoustic Solutions AcoustiWall panel</t>
  </si>
  <si>
    <t>AS</t>
  </si>
  <si>
    <t>IAC Varitone 50mm</t>
  </si>
  <si>
    <t>IAC Varitone 100mm</t>
  </si>
  <si>
    <t>Egg crates</t>
  </si>
  <si>
    <t>Riverbank</t>
  </si>
  <si>
    <t>Room Dimensions</t>
  </si>
  <si>
    <t>Areas and Materials</t>
  </si>
  <si>
    <t>Surface Description</t>
  </si>
  <si>
    <t>Material Code</t>
  </si>
  <si>
    <t>Material Description</t>
  </si>
  <si>
    <r>
      <t>Surface Area (m</t>
    </r>
    <r>
      <rPr>
        <vertAlign val="superscript"/>
        <sz val="9"/>
        <color theme="0"/>
        <rFont val="Open Sans"/>
        <family val="2"/>
      </rPr>
      <t>2</t>
    </r>
    <r>
      <rPr>
        <sz val="9"/>
        <color theme="0"/>
        <rFont val="Open Sans"/>
        <family val="2"/>
      </rPr>
      <t>)</t>
    </r>
  </si>
  <si>
    <t>125Hz</t>
  </si>
  <si>
    <t>250Hz</t>
  </si>
  <si>
    <t>1kHz</t>
  </si>
  <si>
    <t>2kHz</t>
  </si>
  <si>
    <t>4kHz</t>
  </si>
  <si>
    <t>Sum S*α</t>
  </si>
  <si>
    <t>Absorption_Coefficients</t>
  </si>
  <si>
    <t>500Hz</t>
  </si>
  <si>
    <r>
      <t>Additional Volume (m</t>
    </r>
    <r>
      <rPr>
        <vertAlign val="superscript"/>
        <sz val="9"/>
        <color theme="4" tint="-0.499984740745262"/>
        <rFont val="Open Sans"/>
        <family val="2"/>
      </rPr>
      <t>3</t>
    </r>
    <r>
      <rPr>
        <sz val="9"/>
        <color theme="4" tint="-0.499984740745262"/>
        <rFont val="Open Sans"/>
        <family val="2"/>
      </rPr>
      <t>)</t>
    </r>
  </si>
  <si>
    <r>
      <t>Total Volume (m</t>
    </r>
    <r>
      <rPr>
        <vertAlign val="superscript"/>
        <sz val="9"/>
        <color theme="4" tint="-0.499984740745262"/>
        <rFont val="Open Sans"/>
        <family val="2"/>
      </rPr>
      <t>3</t>
    </r>
    <r>
      <rPr>
        <sz val="9"/>
        <color theme="4" tint="-0.499984740745262"/>
        <rFont val="Open Sans"/>
        <family val="2"/>
      </rPr>
      <t>)</t>
    </r>
  </si>
  <si>
    <t>REVERBERATION TIME CALCULATOR</t>
  </si>
  <si>
    <t>SABINE</t>
  </si>
  <si>
    <t>Environmental Variables</t>
  </si>
  <si>
    <t>K Value</t>
  </si>
  <si>
    <t>Total Surface Area</t>
  </si>
  <si>
    <t>Surface</t>
  </si>
  <si>
    <t>EYRING</t>
  </si>
  <si>
    <t>CALCULATIONS</t>
  </si>
  <si>
    <t>α Bar</t>
  </si>
  <si>
    <t>Axis</t>
  </si>
  <si>
    <t>x</t>
  </si>
  <si>
    <t>wall 1</t>
  </si>
  <si>
    <t>wall 2</t>
  </si>
  <si>
    <t>wall 3</t>
  </si>
  <si>
    <t>wall 4</t>
  </si>
  <si>
    <t>y</t>
  </si>
  <si>
    <t>X Surface Area</t>
  </si>
  <si>
    <t>Y Surface Area</t>
  </si>
  <si>
    <t>Z Surface Area</t>
  </si>
  <si>
    <t>α Bar X</t>
  </si>
  <si>
    <t>α Bar Y</t>
  </si>
  <si>
    <t>S*α X</t>
  </si>
  <si>
    <t>S*α Y</t>
  </si>
  <si>
    <t>S*α Z</t>
  </si>
  <si>
    <t>Area &amp; Materials</t>
  </si>
  <si>
    <r>
      <t>RT</t>
    </r>
    <r>
      <rPr>
        <b/>
        <vertAlign val="subscript"/>
        <sz val="9"/>
        <color theme="0"/>
        <rFont val="Open Sans"/>
        <family val="2"/>
      </rPr>
      <t>60</t>
    </r>
    <r>
      <rPr>
        <b/>
        <sz val="9"/>
        <color theme="0"/>
        <rFont val="Open Sans"/>
        <family val="2"/>
      </rPr>
      <t xml:space="preserve"> Fitzroy</t>
    </r>
  </si>
  <si>
    <r>
      <t>RT</t>
    </r>
    <r>
      <rPr>
        <b/>
        <vertAlign val="subscript"/>
        <sz val="9"/>
        <color theme="0"/>
        <rFont val="Open Sans"/>
        <family val="2"/>
      </rPr>
      <t>60</t>
    </r>
    <r>
      <rPr>
        <b/>
        <sz val="9"/>
        <color theme="0"/>
        <rFont val="Open Sans"/>
        <family val="2"/>
      </rPr>
      <t xml:space="preserve"> Fitzroy X</t>
    </r>
  </si>
  <si>
    <r>
      <t>RT</t>
    </r>
    <r>
      <rPr>
        <b/>
        <vertAlign val="subscript"/>
        <sz val="9"/>
        <color theme="0"/>
        <rFont val="Open Sans"/>
        <family val="2"/>
      </rPr>
      <t>60</t>
    </r>
    <r>
      <rPr>
        <b/>
        <sz val="9"/>
        <color theme="0"/>
        <rFont val="Open Sans"/>
        <family val="2"/>
      </rPr>
      <t xml:space="preserve"> Fitzroy Y</t>
    </r>
  </si>
  <si>
    <r>
      <t>RT</t>
    </r>
    <r>
      <rPr>
        <b/>
        <vertAlign val="subscript"/>
        <sz val="9"/>
        <color theme="0"/>
        <rFont val="Open Sans"/>
        <family val="2"/>
      </rPr>
      <t>60</t>
    </r>
    <r>
      <rPr>
        <b/>
        <sz val="9"/>
        <color theme="0"/>
        <rFont val="Open Sans"/>
        <family val="2"/>
      </rPr>
      <t xml:space="preserve"> Fitzroy Z</t>
    </r>
  </si>
  <si>
    <r>
      <t>RT</t>
    </r>
    <r>
      <rPr>
        <b/>
        <vertAlign val="subscript"/>
        <sz val="9"/>
        <color theme="0"/>
        <rFont val="Open Sans"/>
        <family val="2"/>
      </rPr>
      <t>60</t>
    </r>
    <r>
      <rPr>
        <b/>
        <sz val="9"/>
        <color theme="0"/>
        <rFont val="Open Sans"/>
        <family val="2"/>
      </rPr>
      <t xml:space="preserve"> Sabine</t>
    </r>
  </si>
  <si>
    <r>
      <t>RT</t>
    </r>
    <r>
      <rPr>
        <b/>
        <vertAlign val="subscript"/>
        <sz val="9"/>
        <color theme="0"/>
        <rFont val="Open Sans"/>
        <family val="2"/>
      </rPr>
      <t>60</t>
    </r>
    <r>
      <rPr>
        <b/>
        <sz val="9"/>
        <color theme="0"/>
        <rFont val="Open Sans"/>
        <family val="2"/>
      </rPr>
      <t xml:space="preserve"> Eyring</t>
    </r>
  </si>
  <si>
    <t>Floor</t>
  </si>
  <si>
    <t>ceiling</t>
  </si>
  <si>
    <t>z</t>
  </si>
  <si>
    <t>Average</t>
  </si>
  <si>
    <t>FITZROY</t>
  </si>
  <si>
    <t>NEUBAUER</t>
  </si>
  <si>
    <t>α Star Z</t>
  </si>
  <si>
    <t>α Star X&amp;Y</t>
  </si>
  <si>
    <t>Reflectivity X&amp;Y</t>
  </si>
  <si>
    <t>Reflectivity Z</t>
  </si>
  <si>
    <t>absorbancy</t>
  </si>
  <si>
    <t>reflectivity</t>
  </si>
  <si>
    <r>
      <t>RT</t>
    </r>
    <r>
      <rPr>
        <b/>
        <vertAlign val="subscript"/>
        <sz val="9"/>
        <color theme="0"/>
        <rFont val="Open Sans"/>
        <family val="2"/>
      </rPr>
      <t>60</t>
    </r>
    <r>
      <rPr>
        <b/>
        <sz val="9"/>
        <color theme="0"/>
        <rFont val="Open Sans"/>
        <family val="2"/>
      </rPr>
      <t xml:space="preserve"> Neubauer</t>
    </r>
  </si>
  <si>
    <t>p04</t>
  </si>
  <si>
    <t>ARAU</t>
  </si>
  <si>
    <t>c23</t>
  </si>
  <si>
    <t>arau x</t>
  </si>
  <si>
    <t>arau y</t>
  </si>
  <si>
    <t>arau z</t>
  </si>
  <si>
    <r>
      <t>RT</t>
    </r>
    <r>
      <rPr>
        <b/>
        <vertAlign val="subscript"/>
        <sz val="9"/>
        <color theme="0"/>
        <rFont val="Open Sans"/>
        <family val="2"/>
      </rPr>
      <t>60</t>
    </r>
    <r>
      <rPr>
        <b/>
        <sz val="9"/>
        <color theme="0"/>
        <rFont val="Open Sans"/>
        <family val="2"/>
      </rPr>
      <t xml:space="preserve"> Arau</t>
    </r>
  </si>
  <si>
    <t>MILLINGTON</t>
  </si>
  <si>
    <r>
      <t xml:space="preserve">Millington </t>
    </r>
    <r>
      <rPr>
        <b/>
        <sz val="9"/>
        <color theme="0"/>
        <rFont val="Calibri"/>
        <family val="2"/>
      </rPr>
      <t>σ</t>
    </r>
  </si>
  <si>
    <t>#</t>
  </si>
  <si>
    <t>Sum Millington σ</t>
  </si>
  <si>
    <r>
      <t>RT</t>
    </r>
    <r>
      <rPr>
        <b/>
        <vertAlign val="subscript"/>
        <sz val="9"/>
        <color theme="0"/>
        <rFont val="Open Sans"/>
        <family val="2"/>
      </rPr>
      <t>60</t>
    </r>
    <r>
      <rPr>
        <b/>
        <sz val="9"/>
        <color theme="0"/>
        <rFont val="Open Sans"/>
        <family val="2"/>
      </rPr>
      <t xml:space="preserve"> Millington</t>
    </r>
  </si>
  <si>
    <t>aka Fitzroy2 - 2001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</si>
</sst>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Open Sans"/>
      <family val="2"/>
    </font>
    <font>
      <b/>
      <sz val="9"/>
      <color theme="0"/>
      <name val="Open Sans"/>
      <family val="2"/>
    </font>
    <font>
      <b/>
      <sz val="8.5"/>
      <color theme="0"/>
      <name val="Open Sans"/>
      <family val="2"/>
    </font>
    <font>
      <b/>
      <sz val="11"/>
      <color theme="1"/>
      <name val="Open Sans"/>
      <family val="2"/>
    </font>
    <font>
      <sz val="9"/>
      <name val="Open Sans"/>
      <family val="2"/>
    </font>
    <font>
      <sz val="9"/>
      <color rgb="FF000000"/>
      <name val="Open Sans"/>
      <family val="2"/>
    </font>
    <font>
      <sz val="8.5"/>
      <name val="Open Sans"/>
      <family val="2"/>
    </font>
    <font>
      <sz val="11"/>
      <color theme="1"/>
      <name val="Open Sans"/>
      <family val="2"/>
    </font>
    <font>
      <sz val="9"/>
      <color theme="0"/>
      <name val="Open Sans"/>
      <family val="2"/>
    </font>
    <font>
      <vertAlign val="superscript"/>
      <sz val="9"/>
      <color theme="0"/>
      <name val="Open Sans"/>
      <family val="2"/>
    </font>
    <font>
      <sz val="9"/>
      <color theme="4" tint="-0.499984740745262"/>
      <name val="Open Sans"/>
      <family val="2"/>
    </font>
    <font>
      <vertAlign val="superscript"/>
      <sz val="9"/>
      <color theme="4" tint="-0.499984740745262"/>
      <name val="Open Sans"/>
      <family val="2"/>
    </font>
    <font>
      <b/>
      <sz val="28"/>
      <color theme="4" tint="-0.499984740745262"/>
      <name val="Open Sans"/>
      <family val="2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vertAlign val="subscript"/>
      <sz val="9"/>
      <color theme="0"/>
      <name val="Open Sans"/>
      <family val="2"/>
    </font>
    <font>
      <b/>
      <sz val="18"/>
      <color theme="4" tint="-0.499984740745262"/>
      <name val="Calibri"/>
      <family val="2"/>
      <scheme val="minor"/>
    </font>
    <font>
      <i/>
      <sz val="8"/>
      <color theme="4" tint="-0.499984740745262"/>
      <name val="Open Sans"/>
      <family val="2"/>
    </font>
    <font>
      <b/>
      <sz val="9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/>
      <bottom/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 style="thin">
        <color theme="0"/>
      </right>
      <top style="thin">
        <color theme="8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8"/>
      </top>
      <bottom style="thin">
        <color theme="0"/>
      </bottom>
      <diagonal/>
    </border>
    <border>
      <left style="thin">
        <color theme="0"/>
      </left>
      <right style="thin">
        <color theme="8"/>
      </right>
      <top style="thin">
        <color theme="8"/>
      </top>
      <bottom style="thin">
        <color theme="0"/>
      </bottom>
      <diagonal/>
    </border>
    <border>
      <left style="thin">
        <color theme="8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8"/>
      </right>
      <top style="thin">
        <color theme="0"/>
      </top>
      <bottom style="thin">
        <color theme="0"/>
      </bottom>
      <diagonal/>
    </border>
    <border>
      <left style="thin">
        <color theme="8"/>
      </left>
      <right style="thin">
        <color theme="0"/>
      </right>
      <top style="thin">
        <color theme="0"/>
      </top>
      <bottom style="thin">
        <color theme="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/>
      </bottom>
      <diagonal/>
    </border>
    <border>
      <left style="thin">
        <color theme="0"/>
      </left>
      <right style="thin">
        <color theme="8"/>
      </right>
      <top style="thin">
        <color theme="0"/>
      </top>
      <bottom style="thin">
        <color theme="8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Fill="1"/>
    <xf numFmtId="0" fontId="6" fillId="0" borderId="1" xfId="0" applyFont="1" applyBorder="1" applyAlignment="1">
      <alignment horizontal="left" vertical="top" wrapText="1"/>
    </xf>
    <xf numFmtId="2" fontId="7" fillId="0" borderId="1" xfId="0" applyNumberFormat="1" applyFont="1" applyBorder="1" applyAlignment="1">
      <alignment horizontal="left" vertical="top" shrinkToFit="1"/>
    </xf>
    <xf numFmtId="2" fontId="7" fillId="0" borderId="1" xfId="0" applyNumberFormat="1" applyFont="1" applyBorder="1" applyAlignment="1">
      <alignment horizontal="center" vertical="top" shrinkToFit="1"/>
    </xf>
    <xf numFmtId="2" fontId="7" fillId="0" borderId="1" xfId="0" applyNumberFormat="1" applyFont="1" applyBorder="1" applyAlignment="1">
      <alignment horizontal="left" vertical="top" indent="2" shrinkToFit="1"/>
    </xf>
    <xf numFmtId="0" fontId="8" fillId="0" borderId="1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0" borderId="0" xfId="0" applyFont="1" applyFill="1"/>
    <xf numFmtId="0" fontId="9" fillId="0" borderId="1" xfId="0" applyFont="1" applyBorder="1" applyAlignment="1">
      <alignment horizontal="left" wrapText="1"/>
    </xf>
    <xf numFmtId="2" fontId="7" fillId="0" borderId="1" xfId="0" applyNumberFormat="1" applyFont="1" applyBorder="1" applyAlignment="1">
      <alignment horizontal="right" vertical="top" indent="2" shrinkToFit="1"/>
    </xf>
    <xf numFmtId="0" fontId="10" fillId="3" borderId="2" xfId="0" applyFont="1" applyFill="1" applyBorder="1"/>
    <xf numFmtId="0" fontId="10" fillId="3" borderId="9" xfId="0" applyFont="1" applyFill="1" applyBorder="1"/>
    <xf numFmtId="0" fontId="3" fillId="3" borderId="10" xfId="0" applyFont="1" applyFill="1" applyBorder="1"/>
    <xf numFmtId="0" fontId="12" fillId="0" borderId="2" xfId="0" applyFont="1" applyBorder="1"/>
    <xf numFmtId="0" fontId="14" fillId="0" borderId="0" xfId="0" applyFont="1" applyBorder="1" applyAlignment="1">
      <alignment vertical="center"/>
    </xf>
    <xf numFmtId="0" fontId="12" fillId="0" borderId="2" xfId="0" applyFont="1" applyFill="1" applyBorder="1"/>
    <xf numFmtId="0" fontId="12" fillId="0" borderId="0" xfId="0" applyFont="1"/>
    <xf numFmtId="0" fontId="12" fillId="0" borderId="0" xfId="0" applyFont="1" applyBorder="1"/>
    <xf numFmtId="0" fontId="16" fillId="0" borderId="0" xfId="0" applyFont="1"/>
    <xf numFmtId="0" fontId="16" fillId="0" borderId="0" xfId="0" applyFont="1" applyBorder="1"/>
    <xf numFmtId="0" fontId="3" fillId="3" borderId="1" xfId="0" applyFont="1" applyFill="1" applyBorder="1" applyAlignment="1">
      <alignment horizontal="left" vertical="top" wrapText="1"/>
    </xf>
    <xf numFmtId="1" fontId="3" fillId="3" borderId="1" xfId="0" applyNumberFormat="1" applyFont="1" applyFill="1" applyBorder="1" applyAlignment="1">
      <alignment horizontal="left" vertical="top" shrinkToFit="1"/>
    </xf>
    <xf numFmtId="1" fontId="3" fillId="3" borderId="1" xfId="0" applyNumberFormat="1" applyFont="1" applyFill="1" applyBorder="1" applyAlignment="1">
      <alignment horizontal="center" vertical="top" shrinkToFi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 indent="2"/>
    </xf>
    <xf numFmtId="0" fontId="4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2" fillId="0" borderId="14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2" fillId="4" borderId="0" xfId="0" applyFont="1" applyFill="1"/>
    <xf numFmtId="0" fontId="12" fillId="4" borderId="0" xfId="0" applyFont="1" applyFill="1" applyBorder="1"/>
    <xf numFmtId="0" fontId="14" fillId="4" borderId="0" xfId="0" applyFont="1" applyFill="1" applyBorder="1" applyAlignment="1">
      <alignment vertical="center"/>
    </xf>
    <xf numFmtId="0" fontId="12" fillId="4" borderId="0" xfId="0" applyFont="1" applyFill="1" applyBorder="1" applyAlignment="1"/>
    <xf numFmtId="0" fontId="12" fillId="0" borderId="2" xfId="0" applyFont="1" applyFill="1" applyBorder="1" applyAlignment="1">
      <alignment horizontal="center"/>
    </xf>
    <xf numFmtId="0" fontId="12" fillId="4" borderId="2" xfId="0" applyFont="1" applyFill="1" applyBorder="1"/>
    <xf numFmtId="0" fontId="12" fillId="4" borderId="6" xfId="0" applyFont="1" applyFill="1" applyBorder="1"/>
    <xf numFmtId="0" fontId="12" fillId="4" borderId="8" xfId="0" applyFont="1" applyFill="1" applyBorder="1"/>
    <xf numFmtId="0" fontId="12" fillId="0" borderId="0" xfId="0" applyFont="1" applyFill="1"/>
    <xf numFmtId="0" fontId="10" fillId="3" borderId="9" xfId="0" applyFont="1" applyFill="1" applyBorder="1" applyAlignment="1">
      <alignment horizontal="center"/>
    </xf>
    <xf numFmtId="0" fontId="10" fillId="3" borderId="9" xfId="0" applyFont="1" applyFill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2" fontId="12" fillId="0" borderId="2" xfId="0" applyNumberFormat="1" applyFont="1" applyBorder="1"/>
    <xf numFmtId="0" fontId="3" fillId="3" borderId="12" xfId="0" applyFont="1" applyFill="1" applyBorder="1"/>
    <xf numFmtId="0" fontId="16" fillId="0" borderId="2" xfId="0" applyFont="1" applyBorder="1"/>
    <xf numFmtId="0" fontId="0" fillId="4" borderId="0" xfId="0" applyFill="1"/>
    <xf numFmtId="0" fontId="12" fillId="0" borderId="5" xfId="0" applyFont="1" applyFill="1" applyBorder="1" applyAlignment="1">
      <alignment vertical="center"/>
    </xf>
    <xf numFmtId="0" fontId="12" fillId="4" borderId="6" xfId="0" applyFont="1" applyFill="1" applyBorder="1" applyAlignment="1">
      <alignment vertical="center"/>
    </xf>
    <xf numFmtId="2" fontId="16" fillId="0" borderId="2" xfId="0" applyNumberFormat="1" applyFont="1" applyBorder="1"/>
    <xf numFmtId="0" fontId="19" fillId="4" borderId="0" xfId="0" applyFont="1" applyFill="1" applyAlignment="1">
      <alignment horizontal="left"/>
    </xf>
    <xf numFmtId="0" fontId="10" fillId="4" borderId="0" xfId="0" applyFont="1" applyFill="1" applyBorder="1" applyAlignment="1"/>
    <xf numFmtId="0" fontId="12" fillId="0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5" fillId="3" borderId="2" xfId="0" applyFont="1" applyFill="1" applyBorder="1"/>
    <xf numFmtId="0" fontId="12" fillId="4" borderId="20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2" fillId="4" borderId="2" xfId="0" applyFont="1" applyFill="1" applyBorder="1" applyAlignment="1"/>
    <xf numFmtId="0" fontId="12" fillId="0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right"/>
    </xf>
    <xf numFmtId="0" fontId="12" fillId="4" borderId="16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right"/>
    </xf>
    <xf numFmtId="0" fontId="12" fillId="4" borderId="17" xfId="0" applyFont="1" applyFill="1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0" borderId="2" xfId="0" applyFont="1" applyFill="1" applyBorder="1" applyAlignment="1"/>
    <xf numFmtId="0" fontId="18" fillId="0" borderId="3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2"/>
  <sheetViews>
    <sheetView tabSelected="1" zoomScaleNormal="100" workbookViewId="0"/>
  </sheetViews>
  <sheetFormatPr defaultRowHeight="15" customHeight="1" x14ac:dyDescent="0.3"/>
  <cols>
    <col min="1" max="16384" width="9.140625" style="19"/>
  </cols>
  <sheetData>
    <row r="1" spans="1:20" ht="15" customHeight="1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41"/>
      <c r="P1" s="41"/>
      <c r="Q1" s="41"/>
      <c r="R1" s="41"/>
      <c r="S1" s="41"/>
      <c r="T1" s="41"/>
    </row>
    <row r="2" spans="1:20" ht="15" customHeight="1" x14ac:dyDescent="0.3">
      <c r="A2" s="33"/>
      <c r="B2" s="68" t="s">
        <v>712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33"/>
      <c r="O2" s="41"/>
      <c r="P2" s="41"/>
      <c r="Q2" s="41"/>
      <c r="R2" s="41"/>
      <c r="S2" s="41"/>
      <c r="T2" s="41"/>
    </row>
    <row r="3" spans="1:20" ht="15" customHeight="1" x14ac:dyDescent="0.3">
      <c r="A3" s="33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3"/>
      <c r="N3" s="33"/>
      <c r="O3" s="41"/>
      <c r="P3" s="41"/>
      <c r="Q3" s="41"/>
      <c r="R3" s="41"/>
      <c r="S3" s="41"/>
      <c r="T3" s="41"/>
    </row>
    <row r="4" spans="1:20" ht="15" customHeight="1" x14ac:dyDescent="0.3">
      <c r="A4" s="33"/>
      <c r="B4" s="74"/>
      <c r="C4" s="75"/>
      <c r="D4" s="75"/>
      <c r="E4" s="75"/>
      <c r="F4" s="75"/>
      <c r="G4" s="75"/>
      <c r="H4" s="75"/>
      <c r="I4" s="75"/>
      <c r="J4" s="75"/>
      <c r="K4" s="75"/>
      <c r="L4" s="75"/>
      <c r="M4" s="76"/>
      <c r="N4" s="33"/>
      <c r="O4" s="41"/>
      <c r="P4" s="41"/>
      <c r="Q4" s="41"/>
      <c r="R4" s="41"/>
      <c r="S4" s="41"/>
      <c r="T4" s="41"/>
    </row>
    <row r="5" spans="1:20" ht="15" customHeight="1" x14ac:dyDescent="0.3">
      <c r="A5" s="33"/>
      <c r="B5" s="33"/>
      <c r="C5" s="33"/>
      <c r="D5" s="33"/>
      <c r="E5" s="33"/>
      <c r="F5" s="33"/>
      <c r="G5" s="34"/>
      <c r="H5" s="34"/>
      <c r="I5" s="34"/>
      <c r="J5" s="34"/>
      <c r="K5" s="34"/>
      <c r="L5" s="34"/>
      <c r="M5" s="34"/>
      <c r="N5" s="33"/>
      <c r="O5" s="41"/>
      <c r="P5" s="41"/>
      <c r="Q5" s="41"/>
      <c r="R5" s="41"/>
      <c r="S5" s="41"/>
      <c r="T5" s="41"/>
    </row>
    <row r="6" spans="1:20" ht="15" customHeight="1" x14ac:dyDescent="0.3">
      <c r="A6" s="33"/>
      <c r="B6" s="33"/>
      <c r="C6" s="33"/>
      <c r="D6" s="33"/>
      <c r="E6" s="33"/>
      <c r="F6" s="33"/>
      <c r="G6" s="34"/>
      <c r="H6" s="34"/>
      <c r="I6" s="34"/>
      <c r="J6" s="34"/>
      <c r="K6" s="34"/>
      <c r="L6" s="34"/>
      <c r="M6" s="34"/>
      <c r="N6" s="33"/>
      <c r="O6" s="41"/>
      <c r="P6" s="41"/>
      <c r="Q6" s="41"/>
      <c r="R6" s="41"/>
      <c r="S6" s="41"/>
      <c r="T6" s="41"/>
    </row>
    <row r="7" spans="1:20" ht="15" customHeight="1" x14ac:dyDescent="0.3">
      <c r="A7" s="33"/>
      <c r="B7" s="77" t="s">
        <v>696</v>
      </c>
      <c r="C7" s="77"/>
      <c r="D7" s="77"/>
      <c r="E7" s="77"/>
      <c r="F7" s="33"/>
      <c r="G7" s="77" t="s">
        <v>714</v>
      </c>
      <c r="H7" s="77"/>
      <c r="I7" s="77"/>
      <c r="J7" s="77"/>
      <c r="K7" s="33"/>
      <c r="L7" s="33"/>
      <c r="M7" s="35"/>
      <c r="N7" s="33"/>
    </row>
    <row r="8" spans="1:20" ht="15" customHeight="1" x14ac:dyDescent="0.3">
      <c r="A8" s="33"/>
      <c r="B8" s="86" t="s">
        <v>341</v>
      </c>
      <c r="C8" s="86"/>
      <c r="D8" s="86"/>
      <c r="E8" s="18">
        <v>5</v>
      </c>
      <c r="F8" s="33"/>
      <c r="G8" s="78" t="s">
        <v>715</v>
      </c>
      <c r="H8" s="79"/>
      <c r="I8" s="79"/>
      <c r="J8" s="49">
        <v>0.161</v>
      </c>
      <c r="K8" s="33"/>
      <c r="L8" s="33"/>
      <c r="M8" s="35"/>
      <c r="N8" s="33"/>
    </row>
    <row r="9" spans="1:20" ht="15" customHeight="1" x14ac:dyDescent="0.3">
      <c r="A9" s="33"/>
      <c r="B9" s="87" t="s">
        <v>342</v>
      </c>
      <c r="C9" s="87"/>
      <c r="D9" s="87"/>
      <c r="E9" s="18">
        <v>4</v>
      </c>
      <c r="F9" s="33"/>
      <c r="G9" s="80"/>
      <c r="H9" s="81"/>
      <c r="I9" s="81"/>
      <c r="J9" s="50"/>
      <c r="K9" s="33"/>
      <c r="L9" s="33"/>
      <c r="M9" s="35"/>
      <c r="N9" s="33"/>
    </row>
    <row r="10" spans="1:20" ht="15" customHeight="1" x14ac:dyDescent="0.3">
      <c r="A10" s="33"/>
      <c r="B10" s="87" t="s">
        <v>343</v>
      </c>
      <c r="C10" s="87"/>
      <c r="D10" s="87"/>
      <c r="E10" s="18">
        <v>2.7</v>
      </c>
      <c r="F10" s="33"/>
      <c r="G10" s="82"/>
      <c r="H10" s="83"/>
      <c r="I10" s="83"/>
      <c r="J10" s="39"/>
      <c r="K10" s="33"/>
      <c r="L10" s="33"/>
      <c r="M10" s="34"/>
      <c r="N10" s="33"/>
    </row>
    <row r="11" spans="1:20" ht="15" customHeight="1" x14ac:dyDescent="0.3">
      <c r="A11" s="33"/>
      <c r="B11" s="87" t="s">
        <v>710</v>
      </c>
      <c r="C11" s="87"/>
      <c r="D11" s="87"/>
      <c r="E11" s="18"/>
      <c r="F11" s="33"/>
      <c r="G11" s="82"/>
      <c r="H11" s="83"/>
      <c r="I11" s="83"/>
      <c r="J11" s="39"/>
      <c r="K11" s="33"/>
      <c r="L11" s="33"/>
      <c r="M11" s="34"/>
      <c r="N11" s="33"/>
    </row>
    <row r="12" spans="1:20" ht="15" customHeight="1" x14ac:dyDescent="0.3">
      <c r="A12" s="33"/>
      <c r="B12" s="88" t="s">
        <v>711</v>
      </c>
      <c r="C12" s="88"/>
      <c r="D12" s="88"/>
      <c r="E12" s="38">
        <f>(Room_Width*Room_Lenght*Room_Height)+Additional_Volume</f>
        <v>54</v>
      </c>
      <c r="F12" s="33"/>
      <c r="G12" s="84"/>
      <c r="H12" s="85"/>
      <c r="I12" s="85"/>
      <c r="J12" s="40"/>
      <c r="K12" s="33"/>
      <c r="L12" s="33"/>
      <c r="M12" s="34"/>
      <c r="N12" s="33"/>
    </row>
    <row r="13" spans="1:20" ht="15" customHeight="1" x14ac:dyDescent="0.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41"/>
      <c r="P13" s="41"/>
      <c r="Q13" s="41"/>
      <c r="R13" s="41"/>
      <c r="S13" s="41"/>
      <c r="T13" s="41"/>
    </row>
    <row r="14" spans="1:20" ht="15" customHeight="1" x14ac:dyDescent="0.3">
      <c r="A14" s="33"/>
      <c r="B14" s="77" t="s">
        <v>697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33"/>
      <c r="O14" s="41"/>
      <c r="P14" s="41"/>
      <c r="Q14" s="41"/>
      <c r="R14" s="41"/>
      <c r="S14" s="41"/>
      <c r="T14" s="41"/>
    </row>
    <row r="15" spans="1:20" ht="15" customHeight="1" x14ac:dyDescent="0.3">
      <c r="A15" s="33"/>
      <c r="B15" s="65" t="s">
        <v>698</v>
      </c>
      <c r="C15" s="65"/>
      <c r="D15" s="65" t="s">
        <v>701</v>
      </c>
      <c r="E15" s="65"/>
      <c r="F15" s="32" t="s">
        <v>721</v>
      </c>
      <c r="G15" s="65" t="s">
        <v>699</v>
      </c>
      <c r="H15" s="65"/>
      <c r="I15" s="65" t="s">
        <v>700</v>
      </c>
      <c r="J15" s="65"/>
      <c r="K15" s="65"/>
      <c r="L15" s="65"/>
      <c r="M15" s="65"/>
      <c r="N15" s="33"/>
      <c r="O15" s="41"/>
      <c r="P15" s="41"/>
      <c r="Q15" s="41"/>
      <c r="R15" s="41"/>
      <c r="S15" s="41"/>
      <c r="T15" s="41"/>
    </row>
    <row r="16" spans="1:20" ht="15" customHeight="1" x14ac:dyDescent="0.3">
      <c r="A16" s="33"/>
      <c r="B16" s="67" t="s">
        <v>723</v>
      </c>
      <c r="C16" s="67"/>
      <c r="D16" s="92">
        <f>5*2.7</f>
        <v>13.5</v>
      </c>
      <c r="E16" s="92"/>
      <c r="F16" s="37" t="s">
        <v>727</v>
      </c>
      <c r="G16" s="67" t="s">
        <v>756</v>
      </c>
      <c r="H16" s="67"/>
      <c r="I16" s="89" t="str">
        <f>IF(ISERROR(VLOOKUP(G16,'Absorption Coefficients'!A:I,2,FALSE)),"",(VLOOKUP(G16,'Absorption Coefficients'!A:I,2,FALSE)))</f>
        <v>Gypsum Board 1 - 2 layers, 100-150 airspace</v>
      </c>
      <c r="J16" s="90"/>
      <c r="K16" s="90"/>
      <c r="L16" s="90"/>
      <c r="M16" s="91"/>
      <c r="N16" s="33"/>
      <c r="O16" s="41"/>
      <c r="P16" s="41"/>
      <c r="Q16" s="41"/>
      <c r="R16" s="41"/>
      <c r="S16" s="41"/>
      <c r="T16" s="41"/>
    </row>
    <row r="17" spans="1:20" ht="15" customHeight="1" x14ac:dyDescent="0.3">
      <c r="A17" s="33"/>
      <c r="B17" s="67" t="s">
        <v>724</v>
      </c>
      <c r="C17" s="67"/>
      <c r="D17" s="92">
        <f>4*2.7</f>
        <v>10.8</v>
      </c>
      <c r="E17" s="92"/>
      <c r="F17" s="37" t="s">
        <v>722</v>
      </c>
      <c r="G17" s="67" t="s">
        <v>756</v>
      </c>
      <c r="H17" s="67"/>
      <c r="I17" s="57" t="str">
        <f>IF(ISERROR(VLOOKUP(G17,'Absorption Coefficients'!A:I,2,FALSE)),"",(VLOOKUP(G17,'Absorption Coefficients'!A:I,2,FALSE)))</f>
        <v>Gypsum Board 1 - 2 layers, 100-150 airspace</v>
      </c>
      <c r="J17" s="58"/>
      <c r="K17" s="58"/>
      <c r="L17" s="58"/>
      <c r="M17" s="59"/>
      <c r="N17" s="33"/>
      <c r="O17" s="41"/>
      <c r="P17" s="41"/>
      <c r="Q17" s="41"/>
      <c r="R17" s="41"/>
      <c r="S17" s="41"/>
      <c r="T17" s="41"/>
    </row>
    <row r="18" spans="1:20" ht="15" customHeight="1" x14ac:dyDescent="0.3">
      <c r="A18" s="33"/>
      <c r="B18" s="67" t="s">
        <v>725</v>
      </c>
      <c r="C18" s="67"/>
      <c r="D18" s="92">
        <v>13.5</v>
      </c>
      <c r="E18" s="92"/>
      <c r="F18" s="37" t="s">
        <v>727</v>
      </c>
      <c r="G18" s="67" t="s">
        <v>756</v>
      </c>
      <c r="H18" s="67"/>
      <c r="I18" s="57" t="str">
        <f>IF(ISERROR(VLOOKUP(G18,'Absorption Coefficients'!A:I,2,FALSE)),"",(VLOOKUP(G18,'Absorption Coefficients'!A:I,2,FALSE)))</f>
        <v>Gypsum Board 1 - 2 layers, 100-150 airspace</v>
      </c>
      <c r="J18" s="58"/>
      <c r="K18" s="58"/>
      <c r="L18" s="58"/>
      <c r="M18" s="59"/>
      <c r="N18" s="33"/>
      <c r="O18" s="41"/>
      <c r="P18" s="41"/>
      <c r="Q18" s="41"/>
      <c r="R18" s="41"/>
      <c r="S18" s="41"/>
      <c r="T18" s="41"/>
    </row>
    <row r="19" spans="1:20" ht="15" customHeight="1" x14ac:dyDescent="0.3">
      <c r="A19" s="33"/>
      <c r="B19" s="67" t="s">
        <v>726</v>
      </c>
      <c r="C19" s="67"/>
      <c r="D19" s="92">
        <v>10.8</v>
      </c>
      <c r="E19" s="92"/>
      <c r="F19" s="37" t="s">
        <v>722</v>
      </c>
      <c r="G19" s="67" t="s">
        <v>756</v>
      </c>
      <c r="H19" s="67"/>
      <c r="I19" s="57" t="str">
        <f>IF(ISERROR(VLOOKUP(G19,'Absorption Coefficients'!A:I,2,FALSE)),"",(VLOOKUP(G19,'Absorption Coefficients'!A:I,2,FALSE)))</f>
        <v>Gypsum Board 1 - 2 layers, 100-150 airspace</v>
      </c>
      <c r="J19" s="58"/>
      <c r="K19" s="58"/>
      <c r="L19" s="58"/>
      <c r="M19" s="59"/>
      <c r="N19" s="33"/>
      <c r="O19" s="41"/>
      <c r="P19" s="41"/>
      <c r="Q19" s="41"/>
      <c r="R19" s="41"/>
      <c r="S19" s="41"/>
      <c r="T19" s="41"/>
    </row>
    <row r="20" spans="1:20" ht="15" customHeight="1" x14ac:dyDescent="0.3">
      <c r="A20" s="33"/>
      <c r="B20" s="67" t="s">
        <v>743</v>
      </c>
      <c r="C20" s="67"/>
      <c r="D20" s="92">
        <v>20</v>
      </c>
      <c r="E20" s="92"/>
      <c r="F20" s="37" t="s">
        <v>745</v>
      </c>
      <c r="G20" s="67" t="s">
        <v>758</v>
      </c>
      <c r="H20" s="67"/>
      <c r="I20" s="57" t="str">
        <f>IF(ISERROR(VLOOKUP(G20,'Absorption Coefficients'!A:I,2,FALSE)),"",(VLOOKUP(G20,'Absorption Coefficients'!A:I,2,FALSE)))</f>
        <v>Thick pile on open foam</v>
      </c>
      <c r="J20" s="58"/>
      <c r="K20" s="58"/>
      <c r="L20" s="58"/>
      <c r="M20" s="59"/>
      <c r="N20" s="33"/>
      <c r="O20" s="41"/>
      <c r="P20" s="41"/>
      <c r="Q20" s="41"/>
      <c r="R20" s="41"/>
      <c r="S20" s="41"/>
      <c r="T20" s="41"/>
    </row>
    <row r="21" spans="1:20" ht="15" customHeight="1" x14ac:dyDescent="0.3">
      <c r="A21" s="33"/>
      <c r="B21" s="67" t="s">
        <v>744</v>
      </c>
      <c r="C21" s="67"/>
      <c r="D21" s="92">
        <v>20</v>
      </c>
      <c r="E21" s="92"/>
      <c r="F21" s="37" t="s">
        <v>745</v>
      </c>
      <c r="G21" s="67" t="s">
        <v>756</v>
      </c>
      <c r="H21" s="67"/>
      <c r="I21" s="57" t="str">
        <f>IF(ISERROR(VLOOKUP(G21,'Absorption Coefficients'!A:I,2,FALSE)),"",(VLOOKUP(G21,'Absorption Coefficients'!A:I,2,FALSE)))</f>
        <v>Gypsum Board 1 - 2 layers, 100-150 airspace</v>
      </c>
      <c r="J21" s="58"/>
      <c r="K21" s="58"/>
      <c r="L21" s="58"/>
      <c r="M21" s="59"/>
      <c r="N21" s="33"/>
      <c r="O21" s="41"/>
      <c r="P21" s="41"/>
      <c r="Q21" s="41"/>
      <c r="R21" s="41"/>
      <c r="S21" s="41"/>
      <c r="T21" s="41"/>
    </row>
    <row r="22" spans="1:20" ht="15" customHeight="1" x14ac:dyDescent="0.3">
      <c r="A22" s="33"/>
      <c r="B22" s="67"/>
      <c r="C22" s="67"/>
      <c r="D22" s="92"/>
      <c r="E22" s="92"/>
      <c r="F22" s="37"/>
      <c r="G22" s="67"/>
      <c r="H22" s="67"/>
      <c r="I22" s="57" t="str">
        <f>IF(ISERROR(VLOOKUP(G22,'Absorption Coefficients'!A:I,2,FALSE)),"",(VLOOKUP(G22,'Absorption Coefficients'!A:I,2,FALSE)))</f>
        <v/>
      </c>
      <c r="J22" s="58"/>
      <c r="K22" s="58"/>
      <c r="L22" s="58"/>
      <c r="M22" s="59"/>
      <c r="N22" s="33"/>
      <c r="O22" s="41"/>
      <c r="P22" s="41"/>
      <c r="Q22" s="41"/>
      <c r="R22" s="41"/>
      <c r="S22" s="41"/>
      <c r="T22" s="41"/>
    </row>
    <row r="23" spans="1:20" ht="15" customHeight="1" x14ac:dyDescent="0.3">
      <c r="A23" s="33"/>
      <c r="B23" s="67"/>
      <c r="C23" s="67"/>
      <c r="D23" s="92"/>
      <c r="E23" s="92"/>
      <c r="F23" s="37"/>
      <c r="G23" s="67"/>
      <c r="H23" s="67"/>
      <c r="I23" s="57" t="str">
        <f>IF(ISERROR(VLOOKUP(G23,'Absorption Coefficients'!A:I,2,FALSE)),"",(VLOOKUP(G23,'Absorption Coefficients'!A:I,2,FALSE)))</f>
        <v/>
      </c>
      <c r="J23" s="58"/>
      <c r="K23" s="58"/>
      <c r="L23" s="58"/>
      <c r="M23" s="59"/>
      <c r="N23" s="33"/>
      <c r="O23" s="41"/>
      <c r="P23" s="41"/>
      <c r="Q23" s="41"/>
      <c r="R23" s="41"/>
      <c r="S23" s="41"/>
      <c r="T23" s="41"/>
    </row>
    <row r="24" spans="1:20" ht="15" customHeight="1" x14ac:dyDescent="0.3">
      <c r="A24" s="33"/>
      <c r="B24" s="67"/>
      <c r="C24" s="67"/>
      <c r="D24" s="92"/>
      <c r="E24" s="92"/>
      <c r="F24" s="37"/>
      <c r="G24" s="67"/>
      <c r="H24" s="67"/>
      <c r="I24" s="57" t="str">
        <f>IF(ISERROR(VLOOKUP(G24,'Absorption Coefficients'!A:I,2,FALSE)),"",(VLOOKUP(G24,'Absorption Coefficients'!A:I,2,FALSE)))</f>
        <v/>
      </c>
      <c r="J24" s="58"/>
      <c r="K24" s="58"/>
      <c r="L24" s="58"/>
      <c r="M24" s="59"/>
      <c r="N24" s="33"/>
      <c r="O24" s="41"/>
      <c r="P24" s="41"/>
      <c r="Q24" s="41"/>
      <c r="R24" s="41"/>
      <c r="S24" s="41"/>
      <c r="T24" s="41"/>
    </row>
    <row r="25" spans="1:20" ht="15" customHeight="1" x14ac:dyDescent="0.3">
      <c r="A25" s="33"/>
      <c r="B25" s="67"/>
      <c r="C25" s="67"/>
      <c r="D25" s="92"/>
      <c r="E25" s="92"/>
      <c r="F25" s="37"/>
      <c r="G25" s="67"/>
      <c r="H25" s="67"/>
      <c r="I25" s="57" t="str">
        <f>IF(ISERROR(VLOOKUP(G25,'Absorption Coefficients'!A:I,2,FALSE)),"",(VLOOKUP(G25,'Absorption Coefficients'!A:I,2,FALSE)))</f>
        <v/>
      </c>
      <c r="J25" s="58"/>
      <c r="K25" s="58"/>
      <c r="L25" s="58"/>
      <c r="M25" s="59"/>
      <c r="N25" s="33"/>
      <c r="O25" s="41"/>
      <c r="P25" s="41"/>
      <c r="Q25" s="41"/>
      <c r="R25" s="41"/>
      <c r="S25" s="41"/>
      <c r="T25" s="41"/>
    </row>
    <row r="26" spans="1:20" ht="15" customHeight="1" x14ac:dyDescent="0.3">
      <c r="A26" s="33"/>
      <c r="B26" s="67"/>
      <c r="C26" s="67"/>
      <c r="D26" s="60"/>
      <c r="E26" s="61"/>
      <c r="F26" s="30"/>
      <c r="G26" s="60"/>
      <c r="H26" s="61"/>
      <c r="I26" s="57" t="str">
        <f>IF(ISERROR(VLOOKUP(G26,'Absorption Coefficients'!A:I,2,FALSE)),"",(VLOOKUP(G26,'Absorption Coefficients'!A:I,2,FALSE)))</f>
        <v/>
      </c>
      <c r="J26" s="58"/>
      <c r="K26" s="58"/>
      <c r="L26" s="58"/>
      <c r="M26" s="59"/>
      <c r="N26" s="33"/>
      <c r="O26" s="41"/>
      <c r="P26" s="41"/>
      <c r="Q26" s="41"/>
      <c r="R26" s="41"/>
      <c r="S26" s="41"/>
      <c r="T26" s="41"/>
    </row>
    <row r="27" spans="1:20" ht="15" customHeight="1" x14ac:dyDescent="0.3">
      <c r="A27" s="33"/>
      <c r="B27" s="67"/>
      <c r="C27" s="67"/>
      <c r="D27" s="60"/>
      <c r="E27" s="61"/>
      <c r="F27" s="30"/>
      <c r="G27" s="60"/>
      <c r="H27" s="61"/>
      <c r="I27" s="57" t="str">
        <f>IF(ISERROR(VLOOKUP(G27,'Absorption Coefficients'!A:I,2,FALSE)),"",(VLOOKUP(G27,'Absorption Coefficients'!A:I,2,FALSE)))</f>
        <v/>
      </c>
      <c r="J27" s="58"/>
      <c r="K27" s="58"/>
      <c r="L27" s="58"/>
      <c r="M27" s="59"/>
      <c r="N27" s="33"/>
      <c r="O27" s="41"/>
      <c r="P27" s="41"/>
      <c r="Q27" s="41"/>
      <c r="R27" s="41"/>
      <c r="S27" s="41"/>
      <c r="T27" s="41"/>
    </row>
    <row r="28" spans="1:20" ht="15" customHeight="1" x14ac:dyDescent="0.3">
      <c r="A28" s="33"/>
      <c r="B28" s="67"/>
      <c r="C28" s="67"/>
      <c r="D28" s="60"/>
      <c r="E28" s="61"/>
      <c r="F28" s="30"/>
      <c r="G28" s="60"/>
      <c r="H28" s="61"/>
      <c r="I28" s="57" t="str">
        <f>IF(ISERROR(VLOOKUP(G28,'Absorption Coefficients'!A:I,2,FALSE)),"",(VLOOKUP(G28,'Absorption Coefficients'!A:I,2,FALSE)))</f>
        <v/>
      </c>
      <c r="J28" s="58"/>
      <c r="K28" s="58"/>
      <c r="L28" s="58"/>
      <c r="M28" s="59"/>
      <c r="N28" s="33"/>
      <c r="O28" s="41"/>
      <c r="P28" s="41"/>
      <c r="Q28" s="41"/>
      <c r="R28" s="41"/>
      <c r="S28" s="41"/>
      <c r="T28" s="41"/>
    </row>
    <row r="29" spans="1:20" ht="15" customHeight="1" x14ac:dyDescent="0.3">
      <c r="A29" s="33"/>
      <c r="B29" s="60"/>
      <c r="C29" s="61"/>
      <c r="D29" s="60"/>
      <c r="E29" s="61"/>
      <c r="F29" s="30"/>
      <c r="G29" s="60"/>
      <c r="H29" s="61"/>
      <c r="I29" s="57" t="str">
        <f>IF(ISERROR(VLOOKUP(G29,'Absorption Coefficients'!A:I,2,FALSE)),"",(VLOOKUP(G29,'Absorption Coefficients'!A:I,2,FALSE)))</f>
        <v/>
      </c>
      <c r="J29" s="58"/>
      <c r="K29" s="58"/>
      <c r="L29" s="58"/>
      <c r="M29" s="59"/>
      <c r="N29" s="33"/>
      <c r="O29" s="41"/>
      <c r="P29" s="41"/>
      <c r="Q29" s="41"/>
      <c r="R29" s="41"/>
      <c r="S29" s="41"/>
      <c r="T29" s="41"/>
    </row>
    <row r="30" spans="1:20" ht="15" customHeight="1" x14ac:dyDescent="0.3">
      <c r="A30" s="33"/>
      <c r="B30" s="60"/>
      <c r="C30" s="61"/>
      <c r="D30" s="60"/>
      <c r="E30" s="61"/>
      <c r="F30" s="30"/>
      <c r="G30" s="60"/>
      <c r="H30" s="61"/>
      <c r="I30" s="57" t="str">
        <f>IF(ISERROR(VLOOKUP(G30,'Absorption Coefficients'!A:I,2,FALSE)),"",(VLOOKUP(G30,'Absorption Coefficients'!A:I,2,FALSE)))</f>
        <v/>
      </c>
      <c r="J30" s="58"/>
      <c r="K30" s="58"/>
      <c r="L30" s="58"/>
      <c r="M30" s="59"/>
      <c r="N30" s="33"/>
      <c r="O30" s="41"/>
      <c r="P30" s="41"/>
      <c r="Q30" s="41"/>
      <c r="R30" s="41"/>
      <c r="S30" s="41"/>
      <c r="T30" s="41"/>
    </row>
    <row r="31" spans="1:20" ht="15" customHeight="1" x14ac:dyDescent="0.3">
      <c r="A31" s="33"/>
      <c r="B31" s="60"/>
      <c r="C31" s="61"/>
      <c r="D31" s="60"/>
      <c r="E31" s="61"/>
      <c r="F31" s="30"/>
      <c r="G31" s="60"/>
      <c r="H31" s="61"/>
      <c r="I31" s="57" t="str">
        <f>IF(ISERROR(VLOOKUP(G31,'Absorption Coefficients'!A:I,2,FALSE)),"",(VLOOKUP(G31,'Absorption Coefficients'!A:I,2,FALSE)))</f>
        <v/>
      </c>
      <c r="J31" s="58"/>
      <c r="K31" s="58"/>
      <c r="L31" s="58"/>
      <c r="M31" s="59"/>
      <c r="N31" s="33"/>
      <c r="O31" s="41"/>
      <c r="P31" s="41"/>
      <c r="Q31" s="41"/>
      <c r="R31" s="41"/>
      <c r="S31" s="41"/>
      <c r="T31" s="41"/>
    </row>
    <row r="32" spans="1:20" ht="15" customHeight="1" x14ac:dyDescent="0.3">
      <c r="A32" s="33"/>
      <c r="B32" s="60"/>
      <c r="C32" s="61"/>
      <c r="D32" s="60"/>
      <c r="E32" s="61"/>
      <c r="F32" s="30"/>
      <c r="G32" s="60"/>
      <c r="H32" s="61"/>
      <c r="I32" s="57" t="str">
        <f>IF(ISERROR(VLOOKUP(G32,'Absorption Coefficients'!A:I,2,FALSE)),"",(VLOOKUP(G32,'Absorption Coefficients'!A:I,2,FALSE)))</f>
        <v/>
      </c>
      <c r="J32" s="58"/>
      <c r="K32" s="58"/>
      <c r="L32" s="58"/>
      <c r="M32" s="59"/>
      <c r="N32" s="33"/>
      <c r="O32" s="41"/>
      <c r="P32" s="41"/>
      <c r="Q32" s="41"/>
      <c r="R32" s="41"/>
      <c r="S32" s="41"/>
      <c r="T32" s="41"/>
    </row>
    <row r="33" spans="1:20" ht="15" customHeight="1" x14ac:dyDescent="0.3">
      <c r="A33" s="33"/>
      <c r="B33" s="60"/>
      <c r="C33" s="61"/>
      <c r="D33" s="60"/>
      <c r="E33" s="61"/>
      <c r="F33" s="30"/>
      <c r="G33" s="60"/>
      <c r="H33" s="61"/>
      <c r="I33" s="57" t="str">
        <f>IF(ISERROR(VLOOKUP(G33,'Absorption Coefficients'!A:I,2,FALSE)),"",(VLOOKUP(G33,'Absorption Coefficients'!A:I,2,FALSE)))</f>
        <v/>
      </c>
      <c r="J33" s="58"/>
      <c r="K33" s="58"/>
      <c r="L33" s="58"/>
      <c r="M33" s="59"/>
      <c r="N33" s="33"/>
      <c r="O33" s="41"/>
      <c r="P33" s="41"/>
      <c r="Q33" s="41"/>
      <c r="R33" s="41"/>
      <c r="S33" s="41"/>
      <c r="T33" s="41"/>
    </row>
    <row r="34" spans="1:20" ht="15" customHeight="1" x14ac:dyDescent="0.3">
      <c r="A34" s="33"/>
      <c r="B34" s="60"/>
      <c r="C34" s="61"/>
      <c r="D34" s="60"/>
      <c r="E34" s="61"/>
      <c r="F34" s="30"/>
      <c r="G34" s="60"/>
      <c r="H34" s="61"/>
      <c r="I34" s="57" t="str">
        <f>IF(ISERROR(VLOOKUP(G34,'Absorption Coefficients'!A:I,2,FALSE)),"",(VLOOKUP(G34,'Absorption Coefficients'!A:I,2,FALSE)))</f>
        <v/>
      </c>
      <c r="J34" s="58"/>
      <c r="K34" s="58"/>
      <c r="L34" s="58"/>
      <c r="M34" s="59"/>
      <c r="N34" s="33"/>
      <c r="O34" s="41"/>
      <c r="P34" s="41"/>
      <c r="Q34" s="41"/>
      <c r="R34" s="41"/>
      <c r="S34" s="41"/>
      <c r="T34" s="41"/>
    </row>
    <row r="35" spans="1:20" ht="15" customHeight="1" x14ac:dyDescent="0.3">
      <c r="A35" s="33"/>
      <c r="B35" s="60"/>
      <c r="C35" s="61"/>
      <c r="D35" s="60"/>
      <c r="E35" s="61"/>
      <c r="F35" s="30"/>
      <c r="G35" s="60"/>
      <c r="H35" s="61"/>
      <c r="I35" s="62" t="str">
        <f>IF(ISERROR(VLOOKUP(G35,'Absorption Coefficients'!A:I,2,FALSE)),"",(VLOOKUP(G35,'Absorption Coefficients'!A:I,2,FALSE)))</f>
        <v/>
      </c>
      <c r="J35" s="63"/>
      <c r="K35" s="63"/>
      <c r="L35" s="63"/>
      <c r="M35" s="64"/>
      <c r="N35" s="33"/>
      <c r="O35" s="41"/>
      <c r="P35" s="41"/>
      <c r="Q35" s="41"/>
      <c r="R35" s="41"/>
      <c r="S35" s="41"/>
      <c r="T35" s="41"/>
    </row>
    <row r="36" spans="1:20" ht="15" customHeight="1" x14ac:dyDescent="0.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41"/>
      <c r="P36" s="41"/>
      <c r="Q36" s="41"/>
      <c r="R36" s="41"/>
      <c r="S36" s="41"/>
      <c r="T36" s="41"/>
    </row>
    <row r="37" spans="1:20" ht="15" customHeight="1" x14ac:dyDescent="0.3">
      <c r="A37" s="33"/>
      <c r="B37" s="65" t="s">
        <v>728</v>
      </c>
      <c r="C37" s="65"/>
      <c r="D37" s="66">
        <f>SUMIF(Axis_Input, "X", Surface_Area__m2)</f>
        <v>21.6</v>
      </c>
      <c r="E37" s="66"/>
      <c r="F37" s="36"/>
      <c r="G37" s="53"/>
      <c r="H37" s="53"/>
      <c r="I37" s="36"/>
      <c r="J37" s="36"/>
      <c r="K37" s="33"/>
      <c r="L37" s="33"/>
      <c r="M37" s="33"/>
      <c r="N37" s="33"/>
      <c r="O37" s="41"/>
      <c r="P37" s="41"/>
      <c r="Q37" s="41"/>
      <c r="R37" s="41"/>
      <c r="S37" s="41"/>
      <c r="T37" s="41"/>
    </row>
    <row r="38" spans="1:20" ht="15" customHeight="1" x14ac:dyDescent="0.3">
      <c r="A38" s="33"/>
      <c r="B38" s="65" t="s">
        <v>729</v>
      </c>
      <c r="C38" s="65"/>
      <c r="D38" s="66">
        <f>SUMIF(Axis_Input, "Y", Surface_Area__m2)</f>
        <v>27</v>
      </c>
      <c r="E38" s="66"/>
      <c r="F38" s="33"/>
      <c r="G38" s="53"/>
      <c r="H38" s="53"/>
      <c r="I38" s="36"/>
      <c r="J38" s="36"/>
      <c r="K38" s="33"/>
      <c r="L38" s="33"/>
      <c r="M38" s="33"/>
      <c r="N38" s="33"/>
      <c r="O38" s="41"/>
      <c r="P38" s="41"/>
      <c r="Q38" s="41"/>
      <c r="R38" s="41"/>
      <c r="S38" s="41"/>
      <c r="T38" s="41"/>
    </row>
    <row r="39" spans="1:20" ht="15" customHeight="1" x14ac:dyDescent="0.3">
      <c r="A39" s="33"/>
      <c r="B39" s="65" t="s">
        <v>730</v>
      </c>
      <c r="C39" s="65"/>
      <c r="D39" s="66">
        <f>SUMIF(Axis_Input, "Z", Surface_Area__m2)</f>
        <v>40</v>
      </c>
      <c r="E39" s="66"/>
      <c r="F39" s="33"/>
      <c r="G39" s="53"/>
      <c r="H39" s="53"/>
      <c r="I39" s="36"/>
      <c r="J39" s="36"/>
      <c r="K39" s="33"/>
      <c r="L39" s="33"/>
      <c r="M39" s="33"/>
      <c r="N39" s="33"/>
    </row>
    <row r="40" spans="1:20" ht="15" customHeight="1" x14ac:dyDescent="0.3">
      <c r="A40" s="33"/>
      <c r="B40" s="65" t="s">
        <v>716</v>
      </c>
      <c r="C40" s="65"/>
      <c r="D40" s="66">
        <f>SUM(Surface_Area__m2)</f>
        <v>88.6</v>
      </c>
      <c r="E40" s="66"/>
      <c r="F40" s="33"/>
      <c r="G40" s="33"/>
      <c r="H40" s="33"/>
      <c r="I40" s="33"/>
      <c r="J40" s="33"/>
      <c r="K40" s="33"/>
      <c r="L40" s="33"/>
      <c r="M40" s="33"/>
      <c r="N40" s="33"/>
    </row>
    <row r="41" spans="1:20" ht="15" customHeight="1" x14ac:dyDescent="0.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</row>
    <row r="42" spans="1:20" ht="15" customHeight="1" x14ac:dyDescent="0.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</row>
  </sheetData>
  <mergeCells count="106">
    <mergeCell ref="B22:C22"/>
    <mergeCell ref="B23:C23"/>
    <mergeCell ref="B24:C24"/>
    <mergeCell ref="B25:C25"/>
    <mergeCell ref="D25:E25"/>
    <mergeCell ref="D24:E24"/>
    <mergeCell ref="D23:E23"/>
    <mergeCell ref="D22:E22"/>
    <mergeCell ref="D21:E21"/>
    <mergeCell ref="I22:M22"/>
    <mergeCell ref="I23:M23"/>
    <mergeCell ref="I24:M24"/>
    <mergeCell ref="I25:M25"/>
    <mergeCell ref="G21:H21"/>
    <mergeCell ref="G22:H22"/>
    <mergeCell ref="G23:H23"/>
    <mergeCell ref="G24:H24"/>
    <mergeCell ref="G25:H25"/>
    <mergeCell ref="I19:M19"/>
    <mergeCell ref="I20:M20"/>
    <mergeCell ref="I21:M21"/>
    <mergeCell ref="I16:M16"/>
    <mergeCell ref="B14:M14"/>
    <mergeCell ref="I17:M17"/>
    <mergeCell ref="I18:M18"/>
    <mergeCell ref="G18:H18"/>
    <mergeCell ref="B16:C16"/>
    <mergeCell ref="D16:E16"/>
    <mergeCell ref="G16:H16"/>
    <mergeCell ref="B17:C17"/>
    <mergeCell ref="D17:E17"/>
    <mergeCell ref="G17:H17"/>
    <mergeCell ref="B18:C18"/>
    <mergeCell ref="B21:C21"/>
    <mergeCell ref="B19:C19"/>
    <mergeCell ref="D19:E19"/>
    <mergeCell ref="G19:H19"/>
    <mergeCell ref="B20:C20"/>
    <mergeCell ref="D20:E20"/>
    <mergeCell ref="G20:H20"/>
    <mergeCell ref="G15:H15"/>
    <mergeCell ref="D18:E18"/>
    <mergeCell ref="B15:C15"/>
    <mergeCell ref="D15:E15"/>
    <mergeCell ref="B2:M4"/>
    <mergeCell ref="G7:J7"/>
    <mergeCell ref="G8:I8"/>
    <mergeCell ref="G9:I9"/>
    <mergeCell ref="G10:I10"/>
    <mergeCell ref="G11:I11"/>
    <mergeCell ref="G12:I12"/>
    <mergeCell ref="B7:E7"/>
    <mergeCell ref="I15:M15"/>
    <mergeCell ref="B8:D8"/>
    <mergeCell ref="B9:D9"/>
    <mergeCell ref="B10:D10"/>
    <mergeCell ref="B11:D11"/>
    <mergeCell ref="B12:D12"/>
    <mergeCell ref="G34:H34"/>
    <mergeCell ref="B40:C40"/>
    <mergeCell ref="D40:E40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D26:E26"/>
    <mergeCell ref="D27:E27"/>
    <mergeCell ref="D28:E28"/>
    <mergeCell ref="D34:E34"/>
    <mergeCell ref="D35:E35"/>
    <mergeCell ref="B37:C37"/>
    <mergeCell ref="D37:E37"/>
    <mergeCell ref="B38:C38"/>
    <mergeCell ref="D38:E38"/>
    <mergeCell ref="B39:C39"/>
    <mergeCell ref="D39:E39"/>
    <mergeCell ref="I26:M26"/>
    <mergeCell ref="I27:M27"/>
    <mergeCell ref="I28:M28"/>
    <mergeCell ref="I29:M29"/>
    <mergeCell ref="I30:M30"/>
    <mergeCell ref="G35:H35"/>
    <mergeCell ref="D29:E29"/>
    <mergeCell ref="D30:E30"/>
    <mergeCell ref="D31:E31"/>
    <mergeCell ref="D32:E32"/>
    <mergeCell ref="D33:E33"/>
    <mergeCell ref="I35:M35"/>
    <mergeCell ref="I31:M31"/>
    <mergeCell ref="I32:M32"/>
    <mergeCell ref="I33:M33"/>
    <mergeCell ref="I34:M34"/>
    <mergeCell ref="G26:H26"/>
    <mergeCell ref="G27:H27"/>
    <mergeCell ref="G28:H28"/>
    <mergeCell ref="G29:H29"/>
    <mergeCell ref="G30:H30"/>
    <mergeCell ref="G31:H31"/>
    <mergeCell ref="G32:H32"/>
    <mergeCell ref="G33:H33"/>
  </mergeCells>
  <phoneticPr fontId="1" type="noConversion"/>
  <pageMargins left="0.7" right="0.7" top="0.75" bottom="0.75" header="0.3" footer="0.3"/>
  <pageSetup paperSize="9" scale="68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4B931-F594-48A8-8E9A-35ABA0D5C421}">
  <sheetPr>
    <pageSetUpPr autoPageBreaks="0" fitToPage="1"/>
  </sheetPr>
  <dimension ref="A1:K30"/>
  <sheetViews>
    <sheetView zoomScaleNormal="100" workbookViewId="0"/>
  </sheetViews>
  <sheetFormatPr defaultRowHeight="15" customHeight="1" x14ac:dyDescent="0.25"/>
  <sheetData>
    <row r="1" spans="1:11" ht="1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 ht="15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15" customHeight="1" x14ac:dyDescent="0.25">
      <c r="A3" s="48"/>
      <c r="B3" s="93" t="s">
        <v>713</v>
      </c>
      <c r="C3" s="94"/>
      <c r="D3" s="52">
        <v>1895</v>
      </c>
      <c r="E3" s="48"/>
      <c r="F3" s="48"/>
      <c r="G3" s="48"/>
      <c r="H3" s="48"/>
      <c r="I3" s="48"/>
      <c r="J3" s="48"/>
      <c r="K3" s="48"/>
    </row>
    <row r="4" spans="1:11" ht="15" customHeight="1" x14ac:dyDescent="0.25">
      <c r="A4" s="48"/>
      <c r="B4" s="95"/>
      <c r="C4" s="96"/>
      <c r="D4" s="43" t="s">
        <v>702</v>
      </c>
      <c r="E4" s="44" t="s">
        <v>703</v>
      </c>
      <c r="F4" s="44" t="s">
        <v>709</v>
      </c>
      <c r="G4" s="44" t="s">
        <v>704</v>
      </c>
      <c r="H4" s="44" t="s">
        <v>705</v>
      </c>
      <c r="I4" s="44" t="s">
        <v>706</v>
      </c>
      <c r="J4" s="44" t="s">
        <v>746</v>
      </c>
      <c r="K4" s="48"/>
    </row>
    <row r="5" spans="1:11" ht="15" customHeight="1" x14ac:dyDescent="0.3">
      <c r="A5" s="48"/>
      <c r="B5" s="97" t="s">
        <v>741</v>
      </c>
      <c r="C5" s="99"/>
      <c r="D5" s="45">
        <f>(Total_Volume*K_Value)/Sum_Sα_125Hz</f>
        <v>0.68978102189781021</v>
      </c>
      <c r="E5" s="45">
        <f>(Total_Volume*K_Value)/Sum_Sα_250Hz</f>
        <v>0.88696184452152615</v>
      </c>
      <c r="F5" s="45">
        <f>(Total_Volume*K_Value)/Sum_Sα_500Hz</f>
        <v>0.64735666418466131</v>
      </c>
      <c r="G5" s="45">
        <f>(Total_Volume*K_Value)/Sum_Sα_1kHz</f>
        <v>0.56344782890473111</v>
      </c>
      <c r="H5" s="45">
        <f>(Total_Volume*K_Value)/Sum_Sα_2kHz</f>
        <v>0.49879518072289164</v>
      </c>
      <c r="I5" s="45">
        <f>(Total_Volume*K_Value)/Sum_Sα_4kHz</f>
        <v>0.49879518072289164</v>
      </c>
      <c r="J5" s="51">
        <f>AVERAGE(T60_Sabine)</f>
        <v>0.63085628682575201</v>
      </c>
      <c r="K5" s="48"/>
    </row>
    <row r="6" spans="1:11" ht="15" customHeight="1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</row>
    <row r="7" spans="1:11" ht="15" customHeight="1" x14ac:dyDescent="0.25">
      <c r="A7" s="48"/>
      <c r="B7" s="93" t="s">
        <v>718</v>
      </c>
      <c r="C7" s="94"/>
      <c r="D7" s="52">
        <v>1930</v>
      </c>
      <c r="E7" s="48"/>
      <c r="F7" s="48"/>
      <c r="G7" s="48"/>
      <c r="H7" s="48"/>
      <c r="I7" s="48"/>
      <c r="J7" s="48"/>
      <c r="K7" s="48"/>
    </row>
    <row r="8" spans="1:11" ht="15" customHeight="1" x14ac:dyDescent="0.3">
      <c r="A8" s="48"/>
      <c r="B8" s="95"/>
      <c r="C8" s="96"/>
      <c r="D8" s="14" t="s">
        <v>702</v>
      </c>
      <c r="E8" s="13" t="s">
        <v>703</v>
      </c>
      <c r="F8" s="13" t="s">
        <v>709</v>
      </c>
      <c r="G8" s="13" t="s">
        <v>704</v>
      </c>
      <c r="H8" s="13" t="s">
        <v>705</v>
      </c>
      <c r="I8" s="13" t="s">
        <v>706</v>
      </c>
      <c r="J8" s="13" t="s">
        <v>746</v>
      </c>
      <c r="K8" s="48"/>
    </row>
    <row r="9" spans="1:11" ht="15" customHeight="1" x14ac:dyDescent="0.3">
      <c r="A9" s="48"/>
      <c r="B9" s="97" t="s">
        <v>742</v>
      </c>
      <c r="C9" s="99"/>
      <c r="D9" s="45">
        <f>(-K_Value*Total_Volume)/(Total_Surface_Area*LN(1-α_Bar_125Hz))</f>
        <v>0.63946350777152661</v>
      </c>
      <c r="E9" s="45">
        <f>(-K_Value*Total_Volume)/(Total_Surface_Area*LN(1-α_Bar_250Hz))</f>
        <v>0.83694012896067793</v>
      </c>
      <c r="F9" s="45">
        <f>(-K_Value*Total_Volume)/(Total_Surface_Area*LN(1-α_Bar_500Hz))</f>
        <v>0.59694989835484569</v>
      </c>
      <c r="G9" s="45">
        <f>(-K_Value*Total_Volume)/(Total_Surface_Area*LN(1-α_Bar_1kHz))</f>
        <v>0.51282089985815027</v>
      </c>
      <c r="H9" s="45">
        <f>(-K_Value*Total_Volume)/(Total_Surface_Area*LN(1-α_Bar_2kHz))</f>
        <v>0.44794210481354274</v>
      </c>
      <c r="I9" s="45">
        <f>(-K_Value*Total_Volume)/(Total_Surface_Area*LN(1-α_Bar_4kHz))</f>
        <v>0.44794210481354274</v>
      </c>
      <c r="J9" s="51">
        <f>AVERAGE(T60_Eyring)</f>
        <v>0.58034310742871431</v>
      </c>
      <c r="K9" s="48"/>
    </row>
    <row r="10" spans="1:11" ht="15" customHeight="1" x14ac:dyDescent="0.2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</row>
    <row r="11" spans="1:11" ht="15" customHeight="1" x14ac:dyDescent="0.25">
      <c r="A11" s="48"/>
      <c r="B11" s="93" t="s">
        <v>747</v>
      </c>
      <c r="C11" s="94"/>
      <c r="D11" s="52">
        <v>1959</v>
      </c>
      <c r="E11" s="48"/>
      <c r="F11" s="48"/>
      <c r="G11" s="48"/>
      <c r="H11" s="48"/>
      <c r="I11" s="48"/>
      <c r="J11" s="48"/>
      <c r="K11" s="48"/>
    </row>
    <row r="12" spans="1:11" ht="15" customHeight="1" x14ac:dyDescent="0.3">
      <c r="A12" s="48"/>
      <c r="B12" s="95"/>
      <c r="C12" s="96"/>
      <c r="D12" s="42" t="s">
        <v>702</v>
      </c>
      <c r="E12" s="32" t="s">
        <v>703</v>
      </c>
      <c r="F12" s="32" t="s">
        <v>709</v>
      </c>
      <c r="G12" s="32" t="s">
        <v>704</v>
      </c>
      <c r="H12" s="32" t="s">
        <v>705</v>
      </c>
      <c r="I12" s="32" t="s">
        <v>706</v>
      </c>
      <c r="J12" s="32" t="s">
        <v>746</v>
      </c>
      <c r="K12" s="48"/>
    </row>
    <row r="13" spans="1:11" ht="15" customHeight="1" x14ac:dyDescent="0.3">
      <c r="A13" s="48"/>
      <c r="B13" s="97" t="s">
        <v>737</v>
      </c>
      <c r="C13" s="98"/>
      <c r="D13" s="45">
        <f>(K_Value*Total_Volume)/Total_Surface_Area^2*((-X_Surface_Area/LN(1-x_α_Bar_125Hz))+(-Y_Surface_Area/LN(1-y_α_Bar_125Hz))+(-Z_Surface_Area/LN(1-z_α_Bar_125Hz)))</f>
        <v>0.63967384402871763</v>
      </c>
      <c r="E13" s="45">
        <f>(K_Value*Total_Volume)/Total_Surface_Area^2*((-X_Surface_Area/LN(1-x_α_Bar_250Hz))+(-Y_Surface_Area/LN(1-y_α_Bar_250Hz))+(-Z_Surface_Area/LN(1-z_α_Bar_250Hz)))</f>
        <v>0.99578476276892014</v>
      </c>
      <c r="F13" s="45">
        <f>(K_Value*Total_Volume)/Total_Surface_Area^2*((-X_Surface_Area/LN(1-x_α_Bar_500Hz))+(-Y_Surface_Area/LN(1-y_α_Bar_500Hz))+(-Z_Surface_Area/LN(1-z_α_Bar_500Hz)))</f>
        <v>1.1871265783237739</v>
      </c>
      <c r="G13" s="45">
        <f>(K_Value*Total_Volume)/Total_Surface_Area^2*((-X_Surface_Area/LN(1-x_α_Bar_1kHz))+(-Y_Surface_Area/LN(1-y_α_Bar_1kHz))+(-Z_Surface_Area/LN(1-z_α_Bar_1kHz)))</f>
        <v>1.1620807521122467</v>
      </c>
      <c r="H13" s="45">
        <f>(K_Value*Total_Volume)/Total_Surface_Area^2*((-X_Surface_Area/LN(1-x_α_Bar_2kHz))+(-Y_Surface_Area/LN(1-y_α_Bar_2kHz))+(-Z_Surface_Area/LN(1-z_α_Bar_2kHz)))</f>
        <v>1.1436245517910186</v>
      </c>
      <c r="I13" s="45">
        <f>(K_Value*Total_Volume)/Total_Surface_Area^2*((-X_Surface_Area/LN(1-x_α_Bar_4kHz))+(-Y_Surface_Area/LN(1-y_α_Bar_4kHz))+(-Z_Surface_Area/LN(1-z_α_Bar_4kHz)))</f>
        <v>1.1436245517910186</v>
      </c>
      <c r="J13" s="51">
        <f>AVERAGE(RT60_Fitzroy)</f>
        <v>1.0453191734692826</v>
      </c>
      <c r="K13" s="48"/>
    </row>
    <row r="14" spans="1:11" ht="15" customHeight="1" x14ac:dyDescent="0.3">
      <c r="A14" s="48"/>
      <c r="B14" s="97" t="s">
        <v>738</v>
      </c>
      <c r="C14" s="98"/>
      <c r="D14" s="51">
        <f>(K_Value*Total_Volume)/Total_Surface_Area^2*(-X_Surface_Area/LN(1-x_α_Bar_125Hz))</f>
        <v>0.15861296577103257</v>
      </c>
      <c r="E14" s="51">
        <f>(K_Value*Total_Volume)/Total_Surface_Area^2*(-X_Surface_Area/LN(1-x_α_Bar_250Hz))</f>
        <v>0.32964361937959119</v>
      </c>
      <c r="F14" s="51">
        <f>(K_Value*Total_Volume)/Total_Surface_Area^2*(-X_Surface_Area/LN(1-x_α_Bar_500Hz))</f>
        <v>0.46638583332572942</v>
      </c>
      <c r="G14" s="51">
        <f>(K_Value*Total_Volume)/Total_Surface_Area^2*(-X_Surface_Area/LN(1-x_α_Bar_1kHz))</f>
        <v>0.46638583332572942</v>
      </c>
      <c r="H14" s="51">
        <f>(K_Value*Total_Volume)/Total_Surface_Area^2*(-X_Surface_Area/LN(1-x_α_Bar_2kHz))</f>
        <v>0.46638583332572942</v>
      </c>
      <c r="I14" s="51">
        <f>(K_Value*Total_Volume)/Total_Surface_Area^2*(-X_Surface_Area/LN(1-x_α_Bar_4kHz))</f>
        <v>0.46638583332572942</v>
      </c>
      <c r="J14" s="51">
        <f>AVERAGE(RT60_Fitzroy_X)</f>
        <v>0.39229998640892355</v>
      </c>
      <c r="K14" s="48"/>
    </row>
    <row r="15" spans="1:11" ht="15" customHeight="1" x14ac:dyDescent="0.3">
      <c r="A15" s="48"/>
      <c r="B15" s="97" t="s">
        <v>739</v>
      </c>
      <c r="C15" s="98"/>
      <c r="D15" s="51">
        <f>(K_Value*Total_Volume)/Total_Surface_Area^2*(-Y_Surface_Area/LN(1-y_α_Bar_125Hz))</f>
        <v>0.19826620721379071</v>
      </c>
      <c r="E15" s="51">
        <f>(K_Value*Total_Volume)/Total_Surface_Area^2*(-Y_Surface_Area/LN(1-y_α_Bar_250Hz))</f>
        <v>0.41205452422448891</v>
      </c>
      <c r="F15" s="51">
        <f>(K_Value*Total_Volume)/Total_Surface_Area^2*(-Y_Surface_Area/LN(1-y_α_Bar_500Hz))</f>
        <v>0.58298229165716176</v>
      </c>
      <c r="G15" s="51">
        <f>(K_Value*Total_Volume)/Total_Surface_Area^2*(-Y_Surface_Area/LN(1-y_α_Bar_1kHz))</f>
        <v>0.58298229165716176</v>
      </c>
      <c r="H15" s="51">
        <f>(K_Value*Total_Volume)/Total_Surface_Area^2*(-Y_Surface_Area/LN(1-y_α_Bar_2kHz))</f>
        <v>0.58298229165716176</v>
      </c>
      <c r="I15" s="51">
        <f>(K_Value*Total_Volume)/Total_Surface_Area^2*(-Y_Surface_Area/LN(1-y_α_Bar_4kHz))</f>
        <v>0.58298229165716176</v>
      </c>
      <c r="J15" s="51">
        <f>AVERAGE(RT60_Fitzroy_Y)</f>
        <v>0.49037498301115451</v>
      </c>
      <c r="K15" s="48"/>
    </row>
    <row r="16" spans="1:11" ht="15" customHeight="1" x14ac:dyDescent="0.3">
      <c r="A16" s="48"/>
      <c r="B16" s="97" t="s">
        <v>740</v>
      </c>
      <c r="C16" s="98"/>
      <c r="D16" s="51">
        <f>(K_Value*Total_Volume)/Total_Surface_Area^2*(-Z_Surface_Area/LN(1-z_α_Bar_125Hz))</f>
        <v>0.28279467104389439</v>
      </c>
      <c r="E16" s="51">
        <f>(K_Value*Total_Volume)/Total_Surface_Area^2*(-Z_Surface_Area/LN(1-z_α_Bar_250Hz))</f>
        <v>0.25408661916483999</v>
      </c>
      <c r="F16" s="51">
        <f>(K_Value*Total_Volume)/Total_Surface_Area^2*(-Z_Surface_Area/LN(1-z_α_Bar_500Hz))</f>
        <v>0.13775845334088296</v>
      </c>
      <c r="G16" s="51">
        <f>(K_Value*Total_Volume)/Total_Surface_Area^2*(-Z_Surface_Area/LN(1-z_α_Bar_1kHz))</f>
        <v>0.11271262712935563</v>
      </c>
      <c r="H16" s="51">
        <f>(K_Value*Total_Volume)/Total_Surface_Area^2*(-Z_Surface_Area/LN(1-z_α_Bar_2kHz))</f>
        <v>9.4256426808127708E-2</v>
      </c>
      <c r="I16" s="51">
        <f>(K_Value*Total_Volume)/Total_Surface_Area^2*(-Z_Surface_Area/LN(1-z_α_Bar_4kHz))</f>
        <v>9.4256426808127708E-2</v>
      </c>
      <c r="J16" s="51">
        <f>AVERAGE(RT60_Fitzroy_Z)</f>
        <v>0.16264420404920474</v>
      </c>
      <c r="K16" s="48"/>
    </row>
    <row r="17" spans="1:11" ht="15" customHeight="1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</row>
    <row r="18" spans="1:11" ht="15" customHeight="1" x14ac:dyDescent="0.25">
      <c r="A18" s="48"/>
      <c r="B18" s="93" t="s">
        <v>748</v>
      </c>
      <c r="C18" s="94"/>
      <c r="D18" s="52" t="s">
        <v>768</v>
      </c>
      <c r="E18" s="48"/>
      <c r="F18" s="48"/>
      <c r="G18" s="48"/>
      <c r="H18" s="48"/>
      <c r="I18" s="48"/>
      <c r="J18" s="48"/>
      <c r="K18" s="48"/>
    </row>
    <row r="19" spans="1:11" ht="15" customHeight="1" x14ac:dyDescent="0.3">
      <c r="A19" s="48"/>
      <c r="B19" s="95"/>
      <c r="C19" s="96"/>
      <c r="D19" s="13" t="s">
        <v>702</v>
      </c>
      <c r="E19" s="13" t="s">
        <v>703</v>
      </c>
      <c r="F19" s="13" t="s">
        <v>709</v>
      </c>
      <c r="G19" s="13" t="s">
        <v>704</v>
      </c>
      <c r="H19" s="13" t="s">
        <v>705</v>
      </c>
      <c r="I19" s="13" t="s">
        <v>706</v>
      </c>
      <c r="J19" s="13" t="s">
        <v>746</v>
      </c>
      <c r="K19" s="48"/>
    </row>
    <row r="20" spans="1:11" ht="15" customHeight="1" x14ac:dyDescent="0.3">
      <c r="A20" s="48"/>
      <c r="B20" s="97" t="s">
        <v>755</v>
      </c>
      <c r="C20" s="99"/>
      <c r="D20" s="45">
        <f>((2*K_Value*Total_Volume)/(Total_Surface_Area^2))*((Room_Height*(Room_Lenght+Room_Width)/α_Star_X_Y_125Hz)+((Room_Lenght*Room_Width)/α_Star_Z_125Hz))</f>
        <v>0.64250465531155043</v>
      </c>
      <c r="E20" s="45">
        <f>((2*K_Value*Total_Volume)/(Total_Surface_Area^2))*((Room_Height*(Room_Lenght+Room_Width)/α_Star_X_Y_250Hz)+((Room_Lenght*Room_Width)/α_Star_Z_250Hz))</f>
        <v>0.9431255330792544</v>
      </c>
      <c r="F20" s="45">
        <f>((2*K_Value*Total_Volume)/(Total_Surface_Area^2))*((Room_Height*(Room_Lenght+Room_Width)/α_Star_X_Y_500Hz)+((Room_Lenght*Room_Width)/α_Star_Z_500Hz))</f>
        <v>0.75682464321744281</v>
      </c>
      <c r="G20" s="45">
        <f>((2*K_Value*Total_Volume)/(Total_Surface_Area^2))*((Room_Height*(Room_Lenght+Room_Width)/α_Star_X_Y_1kHz)+((Room_Lenght*Room_Width)/α_Star_Z_1kHz))</f>
        <v>0.65957041413947581</v>
      </c>
      <c r="H20" s="45">
        <f>((2*K_Value*Total_Volume)/(Total_Surface_Area^2))*((Room_Height*(Room_Lenght+Room_Width)/α_Star_X_Y_2kHz)+((Room_Lenght*Room_Width)/α_Star_Z_2kHz))</f>
        <v>0.58116339375474724</v>
      </c>
      <c r="I20" s="45">
        <f>((2*K_Value*Total_Volume)/(Total_Surface_Area^2))*((Room_Height*(Room_Lenght+Room_Width)/α_Star_X_Y_4kHz)+((Room_Lenght*Room_Width)/α_Star_Z_4kHz))</f>
        <v>0.58116339375474724</v>
      </c>
      <c r="J20" s="51">
        <f>AVERAGE(T60_Neubauer)</f>
        <v>0.69405867220953621</v>
      </c>
      <c r="K20" s="48"/>
    </row>
    <row r="21" spans="1:11" ht="15" customHeight="1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</row>
    <row r="22" spans="1:11" ht="15" customHeight="1" x14ac:dyDescent="0.25">
      <c r="A22" s="48"/>
      <c r="B22" s="93" t="s">
        <v>757</v>
      </c>
      <c r="C22" s="94"/>
      <c r="D22" s="52">
        <v>1988</v>
      </c>
      <c r="E22" s="48"/>
      <c r="F22" s="48"/>
      <c r="G22" s="48"/>
      <c r="H22" s="48"/>
      <c r="I22" s="48"/>
      <c r="J22" s="48"/>
      <c r="K22" s="48"/>
    </row>
    <row r="23" spans="1:11" ht="15" customHeight="1" x14ac:dyDescent="0.3">
      <c r="A23" s="48"/>
      <c r="B23" s="95"/>
      <c r="C23" s="96"/>
      <c r="D23" s="13" t="s">
        <v>702</v>
      </c>
      <c r="E23" s="13" t="s">
        <v>703</v>
      </c>
      <c r="F23" s="13" t="s">
        <v>709</v>
      </c>
      <c r="G23" s="13" t="s">
        <v>704</v>
      </c>
      <c r="H23" s="13" t="s">
        <v>705</v>
      </c>
      <c r="I23" s="13" t="s">
        <v>706</v>
      </c>
      <c r="J23" s="13" t="s">
        <v>746</v>
      </c>
      <c r="K23" s="48"/>
    </row>
    <row r="24" spans="1:11" ht="15" customHeight="1" x14ac:dyDescent="0.3">
      <c r="A24" s="48"/>
      <c r="B24" s="97" t="s">
        <v>762</v>
      </c>
      <c r="C24" s="99"/>
      <c r="D24" s="45">
        <f>arau_x_125Hz*arau_y_125Hz*arau_z_125Hz</f>
        <v>0.63956003568426512</v>
      </c>
      <c r="E24" s="45">
        <f>arau_x_250Hz*arau_y_250Hz*arau_z_250Hz</f>
        <v>0.91025903228770411</v>
      </c>
      <c r="F24" s="45">
        <f>arau_x_500Hz*arau_y_500Hz*arau_z_500Hz</f>
        <v>0.83521938576159371</v>
      </c>
      <c r="G24" s="45">
        <f>arau_x_1kHz*arau_y_1kHz*arau_z_1kHz</f>
        <v>0.76288160176835251</v>
      </c>
      <c r="H24" s="45">
        <f>arau_x_2kHz*arau_y_2kHz*arau_z_2kHz</f>
        <v>0.70371283236212068</v>
      </c>
      <c r="I24" s="45">
        <f>arau_x_4kHz*arau_y_4kHz*arau_z_4kHz</f>
        <v>0.70371283236212068</v>
      </c>
      <c r="J24" s="51">
        <f>AVERAGE(T60_Arau)</f>
        <v>0.75922428670435949</v>
      </c>
      <c r="K24" s="48"/>
    </row>
    <row r="25" spans="1:11" ht="15" customHeight="1" x14ac:dyDescent="0.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</row>
    <row r="26" spans="1:11" ht="15" customHeight="1" x14ac:dyDescent="0.25">
      <c r="A26" s="48"/>
      <c r="B26" s="93" t="s">
        <v>763</v>
      </c>
      <c r="C26" s="94"/>
      <c r="D26" s="52">
        <v>1932</v>
      </c>
      <c r="E26" s="48"/>
      <c r="F26" s="48"/>
      <c r="G26" s="48"/>
      <c r="H26" s="48"/>
      <c r="I26" s="48"/>
      <c r="J26" s="48"/>
      <c r="K26" s="48"/>
    </row>
    <row r="27" spans="1:11" ht="15" customHeight="1" x14ac:dyDescent="0.3">
      <c r="A27" s="48"/>
      <c r="B27" s="95"/>
      <c r="C27" s="96"/>
      <c r="D27" s="13" t="s">
        <v>702</v>
      </c>
      <c r="E27" s="13" t="s">
        <v>703</v>
      </c>
      <c r="F27" s="13" t="s">
        <v>709</v>
      </c>
      <c r="G27" s="13" t="s">
        <v>704</v>
      </c>
      <c r="H27" s="13" t="s">
        <v>705</v>
      </c>
      <c r="I27" s="13" t="s">
        <v>706</v>
      </c>
      <c r="J27" s="13" t="s">
        <v>746</v>
      </c>
      <c r="K27" s="48"/>
    </row>
    <row r="28" spans="1:11" ht="15" customHeight="1" x14ac:dyDescent="0.3">
      <c r="A28" s="48"/>
      <c r="B28" s="97" t="s">
        <v>767</v>
      </c>
      <c r="C28" s="99"/>
      <c r="D28" s="45">
        <f>(-K_Value*Total_Volume)/(SUM(Millington_σ_125Hz))</f>
        <v>0.63941380092514022</v>
      </c>
      <c r="E28" s="45">
        <f>(-K_Value*Total_Volume)/(SUM(Millington_σ_250Hz))</f>
        <v>0.81010131467897806</v>
      </c>
      <c r="F28" s="45">
        <f>(-K_Value*Total_Volume)/(SUM(Millington_σ_500Hz))</f>
        <v>0.50018227236352897</v>
      </c>
      <c r="G28" s="45">
        <f>(-K_Value*Total_Volume)/(SUM(Millington_σ_1kHz))</f>
        <v>0.39799428764563827</v>
      </c>
      <c r="H28" s="45">
        <f>(-K_Value*Total_Volume)/(SUM(Millington_σ_2kHz))</f>
        <v>0.31502081783681385</v>
      </c>
      <c r="I28" s="45">
        <f>(-K_Value*Total_Volume)/(SUM(Millington_σ_4kHz))</f>
        <v>0.31502081783681385</v>
      </c>
      <c r="J28" s="51">
        <f>AVERAGE(T60_Millington)</f>
        <v>0.49628888521448555</v>
      </c>
      <c r="K28" s="48"/>
    </row>
    <row r="29" spans="1:11" ht="15" customHeight="1" x14ac:dyDescent="0.2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</row>
    <row r="30" spans="1:11" ht="15" customHeight="1" x14ac:dyDescent="0.2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</row>
  </sheetData>
  <mergeCells count="15">
    <mergeCell ref="B28:C28"/>
    <mergeCell ref="B26:C27"/>
    <mergeCell ref="B24:C24"/>
    <mergeCell ref="B22:C23"/>
    <mergeCell ref="B5:C5"/>
    <mergeCell ref="B16:C16"/>
    <mergeCell ref="B20:C20"/>
    <mergeCell ref="B18:C19"/>
    <mergeCell ref="B3:C4"/>
    <mergeCell ref="B7:C8"/>
    <mergeCell ref="B13:C13"/>
    <mergeCell ref="B14:C14"/>
    <mergeCell ref="B15:C15"/>
    <mergeCell ref="B9:C9"/>
    <mergeCell ref="B11:C12"/>
  </mergeCells>
  <pageMargins left="0.7" right="0.7" top="0.75" bottom="0.75" header="0.3" footer="0.3"/>
  <pageSetup paperSize="9" scale="86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777D-500C-4976-AC3F-8F81A642EE5C}">
  <dimension ref="B2:W118"/>
  <sheetViews>
    <sheetView topLeftCell="A88" workbookViewId="0">
      <selection activeCell="D118" sqref="D118"/>
    </sheetView>
  </sheetViews>
  <sheetFormatPr defaultRowHeight="15" customHeight="1" x14ac:dyDescent="0.25"/>
  <cols>
    <col min="1" max="16384" width="9.140625" style="21"/>
  </cols>
  <sheetData>
    <row r="2" spans="2:23" ht="15" customHeight="1" x14ac:dyDescent="0.25">
      <c r="B2" s="22"/>
      <c r="C2" s="22"/>
      <c r="D2" s="22"/>
      <c r="E2" s="22"/>
      <c r="F2" s="22"/>
      <c r="G2" s="22"/>
      <c r="H2" s="22"/>
      <c r="I2" s="22"/>
      <c r="J2" s="22"/>
    </row>
    <row r="3" spans="2:23" ht="15" customHeight="1" x14ac:dyDescent="0.25">
      <c r="B3" s="22"/>
      <c r="C3" s="22"/>
      <c r="D3" s="22"/>
      <c r="E3" s="22"/>
      <c r="F3" s="22"/>
      <c r="G3" s="22"/>
      <c r="H3" s="22"/>
      <c r="I3" s="22"/>
      <c r="J3" s="22"/>
    </row>
    <row r="4" spans="2:23" ht="15" customHeight="1" x14ac:dyDescent="0.25">
      <c r="B4" s="22"/>
      <c r="C4" s="22"/>
      <c r="D4" s="68" t="s">
        <v>719</v>
      </c>
      <c r="E4" s="69"/>
      <c r="F4" s="69"/>
      <c r="G4" s="69"/>
      <c r="H4" s="70"/>
      <c r="I4" s="17"/>
      <c r="J4" s="17"/>
    </row>
    <row r="5" spans="2:23" ht="15" customHeight="1" x14ac:dyDescent="0.25">
      <c r="B5" s="22"/>
      <c r="C5" s="22"/>
      <c r="D5" s="74"/>
      <c r="E5" s="75"/>
      <c r="F5" s="75"/>
      <c r="G5" s="75"/>
      <c r="H5" s="76"/>
      <c r="I5" s="17"/>
      <c r="J5" s="17"/>
    </row>
    <row r="6" spans="2:23" ht="15" customHeight="1" x14ac:dyDescent="0.25">
      <c r="B6" s="22"/>
      <c r="C6" s="22"/>
      <c r="D6" s="17"/>
      <c r="E6" s="17"/>
      <c r="F6" s="17"/>
      <c r="G6" s="17"/>
      <c r="H6" s="17"/>
      <c r="I6" s="17"/>
      <c r="J6" s="17"/>
    </row>
    <row r="7" spans="2:23" ht="15" customHeight="1" x14ac:dyDescent="0.3">
      <c r="B7" s="97" t="s">
        <v>736</v>
      </c>
      <c r="C7" s="99"/>
      <c r="D7" s="98"/>
      <c r="E7" s="77" t="s">
        <v>708</v>
      </c>
      <c r="F7" s="77"/>
      <c r="G7" s="77"/>
      <c r="H7" s="77"/>
      <c r="I7" s="77"/>
      <c r="J7" s="77"/>
      <c r="K7" s="101" t="s">
        <v>707</v>
      </c>
      <c r="L7" s="77"/>
      <c r="M7" s="77"/>
      <c r="N7" s="77"/>
      <c r="O7" s="77"/>
      <c r="P7" s="77"/>
      <c r="W7" s="22"/>
    </row>
    <row r="8" spans="2:23" ht="15" customHeight="1" x14ac:dyDescent="0.3">
      <c r="B8" s="102" t="s">
        <v>717</v>
      </c>
      <c r="C8" s="102"/>
      <c r="D8" s="32" t="s">
        <v>721</v>
      </c>
      <c r="E8" s="32" t="s">
        <v>702</v>
      </c>
      <c r="F8" s="32" t="s">
        <v>703</v>
      </c>
      <c r="G8" s="32" t="s">
        <v>709</v>
      </c>
      <c r="H8" s="32" t="s">
        <v>704</v>
      </c>
      <c r="I8" s="32" t="s">
        <v>705</v>
      </c>
      <c r="J8" s="32" t="s">
        <v>706</v>
      </c>
      <c r="K8" s="32" t="s">
        <v>702</v>
      </c>
      <c r="L8" s="32" t="s">
        <v>703</v>
      </c>
      <c r="M8" s="32" t="s">
        <v>709</v>
      </c>
      <c r="N8" s="32" t="s">
        <v>704</v>
      </c>
      <c r="O8" s="32" t="s">
        <v>705</v>
      </c>
      <c r="P8" s="32" t="s">
        <v>706</v>
      </c>
      <c r="W8" s="22"/>
    </row>
    <row r="9" spans="2:23" ht="15" customHeight="1" x14ac:dyDescent="0.3">
      <c r="B9" s="100" t="str">
        <f>IF(ISNONTEXT(Inputs!B16),"",(Inputs!B16))</f>
        <v>wall 1</v>
      </c>
      <c r="C9" s="100"/>
      <c r="D9" s="37" t="str">
        <f>IF(ISNONTEXT(Inputs!F16),"",(Inputs!F16))</f>
        <v>y</v>
      </c>
      <c r="E9" s="18">
        <f>IF(ISERROR(VLOOKUP(Inputs!G16,'Absorption Coefficients'!A:I,3,FALSE)),"",(VLOOKUP(Inputs!G16,'Absorption Coefficients'!A:I,3,FALSE)))</f>
        <v>0.14000000000000001</v>
      </c>
      <c r="F9" s="18">
        <f>IF(ISERROR(VLOOKUP(Inputs!G16,'Absorption Coefficients'!A:I,4,FALSE)),"",(VLOOKUP(Inputs!G16,'Absorption Coefficients'!A:I,4,FALSE)))</f>
        <v>7.0000000000000007E-2</v>
      </c>
      <c r="G9" s="18">
        <f>IF(ISERROR(VLOOKUP(Inputs!G16,'Absorption Coefficients'!A:I,5,FALSE)),"",(VLOOKUP(Inputs!G16,'Absorption Coefficients'!A:I,5,FALSE)))</f>
        <v>0.05</v>
      </c>
      <c r="H9" s="18">
        <f>IF(ISERROR(VLOOKUP(Inputs!G16,'Absorption Coefficients'!A:I,6,FALSE)),"",(VLOOKUP(Inputs!G16,'Absorption Coefficients'!A:I,6,FALSE)))</f>
        <v>0.05</v>
      </c>
      <c r="I9" s="18">
        <f>IF(ISERROR(VLOOKUP(Inputs!G16,'Absorption Coefficients'!A:I,7,FALSE)),"",(VLOOKUP(Inputs!G16,'Absorption Coefficients'!A:I,7,FALSE)))</f>
        <v>0.05</v>
      </c>
      <c r="J9" s="18">
        <f>IF(ISERROR(VLOOKUP(Inputs!G16,'Absorption Coefficients'!A:I,8,FALSE)),"",(VLOOKUP(Inputs!G16,'Absorption Coefficients'!A:I,8,FALSE)))</f>
        <v>0.05</v>
      </c>
      <c r="K9" s="16">
        <f>IF(ISERROR(Surface_Area_1*Absorption_Coefficient_Surface1_125Hz),"",(Surface_Area_1*Absorption_Coefficient_Surface1_125Hz))</f>
        <v>1.8900000000000001</v>
      </c>
      <c r="L9" s="16">
        <f>IF(ISERROR(Surface_Area_1*Absorption_Coefficient_Surface1_250Hz),"",(Surface_Area_1*Absorption_Coefficient_Surface1_250Hz))</f>
        <v>0.94500000000000006</v>
      </c>
      <c r="M9" s="16">
        <f>IF(ISERROR(Surface_Area_1*Absorption_Coefficient_Surface1_500Hz),"",(Surface_Area_1*Absorption_Coefficient_Surface1_500Hz))</f>
        <v>0.67500000000000004</v>
      </c>
      <c r="N9" s="16">
        <f>IF(ISERROR(Surface_Area_1*Absorption_Coefficient_Surface1_1kHz),"",(Surface_Area_1*Absorption_Coefficient_Surface1_1kHz))</f>
        <v>0.67500000000000004</v>
      </c>
      <c r="O9" s="16">
        <f>IF(ISERROR(Surface_Area_1*Absorption_Coefficient_Surface1_2kHz),"",(Surface_Area_1*Absorption_Coefficient_Surface1_2kHz))</f>
        <v>0.67500000000000004</v>
      </c>
      <c r="P9" s="16">
        <f>IF(ISERROR(Surface_Area_1*Absorption_Coefficient_Surface1_4kHz),"",(Surface_Area_1*Absorption_Coefficient_Surface1_4kHz))</f>
        <v>0.67500000000000004</v>
      </c>
      <c r="R9" s="21">
        <v>3150</v>
      </c>
      <c r="W9" s="22"/>
    </row>
    <row r="10" spans="2:23" ht="15" customHeight="1" x14ac:dyDescent="0.3">
      <c r="B10" s="100" t="str">
        <f>IF(ISNONTEXT(Inputs!B17),"",(Inputs!B17))</f>
        <v>wall 2</v>
      </c>
      <c r="C10" s="100"/>
      <c r="D10" s="37" t="str">
        <f>IF(ISNONTEXT(Inputs!F17),"",(Inputs!F17))</f>
        <v>x</v>
      </c>
      <c r="E10" s="18">
        <f>IF(ISERROR(VLOOKUP(Inputs!G17,'Absorption Coefficients'!A:I,3,FALSE)),"",(VLOOKUP(Inputs!G17,'Absorption Coefficients'!A:I,3,FALSE)))</f>
        <v>0.14000000000000001</v>
      </c>
      <c r="F10" s="18">
        <f>IF(ISERROR(VLOOKUP(Inputs!G17,'Absorption Coefficients'!A:I,4,FALSE)),"",(VLOOKUP(Inputs!G17,'Absorption Coefficients'!A:I,4,FALSE)))</f>
        <v>7.0000000000000007E-2</v>
      </c>
      <c r="G10" s="18">
        <f>IF(ISERROR(VLOOKUP(Inputs!G17,'Absorption Coefficients'!A:I,5,FALSE)),"",(VLOOKUP(Inputs!G17,'Absorption Coefficients'!A:I,5,FALSE)))</f>
        <v>0.05</v>
      </c>
      <c r="H10" s="18">
        <f>IF(ISERROR(VLOOKUP(Inputs!G17,'Absorption Coefficients'!A:I,6,FALSE)),"",(VLOOKUP(Inputs!G17,'Absorption Coefficients'!A:I,6,FALSE)))</f>
        <v>0.05</v>
      </c>
      <c r="I10" s="18">
        <f>IF(ISERROR(VLOOKUP(Inputs!G17,'Absorption Coefficients'!A:I,7,FALSE)),"",(VLOOKUP(Inputs!G17,'Absorption Coefficients'!A:I,7,FALSE)))</f>
        <v>0.05</v>
      </c>
      <c r="J10" s="18">
        <f>IF(ISERROR(VLOOKUP(Inputs!G17,'Absorption Coefficients'!A:I,8,FALSE)),"",(VLOOKUP(Inputs!G17,'Absorption Coefficients'!A:I,8,FALSE)))</f>
        <v>0.05</v>
      </c>
      <c r="K10" s="16">
        <f>IF(ISERROR(Surface_Area_2*Absorption_Coefficient_Surface2_125Hz),"",(Surface_Area_2*Absorption_Coefficient_Surface2_125Hz))</f>
        <v>1.5120000000000002</v>
      </c>
      <c r="L10" s="16">
        <f>IF(ISERROR(Surface_Area_2*Absorption_Coefficient_Surface2_250Hz),"",(Surface_Area_2*Absorption_Coefficient_Surface2_250Hz))</f>
        <v>0.75600000000000012</v>
      </c>
      <c r="M10" s="16">
        <f>IF(ISERROR(Surface_Area_2*Absorption_Coefficient_Surface2_500Hz),"",(Surface_Area_2*Absorption_Coefficient_Surface2_500Hz))</f>
        <v>0.54</v>
      </c>
      <c r="N10" s="16">
        <f>IF(ISERROR(Surface_Area_2*Absorption_Coefficient_Surface2_1kHz),"",(Surface_Area_2*Absorption_Coefficient_Surface2_1kHz))</f>
        <v>0.54</v>
      </c>
      <c r="O10" s="16">
        <f>IF(ISERROR(Surface_Area_2*Absorption_Coefficient_Surface2_2kHz),"",(Surface_Area_2*Absorption_Coefficient_Surface2_2kHz))</f>
        <v>0.54</v>
      </c>
      <c r="P10" s="16">
        <f>IF(ISERROR(Surface_Area_2*Absorption_Coefficient_Surface2_4kHz),"",(Surface_Area_2*Absorption_Coefficient_Surface2_4kHz))</f>
        <v>0.54</v>
      </c>
      <c r="R10" s="21">
        <v>3150</v>
      </c>
      <c r="W10" s="22"/>
    </row>
    <row r="11" spans="2:23" ht="15" customHeight="1" x14ac:dyDescent="0.3">
      <c r="B11" s="100" t="str">
        <f>IF(ISNONTEXT(Inputs!B18),"",(Inputs!B18))</f>
        <v>wall 3</v>
      </c>
      <c r="C11" s="100"/>
      <c r="D11" s="37" t="str">
        <f>IF(ISNONTEXT(Inputs!F18),"",(Inputs!F18))</f>
        <v>y</v>
      </c>
      <c r="E11" s="18">
        <f>IF(ISERROR(VLOOKUP(Inputs!G18,'Absorption Coefficients'!A:I,3,FALSE)),"",(VLOOKUP(Inputs!G18,'Absorption Coefficients'!A:I,3,FALSE)))</f>
        <v>0.14000000000000001</v>
      </c>
      <c r="F11" s="18">
        <f>IF(ISERROR(VLOOKUP(Inputs!G18,'Absorption Coefficients'!A:I,4,FALSE)),"",(VLOOKUP(Inputs!G18,'Absorption Coefficients'!A:I,4,FALSE)))</f>
        <v>7.0000000000000007E-2</v>
      </c>
      <c r="G11" s="18">
        <f>IF(ISERROR(VLOOKUP(Inputs!G18,'Absorption Coefficients'!A:I,5,FALSE)),"",(VLOOKUP(Inputs!G18,'Absorption Coefficients'!A:I,5,FALSE)))</f>
        <v>0.05</v>
      </c>
      <c r="H11" s="18">
        <f>IF(ISERROR(VLOOKUP(Inputs!G18,'Absorption Coefficients'!A:I,6,FALSE)),"",(VLOOKUP(Inputs!G18,'Absorption Coefficients'!A:I,6,FALSE)))</f>
        <v>0.05</v>
      </c>
      <c r="I11" s="18">
        <f>IF(ISERROR(VLOOKUP(Inputs!G18,'Absorption Coefficients'!A:I,7,FALSE)),"",(VLOOKUP(Inputs!G18,'Absorption Coefficients'!A:I,7,FALSE)))</f>
        <v>0.05</v>
      </c>
      <c r="J11" s="18">
        <f>IF(ISERROR(VLOOKUP(Inputs!G18,'Absorption Coefficients'!A:I,8,FALSE)),"",(VLOOKUP(Inputs!G18,'Absorption Coefficients'!A:I,8,FALSE)))</f>
        <v>0.05</v>
      </c>
      <c r="K11" s="16">
        <f>IF(ISERROR(Surface_Area_3*Absorption_Coefficient_Surface3_125Hz),"",(Surface_Area_3*Absorption_Coefficient_Surface3_125Hz))</f>
        <v>1.8900000000000001</v>
      </c>
      <c r="L11" s="16">
        <f>IF(ISERROR(Surface_Area_3*Absorption_Coefficient_Surface3_250Hz),"",(Surface_Area_3*Absorption_Coefficient_Surface3_250Hz))</f>
        <v>0.94500000000000006</v>
      </c>
      <c r="M11" s="16">
        <f>IF(ISERROR(Surface_Area_3*Absorption_Coefficient_Surface3_500Hz),"",(Surface_Area_3*Absorption_Coefficient_Surface3_500Hz))</f>
        <v>0.67500000000000004</v>
      </c>
      <c r="N11" s="16">
        <f>IF(ISERROR(Surface_Area_3*Absorption_Coefficient_Surface3_1kHz),"",(Surface_Area_3*Absorption_Coefficient_Surface3_1kHz))</f>
        <v>0.67500000000000004</v>
      </c>
      <c r="O11" s="16">
        <f>IF(ISERROR(Surface_Area_3*Absorption_Coefficient_Surface3_2kHz),"",(Surface_Area_3*Absorption_Coefficient_Surface3_2kHz))</f>
        <v>0.67500000000000004</v>
      </c>
      <c r="P11" s="16">
        <f>IF(ISERROR(Surface_Area_3*Absorption_Coefficient_Surface3_4kHz),"",(Surface_Area_3*Absorption_Coefficient_Surface3_4kHz))</f>
        <v>0.67500000000000004</v>
      </c>
      <c r="R11" s="21">
        <v>3150</v>
      </c>
      <c r="W11" s="22"/>
    </row>
    <row r="12" spans="2:23" ht="15" customHeight="1" x14ac:dyDescent="0.3">
      <c r="B12" s="100" t="str">
        <f>IF(ISNONTEXT(Inputs!B19),"",(Inputs!B19))</f>
        <v>wall 4</v>
      </c>
      <c r="C12" s="100"/>
      <c r="D12" s="37" t="str">
        <f>IF(ISNONTEXT(Inputs!F19),"",(Inputs!F19))</f>
        <v>x</v>
      </c>
      <c r="E12" s="18">
        <f>IF(ISERROR(VLOOKUP(Inputs!G19,'Absorption Coefficients'!A:I,3,FALSE)),"",(VLOOKUP(Inputs!G19,'Absorption Coefficients'!A:I,3,FALSE)))</f>
        <v>0.14000000000000001</v>
      </c>
      <c r="F12" s="18">
        <f>IF(ISERROR(VLOOKUP(Inputs!G19,'Absorption Coefficients'!A:I,4,FALSE)),"",(VLOOKUP(Inputs!G19,'Absorption Coefficients'!A:I,4,FALSE)))</f>
        <v>7.0000000000000007E-2</v>
      </c>
      <c r="G12" s="18">
        <f>IF(ISERROR(VLOOKUP(Inputs!G19,'Absorption Coefficients'!A:I,5,FALSE)),"",(VLOOKUP(Inputs!G19,'Absorption Coefficients'!A:I,5,FALSE)))</f>
        <v>0.05</v>
      </c>
      <c r="H12" s="18">
        <f>IF(ISERROR(VLOOKUP(Inputs!G19,'Absorption Coefficients'!A:I,6,FALSE)),"",(VLOOKUP(Inputs!G19,'Absorption Coefficients'!A:I,6,FALSE)))</f>
        <v>0.05</v>
      </c>
      <c r="I12" s="18">
        <f>IF(ISERROR(VLOOKUP(Inputs!G19,'Absorption Coefficients'!A:I,7,FALSE)),"",(VLOOKUP(Inputs!G19,'Absorption Coefficients'!A:I,7,FALSE)))</f>
        <v>0.05</v>
      </c>
      <c r="J12" s="18">
        <f>IF(ISERROR(VLOOKUP(Inputs!G19,'Absorption Coefficients'!A:I,8,FALSE)),"",(VLOOKUP(Inputs!G19,'Absorption Coefficients'!A:I,8,FALSE)))</f>
        <v>0.05</v>
      </c>
      <c r="K12" s="16">
        <f>IF(ISERROR(Surface_Area_4*Absorption_Coefficient_Surface4_125Hz),"",(Surface_Area_4*Absorption_Coefficient_Surface4_125Hz))</f>
        <v>1.5120000000000002</v>
      </c>
      <c r="L12" s="16">
        <f>IF(ISERROR(Surface_Area_4*Absorption_Coefficient_Surface4_250Hz),"",(Surface_Area_4*Absorption_Coefficient_Surface4_250Hz))</f>
        <v>0.75600000000000012</v>
      </c>
      <c r="M12" s="16">
        <f>IF(ISERROR(Surface_Area_4*Absorption_Coefficient_Surface4_500Hz),"",(Surface_Area_4*Absorption_Coefficient_Surface4_500Hz))</f>
        <v>0.54</v>
      </c>
      <c r="N12" s="16">
        <f>IF(ISERROR(Surface_Area_4*Absorption_Coefficient_Surface4_1kHz),"",(Surface_Area_4*Absorption_Coefficient_Surface4_1kHz))</f>
        <v>0.54</v>
      </c>
      <c r="O12" s="16">
        <f>IF(ISERROR(Surface_Area_4*Absorption_Coefficient_Surface4_2kHz),"",(Surface_Area_4*Absorption_Coefficient_Surface4_2kHz))</f>
        <v>0.54</v>
      </c>
      <c r="P12" s="16">
        <f>IF(ISERROR(Surface_Area_4*Absorption_Coefficient_Surface4_4kHz),"",(Surface_Area_4*Absorption_Coefficient_Surface4_4kHz))</f>
        <v>0.54</v>
      </c>
      <c r="R12" s="21">
        <v>3150</v>
      </c>
      <c r="W12" s="22"/>
    </row>
    <row r="13" spans="2:23" ht="15" customHeight="1" x14ac:dyDescent="0.3">
      <c r="B13" s="100" t="str">
        <f>IF(ISNONTEXT(Inputs!B20),"",(Inputs!B20))</f>
        <v>Floor</v>
      </c>
      <c r="C13" s="100"/>
      <c r="D13" s="37" t="str">
        <f>IF(ISNONTEXT(Inputs!F20),"",(Inputs!F20))</f>
        <v>z</v>
      </c>
      <c r="E13" s="18">
        <f>IF(ISERROR(VLOOKUP(Inputs!G20,'Absorption Coefficients'!A:I,3,FALSE)),"",(VLOOKUP(Inputs!G20,'Absorption Coefficients'!A:I,3,FALSE)))</f>
        <v>0.15</v>
      </c>
      <c r="F13" s="18">
        <f>IF(ISERROR(VLOOKUP(Inputs!G20,'Absorption Coefficients'!A:I,4,FALSE)),"",(VLOOKUP(Inputs!G20,'Absorption Coefficients'!A:I,4,FALSE)))</f>
        <v>0.25</v>
      </c>
      <c r="G13" s="18">
        <f>IF(ISERROR(VLOOKUP(Inputs!G20,'Absorption Coefficients'!A:I,5,FALSE)),"",(VLOOKUP(Inputs!G20,'Absorption Coefficients'!A:I,5,FALSE)))</f>
        <v>0.5</v>
      </c>
      <c r="H13" s="18">
        <f>IF(ISERROR(VLOOKUP(Inputs!G20,'Absorption Coefficients'!A:I,6,FALSE)),"",(VLOOKUP(Inputs!G20,'Absorption Coefficients'!A:I,6,FALSE)))</f>
        <v>0.6</v>
      </c>
      <c r="I13" s="18">
        <f>IF(ISERROR(VLOOKUP(Inputs!G20,'Absorption Coefficients'!A:I,7,FALSE)),"",(VLOOKUP(Inputs!G20,'Absorption Coefficients'!A:I,7,FALSE)))</f>
        <v>0.7</v>
      </c>
      <c r="J13" s="18">
        <f>IF(ISERROR(VLOOKUP(Inputs!G20,'Absorption Coefficients'!A:I,8,FALSE)),"",(VLOOKUP(Inputs!G20,'Absorption Coefficients'!A:I,8,FALSE)))</f>
        <v>0.7</v>
      </c>
      <c r="K13" s="16">
        <f>IF(ISERROR(Surface_Area_5*Absorption_Coefficient_Surface5_125Hz),"",(Surface_Area_5*Absorption_Coefficient_Surface5_125Hz))</f>
        <v>3</v>
      </c>
      <c r="L13" s="16">
        <f>IF(ISERROR(Surface_Area_5*Absorption_Coefficient_Surface5_250Hz),"",(Surface_Area_5*Absorption_Coefficient_Surface5_250Hz))</f>
        <v>5</v>
      </c>
      <c r="M13" s="16">
        <f>IF(ISERROR(Surface_Area_5*Absorption_Coefficient_Surface5_500Hz),"",(Surface_Area_5*Absorption_Coefficient_Surface5_500Hz))</f>
        <v>10</v>
      </c>
      <c r="N13" s="16">
        <f>IF(ISERROR(Surface_Area_5*Absorption_Coefficient_Surface5_1kHz),"",(Surface_Area_5*Absorption_Coefficient_Surface5_1kHz))</f>
        <v>12</v>
      </c>
      <c r="O13" s="16">
        <f>IF(ISERROR(Surface_Area_5*Absorption_Coefficient_Surface5_2kHz),"",(Surface_Area_5*Absorption_Coefficient_Surface5_2kHz))</f>
        <v>14</v>
      </c>
      <c r="P13" s="16">
        <f>IF(ISERROR(Surface_Area_5*Absorption_Coefficient_Surface5_4kHz),"",(Surface_Area_5*Absorption_Coefficient_Surface5_4kHz))</f>
        <v>14</v>
      </c>
      <c r="R13" s="21">
        <v>2050</v>
      </c>
      <c r="W13" s="22"/>
    </row>
    <row r="14" spans="2:23" ht="15" customHeight="1" x14ac:dyDescent="0.3">
      <c r="B14" s="100" t="str">
        <f>IF(ISNONTEXT(Inputs!B21),"",(Inputs!B21))</f>
        <v>ceiling</v>
      </c>
      <c r="C14" s="100"/>
      <c r="D14" s="37" t="str">
        <f>IF(ISNONTEXT(Inputs!F21),"",(Inputs!F21))</f>
        <v>z</v>
      </c>
      <c r="E14" s="18">
        <f>IF(ISERROR(VLOOKUP(Inputs!G21,'Absorption Coefficients'!A:I,3,FALSE)),"",(VLOOKUP(Inputs!G21,'Absorption Coefficients'!A:I,3,FALSE)))</f>
        <v>0.14000000000000001</v>
      </c>
      <c r="F14" s="18">
        <f>IF(ISERROR(VLOOKUP(Inputs!G21,'Absorption Coefficients'!A:I,4,FALSE)),"",(VLOOKUP(Inputs!G21,'Absorption Coefficients'!A:I,4,FALSE)))</f>
        <v>7.0000000000000007E-2</v>
      </c>
      <c r="G14" s="18">
        <f>IF(ISERROR(VLOOKUP(Inputs!G21,'Absorption Coefficients'!A:I,5,FALSE)),"",(VLOOKUP(Inputs!G21,'Absorption Coefficients'!A:I,5,FALSE)))</f>
        <v>0.05</v>
      </c>
      <c r="H14" s="18">
        <f>IF(ISERROR(VLOOKUP(Inputs!G21,'Absorption Coefficients'!A:I,6,FALSE)),"",(VLOOKUP(Inputs!G21,'Absorption Coefficients'!A:I,6,FALSE)))</f>
        <v>0.05</v>
      </c>
      <c r="I14" s="18">
        <f>IF(ISERROR(VLOOKUP(Inputs!G21,'Absorption Coefficients'!A:I,7,FALSE)),"",(VLOOKUP(Inputs!G21,'Absorption Coefficients'!A:I,7,FALSE)))</f>
        <v>0.05</v>
      </c>
      <c r="J14" s="18">
        <f>IF(ISERROR(VLOOKUP(Inputs!G21,'Absorption Coefficients'!A:I,8,FALSE)),"",(VLOOKUP(Inputs!G21,'Absorption Coefficients'!A:I,8,FALSE)))</f>
        <v>0.05</v>
      </c>
      <c r="K14" s="16">
        <f>IF(ISERROR(Surface_Area_6*Absorption_Coefficient_Surface6_125Hz),"",(Surface_Area_6*Absorption_Coefficient_Surface6_125Hz))</f>
        <v>2.8000000000000003</v>
      </c>
      <c r="L14" s="16">
        <f>IF(ISERROR(Surface_Area_6*Absorption_Coefficient_Surface6_250Hz),"",(Surface_Area_6*Absorption_Coefficient_Surface6_250Hz))</f>
        <v>1.4000000000000001</v>
      </c>
      <c r="M14" s="16">
        <f>IF(ISERROR(Surface_Area_6*Absorption_Coefficient_Surface6_500Hz),"",(Surface_Area_6*Absorption_Coefficient_Surface6_500Hz))</f>
        <v>1</v>
      </c>
      <c r="N14" s="16">
        <f>IF(ISERROR(Surface_Area_6*Absorption_Coefficient_Surface6_1kHz),"",(Surface_Area_6*Absorption_Coefficient_Surface6_1kHz))</f>
        <v>1</v>
      </c>
      <c r="O14" s="16">
        <f>IF(ISERROR(Surface_Area_6*Absorption_Coefficient_Surface6_2kHz),"",(Surface_Area_6*Absorption_Coefficient_Surface6_2kHz))</f>
        <v>1</v>
      </c>
      <c r="P14" s="16">
        <f>IF(ISERROR(Surface_Area_6*Absorption_Coefficient_Surface6_4kHz),"",(Surface_Area_6*Absorption_Coefficient_Surface6_4kHz))</f>
        <v>1</v>
      </c>
      <c r="R14" s="21">
        <v>1127</v>
      </c>
      <c r="W14" s="22"/>
    </row>
    <row r="15" spans="2:23" ht="15" customHeight="1" x14ac:dyDescent="0.3">
      <c r="B15" s="100" t="str">
        <f>IF(ISNONTEXT(Inputs!B22),"",(Inputs!B22))</f>
        <v/>
      </c>
      <c r="C15" s="100"/>
      <c r="D15" s="37" t="str">
        <f>IF(ISNONTEXT(Inputs!F22),"",(Inputs!F22))</f>
        <v/>
      </c>
      <c r="E15" s="18" t="str">
        <f>IF(ISERROR(VLOOKUP(Inputs!G22,'Absorption Coefficients'!A:I,3,FALSE)),"",(VLOOKUP(Inputs!G22,'Absorption Coefficients'!A:I,3,FALSE)))</f>
        <v/>
      </c>
      <c r="F15" s="18" t="str">
        <f>IF(ISERROR(VLOOKUP(Inputs!G22,'Absorption Coefficients'!A:I,4,FALSE)),"",(VLOOKUP(Inputs!G22,'Absorption Coefficients'!A:I,4,FALSE)))</f>
        <v/>
      </c>
      <c r="G15" s="18" t="str">
        <f>IF(ISERROR(VLOOKUP(Inputs!G22,'Absorption Coefficients'!A:I,5,FALSE)),"",(VLOOKUP(Inputs!G22,'Absorption Coefficients'!A:I,5,FALSE)))</f>
        <v/>
      </c>
      <c r="H15" s="18" t="str">
        <f>IF(ISERROR(VLOOKUP(Inputs!G22,'Absorption Coefficients'!A:I,6,FALSE)),"",(VLOOKUP(Inputs!G22,'Absorption Coefficients'!A:I,6,FALSE)))</f>
        <v/>
      </c>
      <c r="I15" s="18" t="str">
        <f>IF(ISERROR(VLOOKUP(Inputs!G22,'Absorption Coefficients'!A:I,7,FALSE)),"",(VLOOKUP(Inputs!G22,'Absorption Coefficients'!A:I,7,FALSE)))</f>
        <v/>
      </c>
      <c r="J15" s="18" t="str">
        <f>IF(ISERROR(VLOOKUP(Inputs!G22,'Absorption Coefficients'!A:I,8,FALSE)),"",(VLOOKUP(Inputs!G22,'Absorption Coefficients'!A:I,8,FALSE)))</f>
        <v/>
      </c>
      <c r="K15" s="16" t="str">
        <f>IF(ISERROR(Surface_Area_7*Absorption_Coefficient_Surface7_125Hz),"",(Surface_Area_7*Absorption_Coefficient_Surface7_125Hz))</f>
        <v/>
      </c>
      <c r="L15" s="16" t="str">
        <f>IF(ISERROR(Surface_Area_7*Absorption_Coefficient_Surface7_250Hz),"",(Surface_Area_7*Absorption_Coefficient_Surface7_250Hz))</f>
        <v/>
      </c>
      <c r="M15" s="16" t="str">
        <f>IF(ISERROR(Surface_Area_7*Absorption_Coefficient_Surface7_500Hz),"",(Surface_Area_7*Absorption_Coefficient_Surface7_500Hz))</f>
        <v/>
      </c>
      <c r="N15" s="16" t="str">
        <f>IF(ISERROR(Surface_Area_7*Absorption_Coefficient_Surface7_1kHz),"",(Surface_Area_7*Absorption_Coefficient_Surface7_1kHz))</f>
        <v/>
      </c>
      <c r="O15" s="16" t="str">
        <f>IF(ISERROR(Surface_Area_7*Absorption_Coefficient_Surface7_2kHz),"",(Surface_Area_7*Absorption_Coefficient_Surface7_2kHz))</f>
        <v/>
      </c>
      <c r="P15" s="16" t="str">
        <f>IF(ISERROR(Surface_Area_7*Absorption_Coefficient_Surface7_4kHz),"",(Surface_Area_7*Absorption_Coefficient_Surface7_4kHz))</f>
        <v/>
      </c>
      <c r="W15" s="22"/>
    </row>
    <row r="16" spans="2:23" ht="15" customHeight="1" x14ac:dyDescent="0.3">
      <c r="B16" s="100" t="str">
        <f>IF(ISNONTEXT(Inputs!B23),"",(Inputs!B23))</f>
        <v/>
      </c>
      <c r="C16" s="100"/>
      <c r="D16" s="37" t="str">
        <f>IF(ISNONTEXT(Inputs!F23),"",(Inputs!F23))</f>
        <v/>
      </c>
      <c r="E16" s="18" t="str">
        <f>IF(ISERROR(VLOOKUP(Inputs!G23,'Absorption Coefficients'!A:I,3,FALSE)),"",(VLOOKUP(Inputs!G23,'Absorption Coefficients'!A:I,3,FALSE)))</f>
        <v/>
      </c>
      <c r="F16" s="18" t="str">
        <f>IF(ISERROR(VLOOKUP(Inputs!G23,'Absorption Coefficients'!A:I,4,FALSE)),"",(VLOOKUP(Inputs!G23,'Absorption Coefficients'!A:I,4,FALSE)))</f>
        <v/>
      </c>
      <c r="G16" s="18" t="str">
        <f>IF(ISERROR(VLOOKUP(Inputs!G23,'Absorption Coefficients'!A:I,5,FALSE)),"",(VLOOKUP(Inputs!G23,'Absorption Coefficients'!A:I,5,FALSE)))</f>
        <v/>
      </c>
      <c r="H16" s="18" t="str">
        <f>IF(ISERROR(VLOOKUP(Inputs!G23,'Absorption Coefficients'!A:I,6,FALSE)),"",(VLOOKUP(Inputs!G23,'Absorption Coefficients'!A:I,6,FALSE)))</f>
        <v/>
      </c>
      <c r="I16" s="18" t="str">
        <f>IF(ISERROR(VLOOKUP(Inputs!G23,'Absorption Coefficients'!A:I,7,FALSE)),"",(VLOOKUP(Inputs!G23,'Absorption Coefficients'!A:I,7,FALSE)))</f>
        <v/>
      </c>
      <c r="J16" s="18" t="str">
        <f>IF(ISERROR(VLOOKUP(Inputs!G23,'Absorption Coefficients'!A:I,8,FALSE)),"",(VLOOKUP(Inputs!G23,'Absorption Coefficients'!A:I,8,FALSE)))</f>
        <v/>
      </c>
      <c r="K16" s="16" t="str">
        <f>IF(ISERROR(Surface_Area_8*Absorption_Coefficient_Surface8_125Hz),"",(Surface_Area_8*Absorption_Coefficient_Surface8_125Hz))</f>
        <v/>
      </c>
      <c r="L16" s="16" t="str">
        <f>IF(ISERROR(Surface_Area_8*Absorption_Coefficient_Surface8_250Hz),"",(Surface_Area_8*Absorption_Coefficient_Surface8_250Hz))</f>
        <v/>
      </c>
      <c r="M16" s="16" t="str">
        <f>IF(ISERROR(Surface_Area_8*Absorption_Coefficient_Surface8_500Hz),"",(Surface_Area_8*Absorption_Coefficient_Surface8_500Hz))</f>
        <v/>
      </c>
      <c r="N16" s="16" t="str">
        <f>IF(ISERROR(Surface_Area_8*Absorption_Coefficient_Surface8_1kHz),"",(Surface_Area_8*Absorption_Coefficient_Surface8_1kHz))</f>
        <v/>
      </c>
      <c r="O16" s="16" t="str">
        <f>IF(ISERROR(Surface_Area_8*Absorption_Coefficient_Surface8_2kHz),"",(Surface_Area_8*Absorption_Coefficient_Surface8_2kHz))</f>
        <v/>
      </c>
      <c r="P16" s="16" t="str">
        <f>IF(ISERROR(Surface_Area_8*Absorption_Coefficient_Surface8_4kHz),"",(Surface_Area_8*Absorption_Coefficient_Surface8_4kHz))</f>
        <v/>
      </c>
      <c r="W16" s="22"/>
    </row>
    <row r="17" spans="2:23" ht="15" customHeight="1" x14ac:dyDescent="0.3">
      <c r="B17" s="100" t="str">
        <f>IF(ISNONTEXT(Inputs!B24),"",(Inputs!B24))</f>
        <v/>
      </c>
      <c r="C17" s="100"/>
      <c r="D17" s="37" t="str">
        <f>IF(ISNONTEXT(Inputs!F24),"",(Inputs!F24))</f>
        <v/>
      </c>
      <c r="E17" s="18" t="str">
        <f>IF(ISERROR(VLOOKUP(Inputs!G24,'Absorption Coefficients'!A:I,3,FALSE)),"",(VLOOKUP(Inputs!G24,'Absorption Coefficients'!A:I,3,FALSE)))</f>
        <v/>
      </c>
      <c r="F17" s="18" t="str">
        <f>IF(ISERROR(VLOOKUP(Inputs!G24,'Absorption Coefficients'!A:I,4,FALSE)),"",(VLOOKUP(Inputs!G24,'Absorption Coefficients'!A:I,4,FALSE)))</f>
        <v/>
      </c>
      <c r="G17" s="18" t="str">
        <f>IF(ISERROR(VLOOKUP(Inputs!G24,'Absorption Coefficients'!A:I,5,FALSE)),"",(VLOOKUP(Inputs!G24,'Absorption Coefficients'!A:I,5,FALSE)))</f>
        <v/>
      </c>
      <c r="H17" s="18" t="str">
        <f>IF(ISERROR(VLOOKUP(Inputs!G24,'Absorption Coefficients'!A:I,6,FALSE)),"",(VLOOKUP(Inputs!G24,'Absorption Coefficients'!A:I,6,FALSE)))</f>
        <v/>
      </c>
      <c r="I17" s="18" t="str">
        <f>IF(ISERROR(VLOOKUP(Inputs!G24,'Absorption Coefficients'!A:I,7,FALSE)),"",(VLOOKUP(Inputs!G24,'Absorption Coefficients'!A:I,7,FALSE)))</f>
        <v/>
      </c>
      <c r="J17" s="18" t="str">
        <f>IF(ISERROR(VLOOKUP(Inputs!G24,'Absorption Coefficients'!A:I,8,FALSE)),"",(VLOOKUP(Inputs!G24,'Absorption Coefficients'!A:I,8,FALSE)))</f>
        <v/>
      </c>
      <c r="K17" s="16" t="str">
        <f>IF(ISERROR(Surface_Area_9*Absorption_Coefficient_Surface9_125Hz),"",(Surface_Area_9*Absorption_Coefficient_Surface9_125Hz))</f>
        <v/>
      </c>
      <c r="L17" s="16" t="str">
        <f>IF(ISERROR(Surface_Area_9*Absorption_Coefficient_Surface9_250Hz),"",(Surface_Area_9*Absorption_Coefficient_Surface9_250Hz))</f>
        <v/>
      </c>
      <c r="M17" s="16" t="str">
        <f>IF(ISERROR(Surface_Area_9*Absorption_Coefficient_Surface9_500Hz),"",(Surface_Area_9*Absorption_Coefficient_Surface9_500Hz))</f>
        <v/>
      </c>
      <c r="N17" s="16" t="str">
        <f>IF(ISERROR(Surface_Area_9*Absorption_Coefficient_Surface9_1kHz),"",(Surface_Area_9*Absorption_Coefficient_Surface9_1kHz))</f>
        <v/>
      </c>
      <c r="O17" s="16" t="str">
        <f>IF(ISERROR(Surface_Area_9*Absorption_Coefficient_Surface9_2kHz),"",(Surface_Area_9*Absorption_Coefficient_Surface9_2kHz))</f>
        <v/>
      </c>
      <c r="P17" s="16" t="str">
        <f>IF(ISERROR(Surface_Area_9*Absorption_Coefficient_Surface9_4kHz),"",(Surface_Area_9*Absorption_Coefficient_Surface9_4kHz))</f>
        <v/>
      </c>
      <c r="W17" s="22"/>
    </row>
    <row r="18" spans="2:23" ht="15" customHeight="1" x14ac:dyDescent="0.3">
      <c r="B18" s="100" t="str">
        <f>IF(ISNONTEXT(Inputs!B25),"",(Inputs!B25))</f>
        <v/>
      </c>
      <c r="C18" s="100"/>
      <c r="D18" s="37" t="str">
        <f>IF(ISNONTEXT(Inputs!F25),"",(Inputs!F25))</f>
        <v/>
      </c>
      <c r="E18" s="18" t="str">
        <f>IF(ISERROR(VLOOKUP(Inputs!G25,'Absorption Coefficients'!A:I,3,FALSE)),"",(VLOOKUP(Inputs!G25,'Absorption Coefficients'!A:I,3,FALSE)))</f>
        <v/>
      </c>
      <c r="F18" s="18" t="str">
        <f>IF(ISERROR(VLOOKUP(Inputs!G25,'Absorption Coefficients'!A:I,4,FALSE)),"",(VLOOKUP(Inputs!G25,'Absorption Coefficients'!A:I,4,FALSE)))</f>
        <v/>
      </c>
      <c r="G18" s="18" t="str">
        <f>IF(ISERROR(VLOOKUP(Inputs!G25,'Absorption Coefficients'!A:I,5,FALSE)),"",(VLOOKUP(Inputs!G25,'Absorption Coefficients'!A:I,5,FALSE)))</f>
        <v/>
      </c>
      <c r="H18" s="18" t="str">
        <f>IF(ISERROR(VLOOKUP(Inputs!G25,'Absorption Coefficients'!A:I,6,FALSE)),"",(VLOOKUP(Inputs!G25,'Absorption Coefficients'!A:I,6,FALSE)))</f>
        <v/>
      </c>
      <c r="I18" s="18" t="str">
        <f>IF(ISERROR(VLOOKUP(Inputs!G25,'Absorption Coefficients'!A:I,7,FALSE)),"",(VLOOKUP(Inputs!G25,'Absorption Coefficients'!A:I,7,FALSE)))</f>
        <v/>
      </c>
      <c r="J18" s="18" t="str">
        <f>IF(ISERROR(VLOOKUP(Inputs!G25,'Absorption Coefficients'!A:I,8,FALSE)),"",(VLOOKUP(Inputs!G25,'Absorption Coefficients'!A:I,8,FALSE)))</f>
        <v/>
      </c>
      <c r="K18" s="16" t="str">
        <f>IF(ISERROR(Surface_Area_10*Absorption_Coefficient_Surface10_125Hz),"",(Surface_Area_10*Absorption_Coefficient_Surface10_125Hz))</f>
        <v/>
      </c>
      <c r="L18" s="16" t="str">
        <f>IF(ISERROR(Surface_Area_10*Absorption_Coefficient_Surface10_250Hz),"",(Surface_Area_10*Absorption_Coefficient_Surface10_250Hz))</f>
        <v/>
      </c>
      <c r="M18" s="16" t="str">
        <f>IF(ISERROR(Surface_Area_10*Absorption_Coefficient_Surface10_500Hz),"",(Surface_Area_10*Absorption_Coefficient_Surface10_500Hz))</f>
        <v/>
      </c>
      <c r="N18" s="16" t="str">
        <f>IF(ISERROR(Surface_Area_10*Absorption_Coefficient_Surface10_1kHz),"",(Surface_Area_10*Absorption_Coefficient_Surface10_1kHz))</f>
        <v/>
      </c>
      <c r="O18" s="16" t="str">
        <f>IF(ISERROR(Surface_Area_10*Absorption_Coefficient_Surface10_2kHz),"",(Surface_Area_10*Absorption_Coefficient_Surface10_2kHz))</f>
        <v/>
      </c>
      <c r="P18" s="16" t="str">
        <f>IF(ISERROR(Surface_Area_10*Absorption_Coefficient_Surface10_4kHz),"",(Surface_Area_10*Absorption_Coefficient_Surface10_4kHz))</f>
        <v/>
      </c>
      <c r="W18" s="22"/>
    </row>
    <row r="19" spans="2:23" ht="15" customHeight="1" x14ac:dyDescent="0.3">
      <c r="B19" s="100" t="str">
        <f>IF(ISNONTEXT(Inputs!B26),"",(Inputs!B26))</f>
        <v/>
      </c>
      <c r="C19" s="100"/>
      <c r="D19" s="37" t="str">
        <f>IF(ISNONTEXT(Inputs!F26),"",(Inputs!F26))</f>
        <v/>
      </c>
      <c r="E19" s="18" t="str">
        <f>IF(ISERROR(VLOOKUP(Inputs!G26,'Absorption Coefficients'!A:I,3,FALSE)),"",(VLOOKUP(Inputs!G26,'Absorption Coefficients'!A:I,3,FALSE)))</f>
        <v/>
      </c>
      <c r="F19" s="18" t="str">
        <f>IF(ISERROR(VLOOKUP(Inputs!G26,'Absorption Coefficients'!A:I,4,FALSE)),"",(VLOOKUP(Inputs!G26,'Absorption Coefficients'!A:I,4,FALSE)))</f>
        <v/>
      </c>
      <c r="G19" s="18" t="str">
        <f>IF(ISERROR(VLOOKUP(Inputs!G26,'Absorption Coefficients'!A:I,5,FALSE)),"",(VLOOKUP(Inputs!G26,'Absorption Coefficients'!A:I,5,FALSE)))</f>
        <v/>
      </c>
      <c r="H19" s="18" t="str">
        <f>IF(ISERROR(VLOOKUP(Inputs!G26,'Absorption Coefficients'!A:I,6,FALSE)),"",(VLOOKUP(Inputs!G26,'Absorption Coefficients'!A:I,6,FALSE)))</f>
        <v/>
      </c>
      <c r="I19" s="18" t="str">
        <f>IF(ISERROR(VLOOKUP(Inputs!G26,'Absorption Coefficients'!A:I,7,FALSE)),"",(VLOOKUP(Inputs!G26,'Absorption Coefficients'!A:I,7,FALSE)))</f>
        <v/>
      </c>
      <c r="J19" s="18" t="str">
        <f>IF(ISERROR(VLOOKUP(Inputs!G26,'Absorption Coefficients'!A:I,8,FALSE)),"",(VLOOKUP(Inputs!G26,'Absorption Coefficients'!A:I,8,FALSE)))</f>
        <v/>
      </c>
      <c r="K19" s="16" t="str">
        <f>IF(ISERROR(Surface_Area_11*Absorption_Coefficient_Surface11_125Hz),"",(Surface_Area_11*Absorption_Coefficient_Surface11_125Hz))</f>
        <v/>
      </c>
      <c r="L19" s="16" t="str">
        <f>IF(ISERROR(Surface_Area_11*Absorption_Coefficient_Surface11_250Hz),"",(Surface_Area_11*Absorption_Coefficient_Surface11_250Hz))</f>
        <v/>
      </c>
      <c r="M19" s="16" t="str">
        <f>IF(ISERROR(Surface_Area_11*Absorption_Coefficient_Surface11_500Hz),"",(Surface_Area_11*Absorption_Coefficient_Surface11_500Hz))</f>
        <v/>
      </c>
      <c r="N19" s="16" t="str">
        <f>IF(ISERROR(Surface_Area_11*Absorption_Coefficient_Surface11_1kHz),"",(Surface_Area_11*Absorption_Coefficient_Surface11_1kHz))</f>
        <v/>
      </c>
      <c r="O19" s="16" t="str">
        <f>IF(ISERROR(Surface_Area_11*Absorption_Coefficient_Surface11_2kHz),"",(Surface_Area_11*Absorption_Coefficient_Surface11_2kHz))</f>
        <v/>
      </c>
      <c r="P19" s="16" t="str">
        <f>IF(ISERROR(Surface_Area_11*Absorption_Coefficient_Surface11_4kHz),"",(Surface_Area_11*Absorption_Coefficient_Surface11_4kHz))</f>
        <v/>
      </c>
      <c r="W19" s="22"/>
    </row>
    <row r="20" spans="2:23" ht="15" customHeight="1" x14ac:dyDescent="0.3">
      <c r="B20" s="100" t="str">
        <f>IF(ISNONTEXT(Inputs!B27),"",(Inputs!B27))</f>
        <v/>
      </c>
      <c r="C20" s="100"/>
      <c r="D20" s="37" t="str">
        <f>IF(ISNONTEXT(Inputs!F27),"",(Inputs!F27))</f>
        <v/>
      </c>
      <c r="E20" s="18" t="str">
        <f>IF(ISERROR(VLOOKUP(Inputs!G27,'Absorption Coefficients'!A:I,3,FALSE)),"",(VLOOKUP(Inputs!G27,'Absorption Coefficients'!A:I,3,FALSE)))</f>
        <v/>
      </c>
      <c r="F20" s="18" t="str">
        <f>IF(ISERROR(VLOOKUP(Inputs!G27,'Absorption Coefficients'!A:I,4,FALSE)),"",(VLOOKUP(Inputs!G27,'Absorption Coefficients'!A:I,4,FALSE)))</f>
        <v/>
      </c>
      <c r="G20" s="18" t="str">
        <f>IF(ISERROR(VLOOKUP(Inputs!G27,'Absorption Coefficients'!A:I,5,FALSE)),"",(VLOOKUP(Inputs!G27,'Absorption Coefficients'!A:I,5,FALSE)))</f>
        <v/>
      </c>
      <c r="H20" s="18" t="str">
        <f>IF(ISERROR(VLOOKUP(Inputs!G27,'Absorption Coefficients'!A:I,6,FALSE)),"",(VLOOKUP(Inputs!G27,'Absorption Coefficients'!A:I,6,FALSE)))</f>
        <v/>
      </c>
      <c r="I20" s="18" t="str">
        <f>IF(ISERROR(VLOOKUP(Inputs!G27,'Absorption Coefficients'!A:I,7,FALSE)),"",(VLOOKUP(Inputs!G27,'Absorption Coefficients'!A:I,7,FALSE)))</f>
        <v/>
      </c>
      <c r="J20" s="18" t="str">
        <f>IF(ISERROR(VLOOKUP(Inputs!G27,'Absorption Coefficients'!A:I,8,FALSE)),"",(VLOOKUP(Inputs!G27,'Absorption Coefficients'!A:I,8,FALSE)))</f>
        <v/>
      </c>
      <c r="K20" s="16" t="str">
        <f>IF(ISERROR(Surface_Area_12*Absorption_Coefficient_Surface12_125Hz),"",(Surface_Area_12*Absorption_Coefficient_Surface12_125Hz))</f>
        <v/>
      </c>
      <c r="L20" s="16" t="str">
        <f>IF(ISERROR(Surface_Area_12*Absorption_Coefficient_Surface12_250Hz),"",(Surface_Area_12*Absorption_Coefficient_Surface12_250Hz))</f>
        <v/>
      </c>
      <c r="M20" s="16" t="str">
        <f>IF(ISERROR(Surface_Area_12*Absorption_Coefficient_Surface12_500Hz),"",(Surface_Area_12*Absorption_Coefficient_Surface12_500Hz))</f>
        <v/>
      </c>
      <c r="N20" s="16" t="str">
        <f>IF(ISERROR(Surface_Area_12*Absorption_Coefficient_Surface12_1kHz),"",(Surface_Area_12*Absorption_Coefficient_Surface12_1kHz))</f>
        <v/>
      </c>
      <c r="O20" s="16" t="str">
        <f>IF(ISERROR(Surface_Area_12*Absorption_Coefficient_Surface12_2kHz),"",(Surface_Area_12*Absorption_Coefficient_Surface12_2kHz))</f>
        <v/>
      </c>
      <c r="P20" s="16" t="str">
        <f>IF(ISERROR(Surface_Area_12*Absorption_Coefficient_Surface12_4kHz),"",(Surface_Area_12*Absorption_Coefficient_Surface12_4kHz))</f>
        <v/>
      </c>
      <c r="W20" s="22"/>
    </row>
    <row r="21" spans="2:23" ht="15" customHeight="1" x14ac:dyDescent="0.3">
      <c r="B21" s="100" t="str">
        <f>IF(ISNONTEXT(Inputs!B28),"",(Inputs!B28))</f>
        <v/>
      </c>
      <c r="C21" s="100"/>
      <c r="D21" s="37" t="str">
        <f>IF(ISNONTEXT(Inputs!F28),"",(Inputs!F28))</f>
        <v/>
      </c>
      <c r="E21" s="18" t="str">
        <f>IF(ISERROR(VLOOKUP(Inputs!G28,'Absorption Coefficients'!A:I,3,FALSE)),"",(VLOOKUP(Inputs!G28,'Absorption Coefficients'!A:I,3,FALSE)))</f>
        <v/>
      </c>
      <c r="F21" s="18" t="str">
        <f>IF(ISERROR(VLOOKUP(Inputs!G28,'Absorption Coefficients'!A:I,4,FALSE)),"",(VLOOKUP(Inputs!G28,'Absorption Coefficients'!A:I,4,FALSE)))</f>
        <v/>
      </c>
      <c r="G21" s="18" t="str">
        <f>IF(ISERROR(VLOOKUP(Inputs!G28,'Absorption Coefficients'!A:I,5,FALSE)),"",(VLOOKUP(Inputs!G28,'Absorption Coefficients'!A:I,5,FALSE)))</f>
        <v/>
      </c>
      <c r="H21" s="18" t="str">
        <f>IF(ISERROR(VLOOKUP(Inputs!G28,'Absorption Coefficients'!A:I,6,FALSE)),"",(VLOOKUP(Inputs!G28,'Absorption Coefficients'!A:I,6,FALSE)))</f>
        <v/>
      </c>
      <c r="I21" s="18" t="str">
        <f>IF(ISERROR(VLOOKUP(Inputs!G28,'Absorption Coefficients'!A:I,7,FALSE)),"",(VLOOKUP(Inputs!G28,'Absorption Coefficients'!A:I,7,FALSE)))</f>
        <v/>
      </c>
      <c r="J21" s="18" t="str">
        <f>IF(ISERROR(VLOOKUP(Inputs!G28,'Absorption Coefficients'!A:I,8,FALSE)),"",(VLOOKUP(Inputs!G28,'Absorption Coefficients'!A:I,8,FALSE)))</f>
        <v/>
      </c>
      <c r="K21" s="16" t="str">
        <f>IF(ISERROR(Surface_Area_13*Absorption_Coefficient_Surface13_125Hz),"",(Surface_Area_13*Absorption_Coefficient_Surface13_125Hz))</f>
        <v/>
      </c>
      <c r="L21" s="16" t="str">
        <f>IF(ISERROR(Surface_Area_13*Absorption_Coefficient_Surface13_250Hz),"",(Surface_Area_13*Absorption_Coefficient_Surface13_250Hz))</f>
        <v/>
      </c>
      <c r="M21" s="16" t="str">
        <f>IF(ISERROR(Surface_Area_13*Absorption_Coefficient_Surface13_500Hz),"",(Surface_Area_13*Absorption_Coefficient_Surface13_500Hz))</f>
        <v/>
      </c>
      <c r="N21" s="16" t="str">
        <f>IF(ISERROR(Surface_Area_13*Absorption_Coefficient_Surface13_1kHz),"",(Surface_Area_13*Absorption_Coefficient_Surface13_1kHz))</f>
        <v/>
      </c>
      <c r="O21" s="16" t="str">
        <f>IF(ISERROR(Surface_Area_13*Absorption_Coefficient_Surface13_2kHz),"",(Surface_Area_13*Absorption_Coefficient_Surface13_2kHz))</f>
        <v/>
      </c>
      <c r="P21" s="16" t="str">
        <f>IF(ISERROR(Surface_Area_13*Absorption_Coefficient_Surface13_4kHz),"",(Surface_Area_13*Absorption_Coefficient_Surface13_4kHz))</f>
        <v/>
      </c>
      <c r="W21" s="22"/>
    </row>
    <row r="22" spans="2:23" ht="15" customHeight="1" x14ac:dyDescent="0.3">
      <c r="B22" s="100" t="str">
        <f>IF(ISNONTEXT(Inputs!B29),"",(Inputs!B29))</f>
        <v/>
      </c>
      <c r="C22" s="100"/>
      <c r="D22" s="37" t="str">
        <f>IF(ISNONTEXT(Inputs!F29),"",(Inputs!F29))</f>
        <v/>
      </c>
      <c r="E22" s="18" t="str">
        <f>IF(ISERROR(VLOOKUP(Inputs!G29,'Absorption Coefficients'!A:I,3,FALSE)),"",(VLOOKUP(Inputs!G29,'Absorption Coefficients'!A:I,3,FALSE)))</f>
        <v/>
      </c>
      <c r="F22" s="18" t="str">
        <f>IF(ISERROR(VLOOKUP(Inputs!G29,'Absorption Coefficients'!A:I,4,FALSE)),"",(VLOOKUP(Inputs!G29,'Absorption Coefficients'!A:I,4,FALSE)))</f>
        <v/>
      </c>
      <c r="G22" s="18" t="str">
        <f>IF(ISERROR(VLOOKUP(Inputs!G29,'Absorption Coefficients'!A:I,5,FALSE)),"",(VLOOKUP(Inputs!G29,'Absorption Coefficients'!A:I,5,FALSE)))</f>
        <v/>
      </c>
      <c r="H22" s="18" t="str">
        <f>IF(ISERROR(VLOOKUP(Inputs!G29,'Absorption Coefficients'!A:I,6,FALSE)),"",(VLOOKUP(Inputs!G29,'Absorption Coefficients'!A:I,6,FALSE)))</f>
        <v/>
      </c>
      <c r="I22" s="18" t="str">
        <f>IF(ISERROR(VLOOKUP(Inputs!G29,'Absorption Coefficients'!A:I,7,FALSE)),"",(VLOOKUP(Inputs!G29,'Absorption Coefficients'!A:I,7,FALSE)))</f>
        <v/>
      </c>
      <c r="J22" s="18" t="str">
        <f>IF(ISERROR(VLOOKUP(Inputs!G29,'Absorption Coefficients'!A:I,8,FALSE)),"",(VLOOKUP(Inputs!G29,'Absorption Coefficients'!A:I,8,FALSE)))</f>
        <v/>
      </c>
      <c r="K22" s="16" t="str">
        <f>IF(ISERROR(Surface_Area_14*Absorption_Coefficient_Surface14_125Hz),"",(Surface_Area_14*Absorption_Coefficient_Surface14_125Hz))</f>
        <v/>
      </c>
      <c r="L22" s="16" t="str">
        <f>IF(ISERROR(Surface_Area_14*Absorption_Coefficient_Surface14_250Hz),"",(Surface_Area_14*Absorption_Coefficient_Surface14_250Hz))</f>
        <v/>
      </c>
      <c r="M22" s="16" t="str">
        <f>IF(ISERROR(Surface_Area_14*Absorption_Coefficient_Surface14_500Hz),"",(Surface_Area_14*Absorption_Coefficient_Surface14_500Hz))</f>
        <v/>
      </c>
      <c r="N22" s="16" t="str">
        <f>IF(ISERROR(Surface_Area_14*Absorption_Coefficient_Surface14_1kHz),"",(Surface_Area_14*Absorption_Coefficient_Surface14_1kHz))</f>
        <v/>
      </c>
      <c r="O22" s="16" t="str">
        <f>IF(ISERROR(Surface_Area_14*Absorption_Coefficient_Surface14_2kHz),"",(Surface_Area_14*Absorption_Coefficient_Surface14_2kHz))</f>
        <v/>
      </c>
      <c r="P22" s="16" t="str">
        <f>IF(ISERROR(Surface_Area_14*Absorption_Coefficient_Surface14_4kHz),"",(Surface_Area_14*Absorption_Coefficient_Surface14_4kHz))</f>
        <v/>
      </c>
      <c r="W22" s="22"/>
    </row>
    <row r="23" spans="2:23" ht="15" customHeight="1" x14ac:dyDescent="0.3">
      <c r="B23" s="100" t="str">
        <f>IF(ISNONTEXT(Inputs!B30),"",(Inputs!B30))</f>
        <v/>
      </c>
      <c r="C23" s="100"/>
      <c r="D23" s="37" t="str">
        <f>IF(ISNONTEXT(Inputs!F30),"",(Inputs!F30))</f>
        <v/>
      </c>
      <c r="E23" s="18" t="str">
        <f>IF(ISERROR(VLOOKUP(Inputs!G30,'Absorption Coefficients'!A:I,3,FALSE)),"",(VLOOKUP(Inputs!G30,'Absorption Coefficients'!A:I,3,FALSE)))</f>
        <v/>
      </c>
      <c r="F23" s="18" t="str">
        <f>IF(ISERROR(VLOOKUP(Inputs!G30,'Absorption Coefficients'!A:I,4,FALSE)),"",(VLOOKUP(Inputs!G30,'Absorption Coefficients'!A:I,4,FALSE)))</f>
        <v/>
      </c>
      <c r="G23" s="18" t="str">
        <f>IF(ISERROR(VLOOKUP(Inputs!G30,'Absorption Coefficients'!A:I,5,FALSE)),"",(VLOOKUP(Inputs!G30,'Absorption Coefficients'!A:I,5,FALSE)))</f>
        <v/>
      </c>
      <c r="H23" s="18" t="str">
        <f>IF(ISERROR(VLOOKUP(Inputs!G30,'Absorption Coefficients'!A:I,6,FALSE)),"",(VLOOKUP(Inputs!G30,'Absorption Coefficients'!A:I,6,FALSE)))</f>
        <v/>
      </c>
      <c r="I23" s="18" t="str">
        <f>IF(ISERROR(VLOOKUP(Inputs!G30,'Absorption Coefficients'!A:I,7,FALSE)),"",(VLOOKUP(Inputs!G30,'Absorption Coefficients'!A:I,7,FALSE)))</f>
        <v/>
      </c>
      <c r="J23" s="18" t="str">
        <f>IF(ISERROR(VLOOKUP(Inputs!G30,'Absorption Coefficients'!A:I,8,FALSE)),"",(VLOOKUP(Inputs!G30,'Absorption Coefficients'!A:I,8,FALSE)))</f>
        <v/>
      </c>
      <c r="K23" s="16" t="str">
        <f>IF(ISERROR(Surface_Area_15*Absorption_Coefficient_Surface15_125Hz),"",(Surface_Area_15*Absorption_Coefficient_Surface15_125Hz))</f>
        <v/>
      </c>
      <c r="L23" s="16" t="str">
        <f>IF(ISERROR(Surface_Area_15*Absorption_Coefficient_Surface15_250Hz),"",(Surface_Area_15*Absorption_Coefficient_Surface15_250Hz))</f>
        <v/>
      </c>
      <c r="M23" s="16" t="str">
        <f>IF(ISERROR(Surface_Area_15*Absorption_Coefficient_Surface15_500Hz),"",(Surface_Area_15*Absorption_Coefficient_Surface15_500Hz))</f>
        <v/>
      </c>
      <c r="N23" s="16" t="str">
        <f>IF(ISERROR(Surface_Area_15*Absorption_Coefficient_Surface15_1kHz),"",(Surface_Area_15*Absorption_Coefficient_Surface15_1kHz))</f>
        <v/>
      </c>
      <c r="O23" s="16" t="str">
        <f>IF(ISERROR(Surface_Area_15*Absorption_Coefficient_Surface15_2kHz),"",(Surface_Area_15*Absorption_Coefficient_Surface15_2kHz))</f>
        <v/>
      </c>
      <c r="P23" s="16" t="str">
        <f>IF(ISERROR(Surface_Area_15*Absorption_Coefficient_Surface15_4kHz),"",(Surface_Area_15*Absorption_Coefficient_Surface15_4kHz))</f>
        <v/>
      </c>
      <c r="W23" s="22"/>
    </row>
    <row r="24" spans="2:23" ht="15" customHeight="1" x14ac:dyDescent="0.3">
      <c r="B24" s="100" t="str">
        <f>IF(ISNONTEXT(Inputs!B31),"",(Inputs!B31))</f>
        <v/>
      </c>
      <c r="C24" s="100"/>
      <c r="D24" s="37" t="str">
        <f>IF(ISNONTEXT(Inputs!F31),"",(Inputs!F31))</f>
        <v/>
      </c>
      <c r="E24" s="18" t="str">
        <f>IF(ISERROR(VLOOKUP(Inputs!G31,'Absorption Coefficients'!A:I,3,FALSE)),"",(VLOOKUP(Inputs!G31,'Absorption Coefficients'!A:I,3,FALSE)))</f>
        <v/>
      </c>
      <c r="F24" s="18" t="str">
        <f>IF(ISERROR(VLOOKUP(Inputs!G31,'Absorption Coefficients'!A:I,4,FALSE)),"",(VLOOKUP(Inputs!G31,'Absorption Coefficients'!A:I,4,FALSE)))</f>
        <v/>
      </c>
      <c r="G24" s="18" t="str">
        <f>IF(ISERROR(VLOOKUP(Inputs!G31,'Absorption Coefficients'!A:I,5,FALSE)),"",(VLOOKUP(Inputs!G31,'Absorption Coefficients'!A:I,5,FALSE)))</f>
        <v/>
      </c>
      <c r="H24" s="18" t="str">
        <f>IF(ISERROR(VLOOKUP(Inputs!G31,'Absorption Coefficients'!A:I,6,FALSE)),"",(VLOOKUP(Inputs!G31,'Absorption Coefficients'!A:I,6,FALSE)))</f>
        <v/>
      </c>
      <c r="I24" s="18" t="str">
        <f>IF(ISERROR(VLOOKUP(Inputs!G31,'Absorption Coefficients'!A:I,7,FALSE)),"",(VLOOKUP(Inputs!G31,'Absorption Coefficients'!A:I,7,FALSE)))</f>
        <v/>
      </c>
      <c r="J24" s="18" t="str">
        <f>IF(ISERROR(VLOOKUP(Inputs!G31,'Absorption Coefficients'!A:I,8,FALSE)),"",(VLOOKUP(Inputs!G31,'Absorption Coefficients'!A:I,8,FALSE)))</f>
        <v/>
      </c>
      <c r="K24" s="16" t="str">
        <f>IF(ISERROR(Surface_Area_16*Absorption_Coefficient_Surface16_125Hz),"",(Surface_Area_16*Absorption_Coefficient_Surface16_125Hz))</f>
        <v/>
      </c>
      <c r="L24" s="16" t="str">
        <f>IF(ISERROR(Surface_Area_16*Absorption_Coefficient_Surface16_250Hz),"",(Surface_Area_16*Absorption_Coefficient_Surface16_250Hz))</f>
        <v/>
      </c>
      <c r="M24" s="16" t="str">
        <f>IF(ISERROR(Surface_Area_16*Absorption_Coefficient_Surface16_500Hz),"",(Surface_Area_16*Absorption_Coefficient_Surface16_500Hz))</f>
        <v/>
      </c>
      <c r="N24" s="16" t="str">
        <f>IF(ISERROR(Surface_Area_16*Absorption_Coefficient_Surface16_1kHz),"",(Surface_Area_16*Absorption_Coefficient_Surface16_1kHz))</f>
        <v/>
      </c>
      <c r="O24" s="16" t="str">
        <f>IF(ISERROR(Surface_Area_16*Absorption_Coefficient_Surface16_2kHz),"",(Surface_Area_16*Absorption_Coefficient_Surface16_2kHz))</f>
        <v/>
      </c>
      <c r="P24" s="16" t="str">
        <f>IF(ISERROR(Surface_Area_16*Absorption_Coefficient_Surface16_4kHz),"",(Surface_Area_16*Absorption_Coefficient_Surface16_4kHz))</f>
        <v/>
      </c>
      <c r="W24" s="22"/>
    </row>
    <row r="25" spans="2:23" ht="15" customHeight="1" x14ac:dyDescent="0.3">
      <c r="B25" s="100" t="str">
        <f>IF(ISNONTEXT(Inputs!B32),"",(Inputs!B32))</f>
        <v/>
      </c>
      <c r="C25" s="100"/>
      <c r="D25" s="37" t="str">
        <f>IF(ISNONTEXT(Inputs!F32),"",(Inputs!F32))</f>
        <v/>
      </c>
      <c r="E25" s="18" t="str">
        <f>IF(ISERROR(VLOOKUP(Inputs!G32,'Absorption Coefficients'!A:I,3,FALSE)),"",(VLOOKUP(Inputs!G32,'Absorption Coefficients'!A:I,3,FALSE)))</f>
        <v/>
      </c>
      <c r="F25" s="18" t="str">
        <f>IF(ISERROR(VLOOKUP(Inputs!G32,'Absorption Coefficients'!A:I,4,FALSE)),"",(VLOOKUP(Inputs!G32,'Absorption Coefficients'!A:I,4,FALSE)))</f>
        <v/>
      </c>
      <c r="G25" s="18" t="str">
        <f>IF(ISERROR(VLOOKUP(Inputs!G32,'Absorption Coefficients'!A:I,5,FALSE)),"",(VLOOKUP(Inputs!G32,'Absorption Coefficients'!A:I,5,FALSE)))</f>
        <v/>
      </c>
      <c r="H25" s="18" t="str">
        <f>IF(ISERROR(VLOOKUP(Inputs!G32,'Absorption Coefficients'!A:I,6,FALSE)),"",(VLOOKUP(Inputs!G32,'Absorption Coefficients'!A:I,6,FALSE)))</f>
        <v/>
      </c>
      <c r="I25" s="18" t="str">
        <f>IF(ISERROR(VLOOKUP(Inputs!G32,'Absorption Coefficients'!A:I,7,FALSE)),"",(VLOOKUP(Inputs!G32,'Absorption Coefficients'!A:I,7,FALSE)))</f>
        <v/>
      </c>
      <c r="J25" s="18" t="str">
        <f>IF(ISERROR(VLOOKUP(Inputs!G32,'Absorption Coefficients'!A:I,8,FALSE)),"",(VLOOKUP(Inputs!G32,'Absorption Coefficients'!A:I,8,FALSE)))</f>
        <v/>
      </c>
      <c r="K25" s="16" t="str">
        <f>IF(ISERROR(Surface_Area_17*Absorption_Coefficient_Surface17_125Hz),"",(Surface_Area_17*Absorption_Coefficient_Surface17_125Hz))</f>
        <v/>
      </c>
      <c r="L25" s="16" t="str">
        <f>IF(ISERROR(Surface_Area_17*Absorption_Coefficient_Surface17_250Hz),"",(Surface_Area_17*Absorption_Coefficient_Surface17_250Hz))</f>
        <v/>
      </c>
      <c r="M25" s="16" t="str">
        <f>IF(ISERROR(Surface_Area_17*Absorption_Coefficient_Surface17_500Hz),"",(Surface_Area_17*Absorption_Coefficient_Surface17_500Hz))</f>
        <v/>
      </c>
      <c r="N25" s="16" t="str">
        <f>IF(ISERROR(Surface_Area_17*Absorption_Coefficient_Surface17_1kHz),"",(Surface_Area_17*Absorption_Coefficient_Surface17_1kHz))</f>
        <v/>
      </c>
      <c r="O25" s="16" t="str">
        <f>IF(ISERROR(Surface_Area_17*Absorption_Coefficient_Surface17_2kHz),"",(Surface_Area_17*Absorption_Coefficient_Surface17_2kHz))</f>
        <v/>
      </c>
      <c r="P25" s="16" t="str">
        <f>IF(ISERROR(Surface_Area_17*Absorption_Coefficient_Surface17_4kHz),"",(Surface_Area_17*Absorption_Coefficient_Surface17_4kHz))</f>
        <v/>
      </c>
      <c r="W25" s="22"/>
    </row>
    <row r="26" spans="2:23" ht="15" customHeight="1" x14ac:dyDescent="0.3">
      <c r="B26" s="100" t="str">
        <f>IF(ISNONTEXT(Inputs!B33),"",(Inputs!B33))</f>
        <v/>
      </c>
      <c r="C26" s="100"/>
      <c r="D26" s="37" t="str">
        <f>IF(ISNONTEXT(Inputs!F33),"",(Inputs!F33))</f>
        <v/>
      </c>
      <c r="E26" s="18" t="str">
        <f>IF(ISERROR(VLOOKUP(Inputs!G33,'Absorption Coefficients'!A:I,3,FALSE)),"",(VLOOKUP(Inputs!G33,'Absorption Coefficients'!A:I,3,FALSE)))</f>
        <v/>
      </c>
      <c r="F26" s="18" t="str">
        <f>IF(ISERROR(VLOOKUP(Inputs!G33,'Absorption Coefficients'!A:I,4,FALSE)),"",(VLOOKUP(Inputs!G33,'Absorption Coefficients'!A:I,4,FALSE)))</f>
        <v/>
      </c>
      <c r="G26" s="18" t="str">
        <f>IF(ISERROR(VLOOKUP(Inputs!G33,'Absorption Coefficients'!A:I,5,FALSE)),"",(VLOOKUP(Inputs!G33,'Absorption Coefficients'!A:I,5,FALSE)))</f>
        <v/>
      </c>
      <c r="H26" s="18" t="str">
        <f>IF(ISERROR(VLOOKUP(Inputs!G33,'Absorption Coefficients'!A:I,6,FALSE)),"",(VLOOKUP(Inputs!G33,'Absorption Coefficients'!A:I,6,FALSE)))</f>
        <v/>
      </c>
      <c r="I26" s="18" t="str">
        <f>IF(ISERROR(VLOOKUP(Inputs!G33,'Absorption Coefficients'!A:I,7,FALSE)),"",(VLOOKUP(Inputs!G33,'Absorption Coefficients'!A:I,7,FALSE)))</f>
        <v/>
      </c>
      <c r="J26" s="18" t="str">
        <f>IF(ISERROR(VLOOKUP(Inputs!G33,'Absorption Coefficients'!A:I,8,FALSE)),"",(VLOOKUP(Inputs!G33,'Absorption Coefficients'!A:I,8,FALSE)))</f>
        <v/>
      </c>
      <c r="K26" s="16" t="str">
        <f>IF(ISERROR(Surface_Area_18*Absorption_Coefficient_Surface18_125Hz),"",(Surface_Area_18*Absorption_Coefficient_Surface18_125Hz))</f>
        <v/>
      </c>
      <c r="L26" s="16" t="str">
        <f>IF(ISERROR(Surface_Area_18*Absorption_Coefficient_Surface18_250Hz),"",(Surface_Area_18*Absorption_Coefficient_Surface18_250Hz))</f>
        <v/>
      </c>
      <c r="M26" s="16" t="str">
        <f>IF(ISERROR(Surface_Area_18*Absorption_Coefficient_Surface18_500Hz),"",(Surface_Area_18*Absorption_Coefficient_Surface18_500Hz))</f>
        <v/>
      </c>
      <c r="N26" s="16" t="str">
        <f>IF(ISERROR(Surface_Area_18*Absorption_Coefficient_Surface18_1kHz),"",(Surface_Area_18*Absorption_Coefficient_Surface18_1kHz))</f>
        <v/>
      </c>
      <c r="O26" s="16" t="str">
        <f>IF(ISERROR(Surface_Area_18*Absorption_Coefficient_Surface18_2kHz),"",(Surface_Area_18*Absorption_Coefficient_Surface18_2kHz))</f>
        <v/>
      </c>
      <c r="P26" s="16" t="str">
        <f>IF(ISERROR(Surface_Area_18*Absorption_Coefficient_Surface18_4kHz),"",(Surface_Area_18*Absorption_Coefficient_Surface18_4kHz))</f>
        <v/>
      </c>
      <c r="W26" s="22"/>
    </row>
    <row r="27" spans="2:23" ht="15" customHeight="1" x14ac:dyDescent="0.3">
      <c r="B27" s="100" t="str">
        <f>IF(ISNONTEXT(Inputs!B34),"",(Inputs!B34))</f>
        <v/>
      </c>
      <c r="C27" s="100"/>
      <c r="D27" s="37" t="str">
        <f>IF(ISNONTEXT(Inputs!F34),"",(Inputs!F34))</f>
        <v/>
      </c>
      <c r="E27" s="18" t="str">
        <f>IF(ISERROR(VLOOKUP(Inputs!G34,'Absorption Coefficients'!A:I,3,FALSE)),"",(VLOOKUP(Inputs!G34,'Absorption Coefficients'!A:I,3,FALSE)))</f>
        <v/>
      </c>
      <c r="F27" s="18" t="str">
        <f>IF(ISERROR(VLOOKUP(Inputs!G34,'Absorption Coefficients'!A:I,4,FALSE)),"",(VLOOKUP(Inputs!G34,'Absorption Coefficients'!A:I,4,FALSE)))</f>
        <v/>
      </c>
      <c r="G27" s="18" t="str">
        <f>IF(ISERROR(VLOOKUP(Inputs!G34,'Absorption Coefficients'!A:I,5,FALSE)),"",(VLOOKUP(Inputs!G34,'Absorption Coefficients'!A:I,5,FALSE)))</f>
        <v/>
      </c>
      <c r="H27" s="18" t="str">
        <f>IF(ISERROR(VLOOKUP(Inputs!G34,'Absorption Coefficients'!A:I,6,FALSE)),"",(VLOOKUP(Inputs!G34,'Absorption Coefficients'!A:I,6,FALSE)))</f>
        <v/>
      </c>
      <c r="I27" s="18" t="str">
        <f>IF(ISERROR(VLOOKUP(Inputs!G34,'Absorption Coefficients'!A:I,7,FALSE)),"",(VLOOKUP(Inputs!G34,'Absorption Coefficients'!A:I,7,FALSE)))</f>
        <v/>
      </c>
      <c r="J27" s="18" t="str">
        <f>IF(ISERROR(VLOOKUP(Inputs!G34,'Absorption Coefficients'!A:I,8,FALSE)),"",(VLOOKUP(Inputs!G34,'Absorption Coefficients'!A:I,8,FALSE)))</f>
        <v/>
      </c>
      <c r="K27" s="16" t="str">
        <f>IF(ISERROR(Surface_Area_19*Absorption_Coefficient_Surface19_125Hz),"",(Surface_Area_19*Absorption_Coefficient_Surface19_125Hz))</f>
        <v/>
      </c>
      <c r="L27" s="16" t="str">
        <f>IF(ISERROR(Surface_Area_19*Absorption_Coefficient_Surface19_250Hz),"",(Surface_Area_19*Absorption_Coefficient_Surface19_250Hz))</f>
        <v/>
      </c>
      <c r="M27" s="16" t="str">
        <f>IF(ISERROR(Surface_Area_19*Absorption_Coefficient_Surface19_500Hz),"",(Surface_Area_19*Absorption_Coefficient_Surface19_500Hz))</f>
        <v/>
      </c>
      <c r="N27" s="16" t="str">
        <f>IF(ISERROR(Surface_Area_19*Absorption_Coefficient_Surface19_1kHz),"",(Surface_Area_19*Absorption_Coefficient_Surface19_1kHz))</f>
        <v/>
      </c>
      <c r="O27" s="16" t="str">
        <f>IF(ISERROR(Surface_Area_19*Absorption_Coefficient_Surface19_2kHz),"",(Surface_Area_19*Absorption_Coefficient_Surface19_2kHz))</f>
        <v/>
      </c>
      <c r="P27" s="16" t="str">
        <f>IF(ISERROR(Surface_Area_19*Absorption_Coefficient_Surface19_4kHz),"",(Surface_Area_19*Absorption_Coefficient_Surface19_4kHz))</f>
        <v/>
      </c>
      <c r="W27" s="22"/>
    </row>
    <row r="28" spans="2:23" ht="15" customHeight="1" x14ac:dyDescent="0.3">
      <c r="B28" s="100" t="str">
        <f>IF(ISNONTEXT(Inputs!B35),"",(Inputs!B35))</f>
        <v/>
      </c>
      <c r="C28" s="100"/>
      <c r="D28" s="37" t="str">
        <f>IF(ISNONTEXT(Inputs!F35),"",(Inputs!F35))</f>
        <v/>
      </c>
      <c r="E28" s="18" t="str">
        <f>IF(ISERROR(VLOOKUP(Inputs!G35,'Absorption Coefficients'!A:I,3,FALSE)),"",(VLOOKUP(Inputs!G35,'Absorption Coefficients'!A:I,3,FALSE)))</f>
        <v/>
      </c>
      <c r="F28" s="18" t="str">
        <f>IF(ISERROR(VLOOKUP(Inputs!G35,'Absorption Coefficients'!A:I,4,FALSE)),"",(VLOOKUP(Inputs!G35,'Absorption Coefficients'!A:I,4,FALSE)))</f>
        <v/>
      </c>
      <c r="G28" s="18" t="str">
        <f>IF(ISERROR(VLOOKUP(Inputs!G35,'Absorption Coefficients'!A:I,5,FALSE)),"",(VLOOKUP(Inputs!G35,'Absorption Coefficients'!A:I,5,FALSE)))</f>
        <v/>
      </c>
      <c r="H28" s="18" t="str">
        <f>IF(ISERROR(VLOOKUP(Inputs!G35,'Absorption Coefficients'!A:I,6,FALSE)),"",(VLOOKUP(Inputs!G35,'Absorption Coefficients'!A:I,6,FALSE)))</f>
        <v/>
      </c>
      <c r="I28" s="18" t="str">
        <f>IF(ISERROR(VLOOKUP(Inputs!G35,'Absorption Coefficients'!A:I,7,FALSE)),"",(VLOOKUP(Inputs!G35,'Absorption Coefficients'!A:I,7,FALSE)))</f>
        <v/>
      </c>
      <c r="J28" s="18" t="str">
        <f>IF(ISERROR(VLOOKUP(Inputs!G35,'Absorption Coefficients'!A:I,8,FALSE)),"",(VLOOKUP(Inputs!G35,'Absorption Coefficients'!A:I,8,FALSE)))</f>
        <v/>
      </c>
      <c r="K28" s="16" t="str">
        <f>IF(ISERROR(Surface_Area_20*Absorption_Coefficient_Surface20_125Hz),"",(Surface_Area_20*Absorption_Coefficient_Surface20_125Hz))</f>
        <v/>
      </c>
      <c r="L28" s="16" t="str">
        <f>IF(ISERROR(Surface_Area_20*Absorption_Coefficient_Surface20_250Hz),"",(Surface_Area_20*Absorption_Coefficient_Surface20_250Hz))</f>
        <v/>
      </c>
      <c r="M28" s="16" t="str">
        <f>IF(ISERROR(Surface_Area_20*Absorption_Coefficient_Surface20_500Hz),"",(Surface_Area_20*Absorption_Coefficient_Surface20_500Hz))</f>
        <v/>
      </c>
      <c r="N28" s="16" t="str">
        <f>IF(ISERROR(Surface_Area_20*Absorption_Coefficient_Surface20_1kHz),"",(Surface_Area_20*Absorption_Coefficient_Surface20_1kHz))</f>
        <v/>
      </c>
      <c r="O28" s="16" t="str">
        <f>IF(ISERROR(Surface_Area_20*Absorption_Coefficient_Surface20_2kHz),"",(Surface_Area_20*Absorption_Coefficient_Surface20_2kHz))</f>
        <v/>
      </c>
      <c r="P28" s="16" t="str">
        <f>IF(ISERROR(Surface_Area_20*Absorption_Coefficient_Surface20_4kHz),"",(Surface_Area_20*Absorption_Coefficient_Surface20_4kHz))</f>
        <v/>
      </c>
      <c r="W28" s="22"/>
    </row>
    <row r="29" spans="2:23" ht="15" customHeight="1" x14ac:dyDescent="0.3">
      <c r="B29" s="31"/>
      <c r="C29" s="31"/>
      <c r="D29" s="20"/>
      <c r="E29" s="20"/>
      <c r="F29" s="20"/>
      <c r="G29" s="20"/>
      <c r="H29" s="20"/>
      <c r="I29" s="20"/>
      <c r="J29" s="22"/>
    </row>
    <row r="30" spans="2:23" ht="15" customHeight="1" x14ac:dyDescent="0.3">
      <c r="C30" s="31"/>
      <c r="D30" s="68" t="s">
        <v>713</v>
      </c>
      <c r="E30" s="69"/>
      <c r="F30" s="70"/>
      <c r="G30" s="20"/>
      <c r="H30" s="20"/>
      <c r="I30" s="20"/>
    </row>
    <row r="31" spans="2:23" ht="15" customHeight="1" x14ac:dyDescent="0.3">
      <c r="C31" s="31"/>
      <c r="D31" s="74"/>
      <c r="E31" s="75"/>
      <c r="F31" s="76"/>
      <c r="G31" s="20"/>
      <c r="H31" s="20"/>
      <c r="I31" s="20"/>
    </row>
    <row r="32" spans="2:23" ht="15" customHeight="1" x14ac:dyDescent="0.25">
      <c r="C32" s="22"/>
      <c r="D32" s="22"/>
      <c r="E32" s="22"/>
      <c r="F32" s="22"/>
      <c r="G32" s="22"/>
      <c r="H32" s="22"/>
      <c r="I32" s="22"/>
    </row>
    <row r="33" spans="2:10" ht="15" customHeight="1" x14ac:dyDescent="0.3">
      <c r="C33" s="20"/>
      <c r="D33" s="32" t="s">
        <v>702</v>
      </c>
      <c r="E33" s="32" t="s">
        <v>703</v>
      </c>
      <c r="F33" s="32" t="s">
        <v>709</v>
      </c>
      <c r="G33" s="32" t="s">
        <v>704</v>
      </c>
      <c r="H33" s="32" t="s">
        <v>705</v>
      </c>
      <c r="I33" s="32" t="s">
        <v>706</v>
      </c>
    </row>
    <row r="34" spans="2:10" ht="15" customHeight="1" x14ac:dyDescent="0.3">
      <c r="C34" s="46" t="s">
        <v>707</v>
      </c>
      <c r="D34" s="16">
        <f>SUM(Sα_125Hz)</f>
        <v>12.604000000000001</v>
      </c>
      <c r="E34" s="16">
        <f>SUM(Sα_250Hz)</f>
        <v>9.8020000000000014</v>
      </c>
      <c r="F34" s="16">
        <f>SUM(Sα_500Hz)</f>
        <v>13.43</v>
      </c>
      <c r="G34" s="16">
        <f>SUM(Sα_1kHz)</f>
        <v>15.43</v>
      </c>
      <c r="H34" s="16">
        <f>SUM(Sα_2kHz)</f>
        <v>17.43</v>
      </c>
      <c r="I34" s="16">
        <f>SUM(Sα_4kHz)</f>
        <v>17.43</v>
      </c>
    </row>
    <row r="35" spans="2:10" ht="15" customHeight="1" x14ac:dyDescent="0.3">
      <c r="C35" s="46" t="s">
        <v>733</v>
      </c>
      <c r="D35" s="47"/>
      <c r="E35" s="47"/>
      <c r="F35" s="47"/>
      <c r="G35" s="47"/>
      <c r="H35" s="47"/>
      <c r="I35" s="47"/>
    </row>
    <row r="36" spans="2:10" ht="15" customHeight="1" x14ac:dyDescent="0.3">
      <c r="C36" s="46" t="s">
        <v>734</v>
      </c>
      <c r="D36" s="47"/>
      <c r="E36" s="47"/>
      <c r="F36" s="47"/>
      <c r="G36" s="47"/>
      <c r="H36" s="47"/>
      <c r="I36" s="47"/>
    </row>
    <row r="37" spans="2:10" ht="15" customHeight="1" x14ac:dyDescent="0.3">
      <c r="C37" s="46" t="s">
        <v>735</v>
      </c>
      <c r="D37" s="47"/>
      <c r="E37" s="47"/>
      <c r="F37" s="47"/>
      <c r="G37" s="47"/>
      <c r="H37" s="47"/>
      <c r="I37" s="47"/>
    </row>
    <row r="39" spans="2:10" ht="15" customHeight="1" x14ac:dyDescent="0.3">
      <c r="C39" s="20"/>
      <c r="D39" s="44" t="s">
        <v>702</v>
      </c>
      <c r="E39" s="44" t="s">
        <v>703</v>
      </c>
      <c r="F39" s="44" t="s">
        <v>709</v>
      </c>
      <c r="G39" s="44" t="s">
        <v>704</v>
      </c>
      <c r="H39" s="44" t="s">
        <v>705</v>
      </c>
      <c r="I39" s="44" t="s">
        <v>706</v>
      </c>
      <c r="J39" s="44" t="s">
        <v>746</v>
      </c>
    </row>
    <row r="40" spans="2:10" ht="15" customHeight="1" x14ac:dyDescent="0.3">
      <c r="B40" s="97" t="s">
        <v>741</v>
      </c>
      <c r="C40" s="99"/>
      <c r="D40" s="16">
        <f>(Total_Volume*K_Value)/Sum_Sα_125Hz</f>
        <v>0.68978102189781021</v>
      </c>
      <c r="E40" s="16">
        <f>(Total_Volume*K_Value)/Sum_Sα_250Hz</f>
        <v>0.88696184452152615</v>
      </c>
      <c r="F40" s="16">
        <f>(Total_Volume*K_Value)/Sum_Sα_500Hz</f>
        <v>0.64735666418466131</v>
      </c>
      <c r="G40" s="16">
        <f>(Total_Volume*K_Value)/Sum_Sα_1kHz</f>
        <v>0.56344782890473111</v>
      </c>
      <c r="H40" s="16">
        <f>(Total_Volume*K_Value)/Sum_Sα_2kHz</f>
        <v>0.49879518072289164</v>
      </c>
      <c r="I40" s="16">
        <f>(Total_Volume*K_Value)/Sum_Sα_4kHz</f>
        <v>0.49879518072289164</v>
      </c>
      <c r="J40" s="47">
        <f>AVERAGE(T60_Sabine)</f>
        <v>0.63085628682575201</v>
      </c>
    </row>
    <row r="41" spans="2:10" ht="15" customHeight="1" x14ac:dyDescent="0.25">
      <c r="C41" s="22"/>
      <c r="D41" s="22"/>
      <c r="E41" s="22"/>
      <c r="F41" s="22"/>
      <c r="G41" s="22"/>
      <c r="H41" s="22"/>
      <c r="I41" s="22"/>
    </row>
    <row r="42" spans="2:10" ht="15" customHeight="1" x14ac:dyDescent="0.25">
      <c r="D42" s="68" t="s">
        <v>718</v>
      </c>
      <c r="E42" s="69"/>
      <c r="F42" s="70"/>
    </row>
    <row r="43" spans="2:10" ht="15" customHeight="1" x14ac:dyDescent="0.25">
      <c r="D43" s="74"/>
      <c r="E43" s="75"/>
      <c r="F43" s="76"/>
    </row>
    <row r="45" spans="2:10" ht="15" customHeight="1" x14ac:dyDescent="0.3">
      <c r="C45" s="20"/>
      <c r="D45" s="14" t="s">
        <v>702</v>
      </c>
      <c r="E45" s="13" t="s">
        <v>703</v>
      </c>
      <c r="F45" s="13" t="s">
        <v>709</v>
      </c>
      <c r="G45" s="13" t="s">
        <v>704</v>
      </c>
      <c r="H45" s="13" t="s">
        <v>705</v>
      </c>
      <c r="I45" s="13" t="s">
        <v>706</v>
      </c>
    </row>
    <row r="46" spans="2:10" ht="15" customHeight="1" x14ac:dyDescent="0.3">
      <c r="C46" s="15" t="s">
        <v>720</v>
      </c>
      <c r="D46" s="16">
        <f>Sum_Sα_125Hz/Total_Surface_Area</f>
        <v>0.14225733634311513</v>
      </c>
      <c r="E46" s="16">
        <f>Sum_Sα_250Hz/Total_Surface_Area</f>
        <v>0.11063205417607226</v>
      </c>
      <c r="F46" s="16">
        <f>Sum_Sα_500Hz/Total_Surface_Area</f>
        <v>0.15158013544018059</v>
      </c>
      <c r="G46" s="16">
        <f>Sum_Sα_1kHz/Total_Surface_Area</f>
        <v>0.17415349887133183</v>
      </c>
      <c r="H46" s="16">
        <f>Sum_Sα_2kHz/Total_Surface_Area</f>
        <v>0.19672686230248307</v>
      </c>
      <c r="I46" s="16">
        <f>Sum_Sα_4kHz/Total_Surface_Area</f>
        <v>0.19672686230248307</v>
      </c>
    </row>
    <row r="47" spans="2:10" ht="15" customHeight="1" x14ac:dyDescent="0.3">
      <c r="C47" s="15" t="s">
        <v>731</v>
      </c>
      <c r="D47" s="47">
        <f>(SUMIF(Axis, "X", Sα_125Hz))/X_Surface_Area</f>
        <v>0.14000000000000001</v>
      </c>
      <c r="E47" s="47">
        <f>(SUMIF(Axis, "X", Sα_250Hz))/X_Surface_Area</f>
        <v>7.0000000000000007E-2</v>
      </c>
      <c r="F47" s="47">
        <f>(SUMIF(Axis, "X", Sα_500Hz))/X_Surface_Area</f>
        <v>0.05</v>
      </c>
      <c r="G47" s="47">
        <f>(SUMIF(Axis, "X", Sα_1kHz))/X_Surface_Area</f>
        <v>0.05</v>
      </c>
      <c r="H47" s="47">
        <f>(SUMIF(Axis, "X", Sα_2kHz))/X_Surface_Area</f>
        <v>0.05</v>
      </c>
      <c r="I47" s="47">
        <f>(SUMIF(Axis, "X", Sα_4kHz))/X_Surface_Area</f>
        <v>0.05</v>
      </c>
    </row>
    <row r="48" spans="2:10" ht="15" customHeight="1" x14ac:dyDescent="0.3">
      <c r="C48" s="15" t="s">
        <v>732</v>
      </c>
      <c r="D48" s="47">
        <f>(SUMIF(Axis, "Y", Sα_125Hz))/Y_Surface_Area</f>
        <v>0.14000000000000001</v>
      </c>
      <c r="E48" s="47">
        <f>(SUMIF(Axis, "Y", Sα_250Hz))/Y_Surface_Area</f>
        <v>7.0000000000000007E-2</v>
      </c>
      <c r="F48" s="47">
        <f>(SUMIF(Axis, "Y", Sα_500Hz))/Y_Surface_Area</f>
        <v>0.05</v>
      </c>
      <c r="G48" s="47">
        <f>(SUMIF(Axis, "Y", Sα_1kHz))/Y_Surface_Area</f>
        <v>0.05</v>
      </c>
      <c r="H48" s="47">
        <f>(SUMIF(Axis, "Y", Sα_2kHz))/Y_Surface_Area</f>
        <v>0.05</v>
      </c>
      <c r="I48" s="47">
        <f>(SUMIF(Axis, "Y", Sα_4kHz))/Y_Surface_Area</f>
        <v>0.05</v>
      </c>
    </row>
    <row r="49" spans="2:10" ht="15" customHeight="1" x14ac:dyDescent="0.3">
      <c r="C49" s="15" t="s">
        <v>732</v>
      </c>
      <c r="D49" s="47">
        <f>(SUMIF(Axis, "Z", Sα_125Hz))/Z_Surface_Area</f>
        <v>0.14500000000000002</v>
      </c>
      <c r="E49" s="47">
        <f>(SUMIF(Axis, "Z", Sα_250Hz))/Z_Surface_Area</f>
        <v>0.16</v>
      </c>
      <c r="F49" s="47">
        <f>(SUMIF(Axis, "Z", Sα_500Hz))/Z_Surface_Area</f>
        <v>0.27500000000000002</v>
      </c>
      <c r="G49" s="47">
        <f>(SUMIF(Axis, "Z", Sα_1kHz))/Z_Surface_Area</f>
        <v>0.32500000000000001</v>
      </c>
      <c r="H49" s="47">
        <f>(SUMIF(Axis, "Z", Sα_2kHz))/Z_Surface_Area</f>
        <v>0.375</v>
      </c>
      <c r="I49" s="47">
        <f>(SUMIF(Axis, "Z", Sα_4kHz))/Z_Surface_Area</f>
        <v>0.375</v>
      </c>
    </row>
    <row r="51" spans="2:10" ht="15" customHeight="1" x14ac:dyDescent="0.3">
      <c r="C51" s="20"/>
      <c r="D51" s="13" t="s">
        <v>702</v>
      </c>
      <c r="E51" s="13" t="s">
        <v>703</v>
      </c>
      <c r="F51" s="13" t="s">
        <v>709</v>
      </c>
      <c r="G51" s="13" t="s">
        <v>704</v>
      </c>
      <c r="H51" s="13" t="s">
        <v>705</v>
      </c>
      <c r="I51" s="13" t="s">
        <v>706</v>
      </c>
      <c r="J51" s="13" t="s">
        <v>746</v>
      </c>
    </row>
    <row r="52" spans="2:10" ht="15" customHeight="1" x14ac:dyDescent="0.3">
      <c r="B52" s="97" t="s">
        <v>742</v>
      </c>
      <c r="C52" s="99"/>
      <c r="D52" s="16">
        <f>(-K_Value*Total_Volume)/(Total_Surface_Area*LN(1-α_Bar_125Hz))</f>
        <v>0.63946350777152661</v>
      </c>
      <c r="E52" s="16">
        <f>(-K_Value*Total_Volume)/(Total_Surface_Area*LN(1-α_Bar_250Hz))</f>
        <v>0.83694012896067793</v>
      </c>
      <c r="F52" s="16">
        <f>(-K_Value*Total_Volume)/(Total_Surface_Area*LN(1-α_Bar_500Hz))</f>
        <v>0.59694989835484569</v>
      </c>
      <c r="G52" s="16">
        <f>(-K_Value*Total_Volume)/(Total_Surface_Area*LN(1-α_Bar_1kHz))</f>
        <v>0.51282089985815027</v>
      </c>
      <c r="H52" s="16">
        <f>(-K_Value*Total_Volume)/(Total_Surface_Area*LN(1-α_Bar_2kHz))</f>
        <v>0.44794210481354274</v>
      </c>
      <c r="I52" s="16">
        <f>(-K_Value*Total_Volume)/(Total_Surface_Area*LN(1-α_Bar_4kHz))</f>
        <v>0.44794210481354274</v>
      </c>
      <c r="J52" s="47">
        <f>AVERAGE(T60_Eyring)</f>
        <v>0.58034310742871431</v>
      </c>
    </row>
    <row r="54" spans="2:10" ht="15" customHeight="1" x14ac:dyDescent="0.25">
      <c r="D54" s="68" t="s">
        <v>747</v>
      </c>
      <c r="E54" s="69"/>
      <c r="F54" s="70"/>
    </row>
    <row r="55" spans="2:10" ht="15" customHeight="1" x14ac:dyDescent="0.25">
      <c r="D55" s="74"/>
      <c r="E55" s="75"/>
      <c r="F55" s="76"/>
    </row>
    <row r="57" spans="2:10" ht="15" customHeight="1" x14ac:dyDescent="0.3">
      <c r="C57" s="20"/>
      <c r="D57" s="32" t="s">
        <v>702</v>
      </c>
      <c r="E57" s="32" t="s">
        <v>703</v>
      </c>
      <c r="F57" s="32" t="s">
        <v>709</v>
      </c>
      <c r="G57" s="32" t="s">
        <v>704</v>
      </c>
      <c r="H57" s="32" t="s">
        <v>705</v>
      </c>
      <c r="I57" s="32" t="s">
        <v>706</v>
      </c>
      <c r="J57" s="32" t="s">
        <v>746</v>
      </c>
    </row>
    <row r="58" spans="2:10" ht="15" customHeight="1" x14ac:dyDescent="0.3">
      <c r="B58" s="97" t="s">
        <v>737</v>
      </c>
      <c r="C58" s="98"/>
      <c r="D58" s="16">
        <f>(K_Value*Total_Volume)/Total_Surface_Area^2*((-X_Surface_Area/LN(1-x_α_Bar_125Hz))+(-Y_Surface_Area/LN(1-y_α_Bar_125Hz))+(-Z_Surface_Area/LN(1-z_α_Bar_125Hz)))</f>
        <v>0.63967384402871763</v>
      </c>
      <c r="E58" s="16">
        <f>(K_Value*Total_Volume)/Total_Surface_Area^2*((-X_Surface_Area/LN(1-x_α_Bar_250Hz))+(-Y_Surface_Area/LN(1-y_α_Bar_250Hz))+(-Z_Surface_Area/LN(1-z_α_Bar_250Hz)))</f>
        <v>0.99578476276892014</v>
      </c>
      <c r="F58" s="16">
        <f>(K_Value*Total_Volume)/Total_Surface_Area^2*((-X_Surface_Area/LN(1-x_α_Bar_500Hz))+(-Y_Surface_Area/LN(1-y_α_Bar_500Hz))+(-Z_Surface_Area/LN(1-z_α_Bar_500Hz)))</f>
        <v>1.1871265783237739</v>
      </c>
      <c r="G58" s="16">
        <f>(K_Value*Total_Volume)/Total_Surface_Area^2*((-X_Surface_Area/LN(1-x_α_Bar_1kHz))+(-Y_Surface_Area/LN(1-y_α_Bar_1kHz))+(-Z_Surface_Area/LN(1-z_α_Bar_1kHz)))</f>
        <v>1.1620807521122467</v>
      </c>
      <c r="H58" s="16">
        <f>(K_Value*Total_Volume)/Total_Surface_Area^2*((-X_Surface_Area/LN(1-x_α_Bar_2kHz))+(-Y_Surface_Area/LN(1-y_α_Bar_2kHz))+(-Z_Surface_Area/LN(1-z_α_Bar_2kHz)))</f>
        <v>1.1436245517910186</v>
      </c>
      <c r="I58" s="16">
        <f>(K_Value*Total_Volume)/Total_Surface_Area^2*((-X_Surface_Area/LN(1-x_α_Bar_4kHz))+(-Y_Surface_Area/LN(1-y_α_Bar_4kHz))+(-Z_Surface_Area/LN(1-z_α_Bar_4kHz)))</f>
        <v>1.1436245517910186</v>
      </c>
      <c r="J58" s="47">
        <f>AVERAGE(RT60_Fitzroy)</f>
        <v>1.0453191734692826</v>
      </c>
    </row>
    <row r="59" spans="2:10" ht="15" customHeight="1" x14ac:dyDescent="0.3">
      <c r="B59" s="97" t="s">
        <v>738</v>
      </c>
      <c r="C59" s="98"/>
      <c r="D59" s="47">
        <f>(K_Value*Total_Volume)/Total_Surface_Area^2*(-X_Surface_Area/LN(1-x_α_Bar_125Hz))</f>
        <v>0.15861296577103257</v>
      </c>
      <c r="E59" s="47">
        <f>(K_Value*Total_Volume)/Total_Surface_Area^2*(-X_Surface_Area/LN(1-x_α_Bar_250Hz))</f>
        <v>0.32964361937959119</v>
      </c>
      <c r="F59" s="47">
        <f>(K_Value*Total_Volume)/Total_Surface_Area^2*(-X_Surface_Area/LN(1-x_α_Bar_500Hz))</f>
        <v>0.46638583332572942</v>
      </c>
      <c r="G59" s="47">
        <f>(K_Value*Total_Volume)/Total_Surface_Area^2*(-X_Surface_Area/LN(1-x_α_Bar_1kHz))</f>
        <v>0.46638583332572942</v>
      </c>
      <c r="H59" s="47">
        <f>(K_Value*Total_Volume)/Total_Surface_Area^2*(-X_Surface_Area/LN(1-x_α_Bar_2kHz))</f>
        <v>0.46638583332572942</v>
      </c>
      <c r="I59" s="47">
        <f>(K_Value*Total_Volume)/Total_Surface_Area^2*(-X_Surface_Area/LN(1-x_α_Bar_4kHz))</f>
        <v>0.46638583332572942</v>
      </c>
      <c r="J59" s="47">
        <f>AVERAGE(RT60_Fitzroy_X)</f>
        <v>0.39229998640892355</v>
      </c>
    </row>
    <row r="60" spans="2:10" ht="15" customHeight="1" x14ac:dyDescent="0.3">
      <c r="B60" s="97" t="s">
        <v>739</v>
      </c>
      <c r="C60" s="98"/>
      <c r="D60" s="47">
        <f>(K_Value*Total_Volume)/Total_Surface_Area^2*(-Y_Surface_Area/LN(1-y_α_Bar_125Hz))</f>
        <v>0.19826620721379071</v>
      </c>
      <c r="E60" s="47">
        <f>(K_Value*Total_Volume)/Total_Surface_Area^2*(-Y_Surface_Area/LN(1-y_α_Bar_250Hz))</f>
        <v>0.41205452422448891</v>
      </c>
      <c r="F60" s="47">
        <f>(K_Value*Total_Volume)/Total_Surface_Area^2*(-Y_Surface_Area/LN(1-y_α_Bar_500Hz))</f>
        <v>0.58298229165716176</v>
      </c>
      <c r="G60" s="47">
        <f>(K_Value*Total_Volume)/Total_Surface_Area^2*(-Y_Surface_Area/LN(1-y_α_Bar_1kHz))</f>
        <v>0.58298229165716176</v>
      </c>
      <c r="H60" s="47">
        <f>(K_Value*Total_Volume)/Total_Surface_Area^2*(-Y_Surface_Area/LN(1-y_α_Bar_2kHz))</f>
        <v>0.58298229165716176</v>
      </c>
      <c r="I60" s="47">
        <f>(K_Value*Total_Volume)/Total_Surface_Area^2*(-Y_Surface_Area/LN(1-y_α_Bar_4kHz))</f>
        <v>0.58298229165716176</v>
      </c>
      <c r="J60" s="47">
        <f>AVERAGE(RT60_Fitzroy_Y)</f>
        <v>0.49037498301115451</v>
      </c>
    </row>
    <row r="61" spans="2:10" ht="15" customHeight="1" x14ac:dyDescent="0.3">
      <c r="B61" s="97" t="s">
        <v>740</v>
      </c>
      <c r="C61" s="98"/>
      <c r="D61" s="47">
        <f>(K_Value*Total_Volume)/Total_Surface_Area^2*(-Z_Surface_Area/LN(1-z_α_Bar_125Hz))</f>
        <v>0.28279467104389439</v>
      </c>
      <c r="E61" s="47">
        <f>(K_Value*Total_Volume)/Total_Surface_Area^2*(-Z_Surface_Area/LN(1-z_α_Bar_250Hz))</f>
        <v>0.25408661916483999</v>
      </c>
      <c r="F61" s="47">
        <f>(K_Value*Total_Volume)/Total_Surface_Area^2*(-Z_Surface_Area/LN(1-z_α_Bar_500Hz))</f>
        <v>0.13775845334088296</v>
      </c>
      <c r="G61" s="47">
        <f>(K_Value*Total_Volume)/Total_Surface_Area^2*(-Z_Surface_Area/LN(1-z_α_Bar_1kHz))</f>
        <v>0.11271262712935563</v>
      </c>
      <c r="H61" s="47">
        <f>(K_Value*Total_Volume)/Total_Surface_Area^2*(-Z_Surface_Area/LN(1-z_α_Bar_2kHz))</f>
        <v>9.4256426808127708E-2</v>
      </c>
      <c r="I61" s="47">
        <f>(K_Value*Total_Volume)/Total_Surface_Area^2*(-Z_Surface_Area/LN(1-z_α_Bar_4kHz))</f>
        <v>9.4256426808127708E-2</v>
      </c>
      <c r="J61" s="47">
        <f>AVERAGE(RT60_Fitzroy_Z)</f>
        <v>0.16264420404920474</v>
      </c>
    </row>
    <row r="63" spans="2:10" ht="15" customHeight="1" x14ac:dyDescent="0.25">
      <c r="D63" s="68" t="s">
        <v>748</v>
      </c>
      <c r="E63" s="69"/>
      <c r="F63" s="69"/>
      <c r="G63" s="70"/>
    </row>
    <row r="64" spans="2:10" ht="15" customHeight="1" x14ac:dyDescent="0.25">
      <c r="D64" s="74"/>
      <c r="E64" s="75"/>
      <c r="F64" s="75"/>
      <c r="G64" s="76"/>
    </row>
    <row r="66" spans="2:10" ht="15" customHeight="1" x14ac:dyDescent="0.3">
      <c r="C66" s="20"/>
      <c r="D66" s="14" t="s">
        <v>702</v>
      </c>
      <c r="E66" s="13" t="s">
        <v>703</v>
      </c>
      <c r="F66" s="13" t="s">
        <v>709</v>
      </c>
      <c r="G66" s="13" t="s">
        <v>704</v>
      </c>
      <c r="H66" s="13" t="s">
        <v>705</v>
      </c>
      <c r="I66" s="13" t="s">
        <v>706</v>
      </c>
    </row>
    <row r="67" spans="2:10" ht="15" customHeight="1" x14ac:dyDescent="0.3">
      <c r="B67" s="97" t="s">
        <v>751</v>
      </c>
      <c r="C67" s="98"/>
      <c r="D67" s="47">
        <f>1-(x_α_Bar_125Hz+y_α_Bar_125Hz)/2</f>
        <v>0.86</v>
      </c>
      <c r="E67" s="47">
        <f>1-(x_α_Bar_250Hz+y_α_Bar_250Hz)/2</f>
        <v>0.92999999999999994</v>
      </c>
      <c r="F67" s="47">
        <f>1-(x_α_Bar_500Hz+y_α_Bar_500Hz)/2</f>
        <v>0.95</v>
      </c>
      <c r="G67" s="47">
        <f>1-(x_α_Bar_1kHz+y_α_Bar_1kHz)/2</f>
        <v>0.95</v>
      </c>
      <c r="H67" s="47">
        <f>1-(x_α_Bar_2kHz+y_α_Bar_2kHz)/2</f>
        <v>0.95</v>
      </c>
      <c r="I67" s="47">
        <f>1-(x_α_Bar_4kHz+y_α_Bar_4kHz)/2</f>
        <v>0.95</v>
      </c>
    </row>
    <row r="68" spans="2:10" ht="15" customHeight="1" x14ac:dyDescent="0.3">
      <c r="B68" s="97" t="s">
        <v>752</v>
      </c>
      <c r="C68" s="98"/>
      <c r="D68" s="47">
        <f>1-z_α_Bar_125Hz</f>
        <v>0.85499999999999998</v>
      </c>
      <c r="E68" s="47">
        <f>1-z_α_Bar_250Hz</f>
        <v>0.84</v>
      </c>
      <c r="F68" s="47">
        <f>1-z_α_Bar_500Hz</f>
        <v>0.72499999999999998</v>
      </c>
      <c r="G68" s="47">
        <f>1-z_α_Bar_1kHz</f>
        <v>0.67500000000000004</v>
      </c>
      <c r="H68" s="47">
        <f>1-z_α_Bar_2kHz</f>
        <v>0.625</v>
      </c>
      <c r="I68" s="47">
        <f>1-z_α_Bar_4kHz</f>
        <v>0.625</v>
      </c>
    </row>
    <row r="69" spans="2:10" ht="15" customHeight="1" x14ac:dyDescent="0.3">
      <c r="B69" s="97" t="s">
        <v>753</v>
      </c>
      <c r="C69" s="98"/>
      <c r="D69" s="47">
        <f>(x_α_Bar_125Hz+y_α_Bar_125Hz+z_α_Bar_125Hz)/3</f>
        <v>0.14166666666666669</v>
      </c>
      <c r="E69" s="47">
        <f>(x_α_Bar_250Hz+y_α_Bar_250Hz+z_α_Bar_250Hz)/3</f>
        <v>0.10000000000000002</v>
      </c>
      <c r="F69" s="47">
        <f>(x_α_Bar_500Hz+y_α_Bar_500Hz+z_α_Bar_500Hz)/3</f>
        <v>0.125</v>
      </c>
      <c r="G69" s="47">
        <f>(x_α_Bar_1kHz+y_α_Bar_1kHz+z_α_Bar_1kHz)/3</f>
        <v>0.14166666666666669</v>
      </c>
      <c r="H69" s="47">
        <f>(x_α_Bar_2kHz+y_α_Bar_2kHz+z_α_Bar_2kHz)/3</f>
        <v>0.15833333333333333</v>
      </c>
      <c r="I69" s="47">
        <f>(x_α_Bar_4kHz+y_α_Bar_4kHz+z_α_Bar_4kHz)/3</f>
        <v>0.15833333333333333</v>
      </c>
    </row>
    <row r="70" spans="2:10" ht="15" customHeight="1" x14ac:dyDescent="0.3">
      <c r="B70" s="97" t="s">
        <v>754</v>
      </c>
      <c r="C70" s="98"/>
      <c r="D70" s="47">
        <f>1-((x_α_Bar_125Hz+y_α_Bar_125Hz+z_α_Bar_125Hz)/3)</f>
        <v>0.85833333333333328</v>
      </c>
      <c r="E70" s="47">
        <f>1-((x_α_Bar_250Hz+y_α_Bar_250Hz+z_α_Bar_250Hz)/3)</f>
        <v>0.9</v>
      </c>
      <c r="F70" s="47">
        <f>1-((x_α_Bar_500Hz+y_α_Bar_500Hz+z_α_Bar_500Hz)/3)</f>
        <v>0.875</v>
      </c>
      <c r="G70" s="47">
        <f>1-((x_α_Bar_1kHz+y_α_Bar_1kHz+z_α_Bar_1kHz)/3)</f>
        <v>0.85833333333333328</v>
      </c>
      <c r="H70" s="47">
        <f>1-((x_α_Bar_2kHz+y_α_Bar_2kHz+z_α_Bar_2kHz)/3)</f>
        <v>0.84166666666666667</v>
      </c>
      <c r="I70" s="47">
        <f>1-((x_α_Bar_4kHz+y_α_Bar_4kHz+z_α_Bar_4kHz)/3)</f>
        <v>0.84166666666666667</v>
      </c>
    </row>
    <row r="71" spans="2:10" ht="15" customHeight="1" x14ac:dyDescent="0.3">
      <c r="B71" s="97" t="s">
        <v>750</v>
      </c>
      <c r="C71" s="98"/>
      <c r="D71" s="47">
        <f>-LN(1-absorbancy_125Hz)+((Reflectivity_X_Y_125Hz*(Reflectivity_X_Y_125Hz-reflectivity_125Hz)*((X_Surface_Area+Y_Surface_Area)^2))/(reflectivity_125Hz*Total_Surface_Area)^2)</f>
        <v>0.1533481378655</v>
      </c>
      <c r="E71" s="47">
        <f>-LN(1-absorbancy_250Hz)+((Reflectivity_X_Y_250Hz*(Reflectivity_X_Y_250Hz-reflectivity_250Hz)*((X_Surface_Area+Y_Surface_Area)^2))/(reflectivity_250Hz*Total_Surface_Area)^2)</f>
        <v>0.11572444107910229</v>
      </c>
      <c r="F71" s="47">
        <f>-LN(1-absorbancy_500Hz)+((Reflectivity_X_Y_500Hz*(Reflectivity_X_Y_500Hz-reflectivity_500Hz)*((X_Surface_Area+Y_Surface_Area)^2))/(reflectivity_500Hz*Total_Surface_Area)^2)</f>
        <v>0.16153241298588986</v>
      </c>
      <c r="G71" s="47">
        <f>-LN(1-absorbancy_1kHz)+((Reflectivity_X_Y_1kHz*(Reflectivity_X_Y_1kHz-reflectivity_1kHz)*((X_Surface_Area+Y_Surface_Area)^2))/(reflectivity_1kHz*Total_Surface_Area)^2)</f>
        <v>0.18832819421396402</v>
      </c>
      <c r="H71" s="47">
        <f>-LN(1-absorbancy_2kHz)+((Reflectivity_X_Y_2kHz*(Reflectivity_X_Y_2kHz-reflectivity_2kHz)*((X_Surface_Area+Y_Surface_Area)^2))/(reflectivity_2kHz*Total_Surface_Area)^2)</f>
        <v>0.21608421969186711</v>
      </c>
      <c r="I71" s="47">
        <f>-LN(1-absorbancy_4kHz)+((Reflectivity_X_Y_4kHz*(Reflectivity_X_Y_4kHz-reflectivity_4kHz)*((X_Surface_Area+Y_Surface_Area)^2))/(reflectivity_4kHz*Total_Surface_Area)^2)</f>
        <v>0.21608421969186711</v>
      </c>
    </row>
    <row r="72" spans="2:10" ht="15" customHeight="1" x14ac:dyDescent="0.3">
      <c r="B72" s="97" t="s">
        <v>749</v>
      </c>
      <c r="C72" s="98"/>
      <c r="D72" s="47">
        <f>-LN(1-absorbancy_125Hz)+((Reflectivity_Z_125Hz*(Reflectivity_Z_125Hz-reflectivity_125Hz)*(Z_Surface_Area^2))/(reflectivity_125Hz*Total_Surface_Area)^2)</f>
        <v>0.1519742840662249</v>
      </c>
      <c r="E72" s="47">
        <f>-LN(1-absorbancy_250Hz)+((Reflectivity_Z_250Hz*(Reflectivity_Z_250Hz-reflectivity_250Hz)*(Z_Surface_Area^2))/(reflectivity_250Hz*Total_Surface_Area)^2)</f>
        <v>9.2678214658132571E-2</v>
      </c>
      <c r="F72" s="47">
        <f>-LN(1-absorbancy_500Hz)+((Reflectivity_Z_500Hz*(Reflectivity_Z_500Hz-reflectivity_500Hz)*(Z_Surface_Area^2))/(reflectivity_500Hz*Total_Surface_Area)^2)</f>
        <v>0.10458025069227724</v>
      </c>
      <c r="G72" s="47">
        <f>-LN(1-absorbancy_1kHz)+((Reflectivity_Z_1kHz*(Reflectivity_Z_1kHz-reflectivity_1kHz)*(Z_Surface_Area^2))/(reflectivity_1kHz*Total_Surface_Area)^2)</f>
        <v>0.11852653607330771</v>
      </c>
      <c r="H72" s="47">
        <f>-LN(1-absorbancy_2kHz)+((Reflectivity_Z_2kHz*(Reflectivity_Z_2kHz-reflectivity_2kHz)*(Z_Surface_Area^2))/(reflectivity_2kHz*Total_Surface_Area)^2)</f>
        <v>0.13340894238584364</v>
      </c>
      <c r="I72" s="47">
        <f>-LN(1-absorbancy_4kHz)+((Reflectivity_Z_4kHz*(Reflectivity_Z_4kHz-reflectivity_4kHz)*(Z_Surface_Area^2))/(reflectivity_4kHz*Total_Surface_Area)^2)</f>
        <v>0.13340894238584364</v>
      </c>
    </row>
    <row r="74" spans="2:10" ht="15" customHeight="1" x14ac:dyDescent="0.3">
      <c r="C74" s="20"/>
      <c r="D74" s="13" t="s">
        <v>702</v>
      </c>
      <c r="E74" s="13" t="s">
        <v>703</v>
      </c>
      <c r="F74" s="13" t="s">
        <v>709</v>
      </c>
      <c r="G74" s="13" t="s">
        <v>704</v>
      </c>
      <c r="H74" s="13" t="s">
        <v>705</v>
      </c>
      <c r="I74" s="13" t="s">
        <v>706</v>
      </c>
      <c r="J74" s="13" t="s">
        <v>746</v>
      </c>
    </row>
    <row r="75" spans="2:10" ht="15" customHeight="1" x14ac:dyDescent="0.3">
      <c r="B75" s="97" t="s">
        <v>755</v>
      </c>
      <c r="C75" s="99"/>
      <c r="D75" s="16">
        <f>((2*K_Value*Total_Volume)/(Total_Surface_Area^2))*((Room_Height*(Room_Lenght+Room_Width)/α_Star_X_Y_125Hz)+((Room_Lenght*Room_Width)/α_Star_Z_125Hz))</f>
        <v>0.64250465531155043</v>
      </c>
      <c r="E75" s="16">
        <f>((2*K_Value*Total_Volume)/(Total_Surface_Area^2))*((Room_Height*(Room_Lenght+Room_Width)/α_Star_X_Y_250Hz)+((Room_Lenght*Room_Width)/α_Star_Z_250Hz))</f>
        <v>0.9431255330792544</v>
      </c>
      <c r="F75" s="16">
        <f>((2*K_Value*Total_Volume)/(Total_Surface_Area^2))*((Room_Height*(Room_Lenght+Room_Width)/α_Star_X_Y_500Hz)+((Room_Lenght*Room_Width)/α_Star_Z_500Hz))</f>
        <v>0.75682464321744281</v>
      </c>
      <c r="G75" s="16">
        <f>((2*K_Value*Total_Volume)/(Total_Surface_Area^2))*((Room_Height*(Room_Lenght+Room_Width)/α_Star_X_Y_1kHz)+((Room_Lenght*Room_Width)/α_Star_Z_1kHz))</f>
        <v>0.65957041413947581</v>
      </c>
      <c r="H75" s="16">
        <f>((2*K_Value*Total_Volume)/(Total_Surface_Area^2))*((Room_Height*(Room_Lenght+Room_Width)/α_Star_X_Y_2kHz)+((Room_Lenght*Room_Width)/α_Star_Z_2kHz))</f>
        <v>0.58116339375474724</v>
      </c>
      <c r="I75" s="16">
        <f>((2*K_Value*Total_Volume)/(Total_Surface_Area^2))*((Room_Height*(Room_Lenght+Room_Width)/α_Star_X_Y_4kHz)+((Room_Lenght*Room_Width)/α_Star_Z_4kHz))</f>
        <v>0.58116339375474724</v>
      </c>
      <c r="J75" s="47">
        <f>AVERAGE(T60_Neubauer)</f>
        <v>0.69405867220953621</v>
      </c>
    </row>
    <row r="77" spans="2:10" ht="15" customHeight="1" x14ac:dyDescent="0.25">
      <c r="D77" s="68" t="s">
        <v>757</v>
      </c>
      <c r="E77" s="69"/>
      <c r="F77" s="70"/>
    </row>
    <row r="78" spans="2:10" ht="15" customHeight="1" x14ac:dyDescent="0.25">
      <c r="D78" s="74"/>
      <c r="E78" s="75"/>
      <c r="F78" s="76"/>
      <c r="G78" s="21">
        <v>1988</v>
      </c>
    </row>
    <row r="80" spans="2:10" ht="15" customHeight="1" x14ac:dyDescent="0.3">
      <c r="C80" s="20"/>
      <c r="D80" s="14" t="s">
        <v>702</v>
      </c>
      <c r="E80" s="13" t="s">
        <v>703</v>
      </c>
      <c r="F80" s="13" t="s">
        <v>709</v>
      </c>
      <c r="G80" s="13" t="s">
        <v>704</v>
      </c>
      <c r="H80" s="13" t="s">
        <v>705</v>
      </c>
      <c r="I80" s="13" t="s">
        <v>706</v>
      </c>
    </row>
    <row r="81" spans="2:11" ht="15" customHeight="1" x14ac:dyDescent="0.3">
      <c r="C81" s="15" t="s">
        <v>759</v>
      </c>
      <c r="D81" s="16">
        <f>((K_Value*Total_Volume)/(Total_Surface_Area*-LN(1-x_α_Bar_125Hz)))^(X_Surface_Area/Total_Surface_Area)</f>
        <v>0.90050996115618931</v>
      </c>
      <c r="E81" s="16">
        <f>((K_Value*Total_Volume)/(Total_Surface_Area*-LN(1-x_α_Bar_250Hz)))^(X_Surface_Area/Total_Surface_Area)</f>
        <v>1.0763234508615387</v>
      </c>
      <c r="F81" s="16">
        <f>((K_Value*Total_Volume)/(Total_Surface_Area*-LN(1-x_α_Bar_500Hz)))^(X_Surface_Area/Total_Surface_Area)</f>
        <v>1.1713386427002512</v>
      </c>
      <c r="G81" s="16">
        <f>((K_Value*Total_Volume)/(Total_Surface_Area*-LN(1-x_α_Bar_1kHz)))^(X_Surface_Area/Total_Surface_Area)</f>
        <v>1.1713386427002512</v>
      </c>
      <c r="H81" s="16">
        <f>((K_Value*Total_Volume)/(Total_Surface_Area*-LN(1-x_α_Bar_2kHz)))^(X_Surface_Area/Total_Surface_Area)</f>
        <v>1.1713386427002512</v>
      </c>
      <c r="I81" s="16">
        <f>((K_Value*Total_Volume)/(Total_Surface_Area*-LN(1-x_α_Bar_4kHz)))^(X_Surface_Area/Total_Surface_Area)</f>
        <v>1.1713386427002512</v>
      </c>
    </row>
    <row r="82" spans="2:11" ht="15" customHeight="1" x14ac:dyDescent="0.3">
      <c r="C82" s="15" t="s">
        <v>760</v>
      </c>
      <c r="D82" s="16">
        <f>((K_Value*Total_Volume)/(Total_Surface_Area*-LN(1-y_α_Bar_125Hz)))^(Y_Surface_Area/Total_Surface_Area)</f>
        <v>0.87722429584802109</v>
      </c>
      <c r="E82" s="16">
        <f>((K_Value*Total_Volume)/(Total_Surface_Area*-LN(1-y_α_Bar_250Hz)))^(Y_Surface_Area/Total_Surface_Area)</f>
        <v>1.0962977011959019</v>
      </c>
      <c r="F82" s="16">
        <f>((K_Value*Total_Volume)/(Total_Surface_Area*-LN(1-y_α_Bar_500Hz)))^(Y_Surface_Area/Total_Surface_Area)</f>
        <v>1.2185773141071412</v>
      </c>
      <c r="G82" s="16">
        <f>((K_Value*Total_Volume)/(Total_Surface_Area*-LN(1-y_α_Bar_1kHz)))^(Y_Surface_Area/Total_Surface_Area)</f>
        <v>1.2185773141071412</v>
      </c>
      <c r="H82" s="16">
        <f>((K_Value*Total_Volume)/(Total_Surface_Area*-LN(1-y_α_Bar_2kHz)))^(Y_Surface_Area/Total_Surface_Area)</f>
        <v>1.2185773141071412</v>
      </c>
      <c r="I82" s="16">
        <f>((K_Value*Total_Volume)/(Total_Surface_Area*-LN(1-y_α_Bar_4kHz)))^(Y_Surface_Area/Total_Surface_Area)</f>
        <v>1.2185773141071412</v>
      </c>
    </row>
    <row r="83" spans="2:11" ht="15" customHeight="1" x14ac:dyDescent="0.3">
      <c r="C83" s="15" t="s">
        <v>761</v>
      </c>
      <c r="D83" s="16">
        <f>((K_Value*Total_Volume)/(Total_Surface_Area*-LN(1-z_α_Bar_125Hz)))^(Z_Surface_Area/Total_Surface_Area)</f>
        <v>0.80962171018243911</v>
      </c>
      <c r="E83" s="16">
        <f>((K_Value*Total_Volume)/(Total_Surface_Area*-LN(1-z_α_Bar_250Hz)))^(Z_Surface_Area/Total_Surface_Area)</f>
        <v>0.771424967396803</v>
      </c>
      <c r="F83" s="16">
        <f>((K_Value*Total_Volume)/(Total_Surface_Area*-LN(1-z_α_Bar_500Hz)))^(Z_Surface_Area/Total_Surface_Area)</f>
        <v>0.58514703155120773</v>
      </c>
      <c r="G83" s="16">
        <f>((K_Value*Total_Volume)/(Total_Surface_Area*-LN(1-z_α_Bar_1kHz)))^(Z_Surface_Area/Total_Surface_Area)</f>
        <v>0.53446784438885442</v>
      </c>
      <c r="H83" s="16">
        <f>((K_Value*Total_Volume)/(Total_Surface_Area*-LN(1-z_α_Bar_2kHz)))^(Z_Surface_Area/Total_Surface_Area)</f>
        <v>0.49301474791046745</v>
      </c>
      <c r="I83" s="16">
        <f>((K_Value*Total_Volume)/(Total_Surface_Area*-LN(1-z_α_Bar_4kHz)))^(Z_Surface_Area/Total_Surface_Area)</f>
        <v>0.49301474791046745</v>
      </c>
    </row>
    <row r="85" spans="2:11" ht="15" customHeight="1" x14ac:dyDescent="0.3">
      <c r="C85" s="20"/>
      <c r="D85" s="13" t="s">
        <v>702</v>
      </c>
      <c r="E85" s="13" t="s">
        <v>703</v>
      </c>
      <c r="F85" s="13" t="s">
        <v>709</v>
      </c>
      <c r="G85" s="13" t="s">
        <v>704</v>
      </c>
      <c r="H85" s="13" t="s">
        <v>705</v>
      </c>
      <c r="I85" s="13" t="s">
        <v>706</v>
      </c>
      <c r="J85" s="13" t="s">
        <v>746</v>
      </c>
    </row>
    <row r="86" spans="2:11" ht="15" customHeight="1" x14ac:dyDescent="0.3">
      <c r="B86" s="97" t="s">
        <v>762</v>
      </c>
      <c r="C86" s="99"/>
      <c r="D86" s="16">
        <f>arau_x_125Hz*arau_y_125Hz*arau_z_125Hz</f>
        <v>0.63956003568426512</v>
      </c>
      <c r="E86" s="16">
        <f>arau_x_250Hz*arau_y_250Hz*arau_z_250Hz</f>
        <v>0.91025903228770411</v>
      </c>
      <c r="F86" s="16">
        <f>arau_x_500Hz*arau_y_500Hz*arau_z_500Hz</f>
        <v>0.83521938576159371</v>
      </c>
      <c r="G86" s="16">
        <f>arau_x_1kHz*arau_y_1kHz*arau_z_1kHz</f>
        <v>0.76288160176835251</v>
      </c>
      <c r="H86" s="16">
        <f>arau_x_2kHz*arau_y_2kHz*arau_z_2kHz</f>
        <v>0.70371283236212068</v>
      </c>
      <c r="I86" s="16">
        <f>arau_x_4kHz*arau_y_4kHz*arau_z_4kHz</f>
        <v>0.70371283236212068</v>
      </c>
      <c r="J86" s="47">
        <f>AVERAGE(T60_Arau)</f>
        <v>0.75922428670435949</v>
      </c>
    </row>
    <row r="88" spans="2:11" ht="15" customHeight="1" x14ac:dyDescent="0.25">
      <c r="D88" s="68" t="s">
        <v>763</v>
      </c>
      <c r="E88" s="69"/>
      <c r="F88" s="69"/>
      <c r="G88" s="70"/>
    </row>
    <row r="89" spans="2:11" ht="15" customHeight="1" x14ac:dyDescent="0.25">
      <c r="D89" s="74"/>
      <c r="E89" s="75"/>
      <c r="F89" s="75"/>
      <c r="G89" s="76"/>
    </row>
    <row r="91" spans="2:11" ht="15" customHeight="1" x14ac:dyDescent="0.3">
      <c r="B91" s="77" t="s">
        <v>736</v>
      </c>
      <c r="C91" s="77"/>
      <c r="D91" s="77"/>
      <c r="E91" s="77"/>
      <c r="F91" s="77" t="s">
        <v>764</v>
      </c>
      <c r="G91" s="77"/>
      <c r="H91" s="77"/>
      <c r="I91" s="77"/>
      <c r="J91" s="77"/>
      <c r="K91" s="77"/>
    </row>
    <row r="92" spans="2:11" ht="15" customHeight="1" x14ac:dyDescent="0.3">
      <c r="B92" s="56" t="s">
        <v>765</v>
      </c>
      <c r="C92" s="103" t="s">
        <v>717</v>
      </c>
      <c r="D92" s="103"/>
      <c r="E92" s="55" t="s">
        <v>721</v>
      </c>
      <c r="F92" s="55" t="s">
        <v>702</v>
      </c>
      <c r="G92" s="55" t="s">
        <v>703</v>
      </c>
      <c r="H92" s="55" t="s">
        <v>709</v>
      </c>
      <c r="I92" s="55" t="s">
        <v>704</v>
      </c>
      <c r="J92" s="55" t="s">
        <v>705</v>
      </c>
      <c r="K92" s="55" t="s">
        <v>706</v>
      </c>
    </row>
    <row r="93" spans="2:11" ht="15" customHeight="1" x14ac:dyDescent="0.3">
      <c r="B93" s="47">
        <v>1</v>
      </c>
      <c r="C93" s="100" t="str">
        <f>IF(ISNONTEXT(Inputs!B16),"",(Inputs!B16))</f>
        <v>wall 1</v>
      </c>
      <c r="D93" s="100"/>
      <c r="E93" s="54" t="str">
        <f>IF(ISNONTEXT(Inputs!F16),"",(Inputs!F16))</f>
        <v>y</v>
      </c>
      <c r="F93" s="18">
        <f>IF(ISERROR(Surface_Area_1*LN(1-(Sum_Sα_Surface1_125Hz/Surface_Area_1))),"",(Surface_Area_1*LN(1-(Sum_Sα_Surface1_125Hz/Surface_Area_1))))</f>
        <v>-2.0361090114168796</v>
      </c>
      <c r="G93" s="18">
        <f>IF(ISERROR(Surface_Area_1*LN(1-(Sum_Sα_Surface1_250Hz/Surface_Area_1))),"",(Surface_Area_1*LN(1-(Sum_Sα_Surface1_250Hz/Surface_Area_1))))</f>
        <v>-0.97970435327027927</v>
      </c>
      <c r="H93" s="18">
        <f>IF(ISERROR(Surface_Area_1*LN(1-(Sum_Sα_Surface1_500Hz/Surface_Area_1))),"",(Surface_Area_1*LN(1-(Sum_Sα_Surface1_500Hz/Surface_Area_1))))</f>
        <v>-0.69245947423193277</v>
      </c>
      <c r="I93" s="18">
        <f>IF(ISERROR(Surface_Area_1*LN(1-(Sum_Sα_Surface1_1kHz/Surface_Area_1))),"",(Surface_Area_1*LN(1-(Sum_Sα_Surface1_1kHz/Surface_Area_1))))</f>
        <v>-0.69245947423193277</v>
      </c>
      <c r="J93" s="18">
        <f>IF(ISERROR(Surface_Area_1*LN(1-(Sum_Sα_Surface1_2kHz/Surface_Area_1))),"",(Surface_Area_1*LN(1-(Sum_Sα_Surface1_2kHz/Surface_Area_1))))</f>
        <v>-0.69245947423193277</v>
      </c>
      <c r="K93" s="18">
        <f>IF(ISERROR(Surface_Area_1*LN(1-(Sum_Sα_Surface1_4kHz/Surface_Area_1))),"",(Surface_Area_1*LN(1-(Sum_Sα_Surface1_4kHz/Surface_Area_1))))</f>
        <v>-0.69245947423193277</v>
      </c>
    </row>
    <row r="94" spans="2:11" ht="15" customHeight="1" x14ac:dyDescent="0.3">
      <c r="B94" s="47">
        <v>2</v>
      </c>
      <c r="C94" s="100" t="str">
        <f>IF(ISNONTEXT(Inputs!B17),"",(Inputs!B17))</f>
        <v>wall 2</v>
      </c>
      <c r="D94" s="100"/>
      <c r="E94" s="54" t="str">
        <f>IF(ISNONTEXT(Inputs!F17),"",(Inputs!F17))</f>
        <v>x</v>
      </c>
      <c r="F94" s="18">
        <f>IF(ISERROR(Surface_Area_2*LN(1-(Sum_Sα_Surface2_125Hz/Surface_Area_2))),"",(Surface_Area_2*LN(1-(Sum_Sα_Surface2_125Hz/Surface_Area_2))))</f>
        <v>-1.6288872091335036</v>
      </c>
      <c r="G94" s="18">
        <f>IF(ISERROR(Surface_Area_2*LN(1-(Sum_Sα_Surface2_250Hz/Surface_Area_2))),"",(Surface_Area_2*LN(1-(Sum_Sα_Surface2_250Hz/Surface_Area_2))))</f>
        <v>-0.78376348261622342</v>
      </c>
      <c r="H94" s="18">
        <f>IF(ISERROR(Surface_Area_2*LN(1-(Sum_Sα_Surface2_500Hz/Surface_Area_2))),"",(Surface_Area_2*LN(1-(Sum_Sα_Surface2_500Hz/Surface_Area_2))))</f>
        <v>-0.5539675793855463</v>
      </c>
      <c r="I94" s="18">
        <f>IF(ISERROR(Surface_Area_2*LN(1-(Sum_Sα_Surface2_1kHz/Surface_Area_2))),"",(Surface_Area_2*LN(1-(Sum_Sα_Surface2_1kHz/Surface_Area_2))))</f>
        <v>-0.5539675793855463</v>
      </c>
      <c r="J94" s="18">
        <f>IF(ISERROR(Surface_Area_2*LN(1-(Sum_Sα_Surface2_2kHz/Surface_Area_2))),"",(Surface_Area_2*LN(1-(Sum_Sα_Surface2_2kHz/Surface_Area_2))))</f>
        <v>-0.5539675793855463</v>
      </c>
      <c r="K94" s="18">
        <f>IF(ISERROR(Surface_Area_2*LN(1-(Sum_Sα_Surface2_4kHz/Surface_Area_2))),"",(Surface_Area_2*LN(1-(Sum_Sα_Surface2_4kHz/Surface_Area_2))))</f>
        <v>-0.5539675793855463</v>
      </c>
    </row>
    <row r="95" spans="2:11" ht="15" customHeight="1" x14ac:dyDescent="0.3">
      <c r="B95" s="47">
        <v>3</v>
      </c>
      <c r="C95" s="100" t="str">
        <f>IF(ISNONTEXT(Inputs!B18),"",(Inputs!B18))</f>
        <v>wall 3</v>
      </c>
      <c r="D95" s="100"/>
      <c r="E95" s="54" t="str">
        <f>IF(ISNONTEXT(Inputs!F18),"",(Inputs!F18))</f>
        <v>y</v>
      </c>
      <c r="F95" s="18">
        <f>IF(ISERROR(Surface_Area_3*LN(1-(Sum_Sα_Surface3_125Hz/Surface_Area_3))),"",(Surface_Area_3*LN(1-(Sum_Sα_Surface3_125Hz/Surface_Area_3))))</f>
        <v>-2.0361090114168796</v>
      </c>
      <c r="G95" s="18">
        <f>IF(ISERROR(Surface_Area_3*LN(1-(Sum_Sα_Surface3_250Hz/Surface_Area_3))),"",(Surface_Area_3*LN(1-(Sum_Sα_Surface3_250Hz/Surface_Area_3))))</f>
        <v>-0.97970435327027927</v>
      </c>
      <c r="H95" s="18">
        <f>IF(ISERROR(Surface_Area_3*LN(1-(Sum_Sα_Surface3_500Hz/Surface_Area_3))),"",(Surface_Area_3*LN(1-(Sum_Sα_Surface3_500Hz/Surface_Area_3))))</f>
        <v>-0.69245947423193277</v>
      </c>
      <c r="I95" s="18">
        <f>IF(ISERROR(Surface_Area_3*LN(1-(Sum_Sα_Surface3_1kHz/Surface_Area_3))),"",(Surface_Area_3*LN(1-(Sum_Sα_Surface3_1kHz/Surface_Area_3))))</f>
        <v>-0.69245947423193277</v>
      </c>
      <c r="J95" s="18">
        <f>IF(ISERROR(Surface_Area_3*LN(1-(Sum_Sα_Surface3_2kHz/Surface_Area_3))),"",(Surface_Area_3*LN(1-(Sum_Sα_Surface3_2kHz/Surface_Area_3))))</f>
        <v>-0.69245947423193277</v>
      </c>
      <c r="K95" s="18">
        <f>IF(ISERROR(Surface_Area_3*LN(1-(Sum_Sα_Surface3_4kHz/Surface_Area_3))),"",(Surface_Area_3*LN(1-(Sum_Sα_Surface3_4kHz/Surface_Area_3))))</f>
        <v>-0.69245947423193277</v>
      </c>
    </row>
    <row r="96" spans="2:11" ht="15" customHeight="1" x14ac:dyDescent="0.3">
      <c r="B96" s="47">
        <v>4</v>
      </c>
      <c r="C96" s="100" t="str">
        <f>IF(ISNONTEXT(Inputs!B19),"",(Inputs!B19))</f>
        <v>wall 4</v>
      </c>
      <c r="D96" s="100"/>
      <c r="E96" s="54" t="str">
        <f>IF(ISNONTEXT(Inputs!F19),"",(Inputs!F19))</f>
        <v>x</v>
      </c>
      <c r="F96" s="18">
        <f>IF(ISERROR(Surface_Area_4*LN(1-(Sum_Sα_Surface4_125Hz/Surface_Area_4))),"",(Surface_Area_4*LN(1-(Sum_Sα_Surface4_125Hz/Surface_Area_4))))</f>
        <v>-1.6288872091335036</v>
      </c>
      <c r="G96" s="18">
        <f>IF(ISERROR(Surface_Area_4*LN(1-(Sum_Sα_Surface4_250Hz/Surface_Area_4))),"",(Surface_Area_4*LN(1-(Sum_Sα_Surface4_250Hz/Surface_Area_4))))</f>
        <v>-0.78376348261622342</v>
      </c>
      <c r="H96" s="18">
        <f>IF(ISERROR(Surface_Area_4*LN(1-(Sum_Sα_Surface4_500Hz/Surface_Area_4))),"",(Surface_Area_4*LN(1-(Sum_Sα_Surface4_500Hz/Surface_Area_4))))</f>
        <v>-0.5539675793855463</v>
      </c>
      <c r="I96" s="18">
        <f>IF(ISERROR(Surface_Area_4*LN(1-(Sum_Sα_Surface4_1kHz/Surface_Area_4))),"",(Surface_Area_4*LN(1-(Sum_Sα_Surface4_1kHz/Surface_Area_4))))</f>
        <v>-0.5539675793855463</v>
      </c>
      <c r="J96" s="18">
        <f>IF(ISERROR(Surface_Area_4*LN(1-(Sum_Sα_Surface4_2kHz/Surface_Area_4))),"",(Surface_Area_4*LN(1-(Sum_Sα_Surface4_2kHz/Surface_Area_4))))</f>
        <v>-0.5539675793855463</v>
      </c>
      <c r="K96" s="18">
        <f>IF(ISERROR(Surface_Area_4*LN(1-(Sum_Sα_Surface4_4kHz/Surface_Area_4))),"",(Surface_Area_4*LN(1-(Sum_Sα_Surface4_4kHz/Surface_Area_4))))</f>
        <v>-0.5539675793855463</v>
      </c>
    </row>
    <row r="97" spans="2:11" ht="15" customHeight="1" x14ac:dyDescent="0.3">
      <c r="B97" s="47">
        <v>5</v>
      </c>
      <c r="C97" s="100" t="str">
        <f>IF(ISNONTEXT(Inputs!B20),"",(Inputs!B20))</f>
        <v>Floor</v>
      </c>
      <c r="D97" s="100"/>
      <c r="E97" s="54" t="str">
        <f>IF(ISNONTEXT(Inputs!F20),"",(Inputs!F20))</f>
        <v>z</v>
      </c>
      <c r="F97" s="18">
        <f>IF(ISERROR(Surface_Area_5*LN(1-(Sum_Sα_Surface5_125Hz/Surface_Area_5))),"",(Surface_Area_5*LN(1-(Sum_Sα_Surface5_125Hz/Surface_Area_5))))</f>
        <v>-3.2503785899554987</v>
      </c>
      <c r="G97" s="18">
        <f>IF(ISERROR(Surface_Area_5*LN(1-(Sum_Sα_Surface5_250Hz/Surface_Area_5))),"",(Surface_Area_5*LN(1-(Sum_Sα_Surface5_250Hz/Surface_Area_5))))</f>
        <v>-5.7536414490356176</v>
      </c>
      <c r="H97" s="18">
        <f>IF(ISERROR(Surface_Area_5*LN(1-(Sum_Sα_Surface5_500Hz/Surface_Area_5))),"",(Surface_Area_5*LN(1-(Sum_Sα_Surface5_500Hz/Surface_Area_5))))</f>
        <v>-13.862943611198906</v>
      </c>
      <c r="I97" s="18">
        <f>IF(ISERROR(Surface_Area_5*LN(1-(Sum_Sα_Surface5_1kHz/Surface_Area_5))),"",(Surface_Area_5*LN(1-(Sum_Sα_Surface5_1kHz/Surface_Area_5))))</f>
        <v>-18.325814637483099</v>
      </c>
      <c r="J97" s="18">
        <f>IF(ISERROR(Surface_Area_5*LN(1-(Sum_Sα_Surface5_2kHz/Surface_Area_5))),"",(Surface_Area_5*LN(1-(Sum_Sα_Surface5_2kHz/Surface_Area_5))))</f>
        <v>-24.079456086518718</v>
      </c>
      <c r="K97" s="18">
        <f>IF(ISERROR(Surface_Area_5*LN(1-(Sum_Sα_Surface5_4kHz/Surface_Area_5))),"",(Surface_Area_5*LN(1-(Sum_Sα_Surface5_4kHz/Surface_Area_5))))</f>
        <v>-24.079456086518718</v>
      </c>
    </row>
    <row r="98" spans="2:11" ht="15" customHeight="1" x14ac:dyDescent="0.3">
      <c r="B98" s="47">
        <v>6</v>
      </c>
      <c r="C98" s="100" t="str">
        <f>IF(ISNONTEXT(Inputs!B21),"",(Inputs!B21))</f>
        <v>ceiling</v>
      </c>
      <c r="D98" s="100"/>
      <c r="E98" s="54" t="str">
        <f>IF(ISNONTEXT(Inputs!F21),"",(Inputs!F21))</f>
        <v>z</v>
      </c>
      <c r="F98" s="18">
        <f>IF(ISERROR(Surface_Area_6*LN(1-(Sum_Sα_Surface6_125Hz/Surface_Area_6))),"",(Surface_Area_6*LN(1-(Sum_Sα_Surface6_125Hz/Surface_Area_6))))</f>
        <v>-3.0164577946916733</v>
      </c>
      <c r="G98" s="18">
        <f>IF(ISERROR(Surface_Area_6*LN(1-(Sum_Sα_Surface6_250Hz/Surface_Area_6))),"",(Surface_Area_6*LN(1-(Sum_Sα_Surface6_250Hz/Surface_Area_6))))</f>
        <v>-1.4514138566967101</v>
      </c>
      <c r="H98" s="18">
        <f>IF(ISERROR(Surface_Area_6*LN(1-(Sum_Sα_Surface6_500Hz/Surface_Area_6))),"",(Surface_Area_6*LN(1-(Sum_Sα_Surface6_500Hz/Surface_Area_6))))</f>
        <v>-1.0258658877510116</v>
      </c>
      <c r="I98" s="18">
        <f>IF(ISERROR(Surface_Area_6*LN(1-(Sum_Sα_Surface6_1kHz/Surface_Area_6))),"",(Surface_Area_6*LN(1-(Sum_Sα_Surface6_1kHz/Surface_Area_6))))</f>
        <v>-1.0258658877510116</v>
      </c>
      <c r="J98" s="18">
        <f>IF(ISERROR(Surface_Area_6*LN(1-(Sum_Sα_Surface6_2kHz/Surface_Area_6))),"",(Surface_Area_6*LN(1-(Sum_Sα_Surface6_2kHz/Surface_Area_6))))</f>
        <v>-1.0258658877510116</v>
      </c>
      <c r="K98" s="18">
        <f>IF(ISERROR(Surface_Area_6*LN(1-(Sum_Sα_Surface6_4kHz/Surface_Area_6))),"",(Surface_Area_6*LN(1-(Sum_Sα_Surface6_4kHz/Surface_Area_6))))</f>
        <v>-1.0258658877510116</v>
      </c>
    </row>
    <row r="99" spans="2:11" ht="15" customHeight="1" x14ac:dyDescent="0.3">
      <c r="B99" s="47">
        <v>7</v>
      </c>
      <c r="C99" s="100" t="str">
        <f>IF(ISNONTEXT(Inputs!B22),"",(Inputs!B22))</f>
        <v/>
      </c>
      <c r="D99" s="100"/>
      <c r="E99" s="54" t="str">
        <f>IF(ISNONTEXT(Inputs!F22),"",(Inputs!F22))</f>
        <v/>
      </c>
      <c r="F99" s="18" t="str">
        <f>IF(ISERROR(Surface_Area_7*LN(1-(Sum_Sα_Surface7_125Hz/Surface_Area_7))),"",(Surface_Area_7*LN(1-(Sum_Sα_Surface7_125Hz/Surface_Area_7))))</f>
        <v/>
      </c>
      <c r="G99" s="18" t="str">
        <f>IF(ISERROR(Surface_Area_7*LN(1-(Sum_Sα_Surface7_250Hz/Surface_Area_7))),"",(Surface_Area_7*LN(1-(Sum_Sα_Surface7_250Hz/Surface_Area_7))))</f>
        <v/>
      </c>
      <c r="H99" s="18" t="str">
        <f>IF(ISERROR(Surface_Area_7*LN(1-(Sum_Sα_Surface7_500Hz/Surface_Area_7))),"",(Surface_Area_7*LN(1-(Sum_Sα_Surface7_500Hz/Surface_Area_7))))</f>
        <v/>
      </c>
      <c r="I99" s="18" t="str">
        <f>IF(ISERROR(Surface_Area_7*LN(1-(Sum_Sα_Surface7_1kHz/Surface_Area_7))),"",(Surface_Area_7*LN(1-(Sum_Sα_Surface7_1kHz/Surface_Area_7))))</f>
        <v/>
      </c>
      <c r="J99" s="18" t="str">
        <f>IF(ISERROR(Surface_Area_7*LN(1-(Sum_Sα_Surface7_2kHz/Surface_Area_7))),"",(Surface_Area_7*LN(1-(Sum_Sα_Surface7_2kHz/Surface_Area_7))))</f>
        <v/>
      </c>
      <c r="K99" s="18" t="str">
        <f>IF(ISERROR(Surface_Area_7*LN(1-(Sum_Sα_Surface7_4kHz/Surface_Area_7))),"",(Surface_Area_7*LN(1-(Sum_Sα_Surface7_4kHz/Surface_Area_7))))</f>
        <v/>
      </c>
    </row>
    <row r="100" spans="2:11" ht="15" customHeight="1" x14ac:dyDescent="0.3">
      <c r="B100" s="47">
        <v>8</v>
      </c>
      <c r="C100" s="100" t="str">
        <f>IF(ISNONTEXT(Inputs!B23),"",(Inputs!B23))</f>
        <v/>
      </c>
      <c r="D100" s="100"/>
      <c r="E100" s="54" t="str">
        <f>IF(ISNONTEXT(Inputs!F23),"",(Inputs!F23))</f>
        <v/>
      </c>
      <c r="F100" s="18" t="str">
        <f>IF(ISERROR(Surface_Area_8*LN(1-(Sum_Sα_Surface8_125Hz/Surface_Area_8))),"",(Surface_Area_8*LN(1-(Sum_Sα_Surface8_125Hz/Surface_Area_8))))</f>
        <v/>
      </c>
      <c r="G100" s="18" t="str">
        <f>IF(ISERROR(Surface_Area_8*LN(1-(Sum_Sα_Surface8_250Hz/Surface_Area_8))),"",(Surface_Area_8*LN(1-(Sum_Sα_Surface8_250Hz/Surface_Area_8))))</f>
        <v/>
      </c>
      <c r="H100" s="18" t="str">
        <f>IF(ISERROR(Surface_Area_8*LN(1-(Sum_Sα_Surface8_500Hz/Surface_Area_8))),"",(Surface_Area_8*LN(1-(Sum_Sα_Surface8_500Hz/Surface_Area_8))))</f>
        <v/>
      </c>
      <c r="I100" s="18" t="str">
        <f>IF(ISERROR(Surface_Area_8*LN(1-(Sum_Sα_Surface8_1kHz/Surface_Area_8))),"",(Surface_Area_8*LN(1-(Sum_Sα_Surface8_1kHz/Surface_Area_8))))</f>
        <v/>
      </c>
      <c r="J100" s="18" t="str">
        <f>IF(ISERROR(Surface_Area_8*LN(1-(Sum_Sα_Surface8_2kHz/Surface_Area_8))),"",(Surface_Area_8*LN(1-(Sum_Sα_Surface8_2kHz/Surface_Area_8))))</f>
        <v/>
      </c>
      <c r="K100" s="18" t="str">
        <f>IF(ISERROR(Surface_Area_8*LN(1-(Sum_Sα_Surface8_4kHz/Surface_Area_8))),"",(Surface_Area_8*LN(1-(Sum_Sα_Surface8_4kHz/Surface_Area_8))))</f>
        <v/>
      </c>
    </row>
    <row r="101" spans="2:11" ht="15" customHeight="1" x14ac:dyDescent="0.3">
      <c r="B101" s="47">
        <v>9</v>
      </c>
      <c r="C101" s="100" t="str">
        <f>IF(ISNONTEXT(Inputs!B24),"",(Inputs!B24))</f>
        <v/>
      </c>
      <c r="D101" s="100"/>
      <c r="E101" s="54" t="str">
        <f>IF(ISNONTEXT(Inputs!F24),"",(Inputs!F24))</f>
        <v/>
      </c>
      <c r="F101" s="18" t="str">
        <f>IF(ISERROR(Surface_Area_9*LN(1-(Sum_Sα_Surface9_125Hz/Surface_Area_9))),"",(Surface_Area_9*LN(1-(Sum_Sα_Surface9_125Hz/Surface_Area_9))))</f>
        <v/>
      </c>
      <c r="G101" s="18" t="str">
        <f>IF(ISERROR(Surface_Area_9*LN(1-(Sum_Sα_Surface9_250Hz/Surface_Area_9))),"",(Surface_Area_9*LN(1-(Sum_Sα_Surface9_250Hz/Surface_Area_9))))</f>
        <v/>
      </c>
      <c r="H101" s="18" t="str">
        <f>IF(ISERROR(Surface_Area_9*LN(1-(Sum_Sα_Surface9_500Hz/Surface_Area_9))),"",(Surface_Area_9*LN(1-(Sum_Sα_Surface9_500Hz/Surface_Area_9))))</f>
        <v/>
      </c>
      <c r="I101" s="18" t="str">
        <f>IF(ISERROR(Surface_Area_9*LN(1-(Sum_Sα_Surface9_1kHz/Surface_Area_9))),"",(Surface_Area_9*LN(1-(Sum_Sα_Surface9_1kHz/Surface_Area_9))))</f>
        <v/>
      </c>
      <c r="J101" s="18" t="str">
        <f>IF(ISERROR(Surface_Area_9*LN(1-(Sum_Sα_Surface9_2kHz/Surface_Area_9))),"",(Surface_Area_9*LN(1-(Sum_Sα_Surface9_2kHz/Surface_Area_9))))</f>
        <v/>
      </c>
      <c r="K101" s="18" t="str">
        <f>IF(ISERROR(Surface_Area_9*LN(1-(Sum_Sα_Surface9_4kHz/Surface_Area_9))),"",(Surface_Area_9*LN(1-(Sum_Sα_Surface9_4kHz/Surface_Area_9))))</f>
        <v/>
      </c>
    </row>
    <row r="102" spans="2:11" ht="15" customHeight="1" x14ac:dyDescent="0.3">
      <c r="B102" s="47">
        <v>10</v>
      </c>
      <c r="C102" s="100" t="str">
        <f>IF(ISNONTEXT(Inputs!B25),"",(Inputs!B25))</f>
        <v/>
      </c>
      <c r="D102" s="100"/>
      <c r="E102" s="54" t="str">
        <f>IF(ISNONTEXT(Inputs!F25),"",(Inputs!F25))</f>
        <v/>
      </c>
      <c r="F102" s="18" t="str">
        <f>IF(ISERROR(Surface_Area_10*LN(1-(Sum_Sα_Surface10_125Hz/Surface_Area_10))),"",(Surface_Area_10*LN(1-(Sum_Sα_Surface10_125Hz/Surface_Area_10))))</f>
        <v/>
      </c>
      <c r="G102" s="18" t="str">
        <f>IF(ISERROR(Surface_Area_10*LN(1-(Sum_Sα_Surface10_250Hz/Surface_Area_10))),"",(Surface_Area_10*LN(1-(Sum_Sα_Surface10_250Hz/Surface_Area_10))))</f>
        <v/>
      </c>
      <c r="H102" s="18" t="str">
        <f>IF(ISERROR(Surface_Area_10*LN(1-(Sum_Sα_Surface10_500Hz/Surface_Area_10))),"",(Surface_Area_10*LN(1-(Sum_Sα_Surface10_500Hz/Surface_Area_10))))</f>
        <v/>
      </c>
      <c r="I102" s="18" t="str">
        <f>IF(ISERROR(Surface_Area_10*LN(1-(Sum_Sα_Surface10_1kHz/Surface_Area_10))),"",(Surface_Area_10*LN(1-(Sum_Sα_Surface10_1kHz/Surface_Area_10))))</f>
        <v/>
      </c>
      <c r="J102" s="18" t="str">
        <f>IF(ISERROR(Surface_Area_10*LN(1-(Sum_Sα_Surface10_2kHz/Surface_Area_10))),"",(Surface_Area_10*LN(1-(Sum_Sα_Surface10_2kHz/Surface_Area_10))))</f>
        <v/>
      </c>
      <c r="K102" s="18" t="str">
        <f>IF(ISERROR(Surface_Area_10*LN(1-(Sum_Sα_Surface10_4kHz/Surface_Area_10))),"",(Surface_Area_10*LN(1-(Sum_Sα_Surface10_4kHz/Surface_Area_10))))</f>
        <v/>
      </c>
    </row>
    <row r="103" spans="2:11" ht="15" customHeight="1" x14ac:dyDescent="0.3">
      <c r="B103" s="47">
        <v>11</v>
      </c>
      <c r="C103" s="100" t="str">
        <f>IF(ISNONTEXT(Inputs!B26),"",(Inputs!B26))</f>
        <v/>
      </c>
      <c r="D103" s="100"/>
      <c r="E103" s="54" t="str">
        <f>IF(ISNONTEXT(Inputs!F26),"",(Inputs!F26))</f>
        <v/>
      </c>
      <c r="F103" s="18" t="str">
        <f>IF(ISERROR(Surface_Area_11*LN(1-(Sum_Sα_Surface11_125Hz/Surface_Area_11))),"",(Surface_Area_11*LN(1-(Sum_Sα_Surface11_125Hz/Surface_Area_11))))</f>
        <v/>
      </c>
      <c r="G103" s="18" t="str">
        <f>IF(ISERROR(Surface_Area_11*LN(1-(Sum_Sα_Surface11_250Hz/Surface_Area_11))),"",(Surface_Area_11*LN(1-(Sum_Sα_Surface11_250Hz/Surface_Area_11))))</f>
        <v/>
      </c>
      <c r="H103" s="18" t="str">
        <f>IF(ISERROR(Surface_Area_11*LN(1-(Sum_Sα_Surface11_500Hz/Surface_Area_11))),"",(Surface_Area_11*LN(1-(Sum_Sα_Surface11_500Hz/Surface_Area_11))))</f>
        <v/>
      </c>
      <c r="I103" s="18" t="str">
        <f>IF(ISERROR(Surface_Area_11*LN(1-(Sum_Sα_Surface11_1kHz/Surface_Area_11))),"",(Surface_Area_11*LN(1-(Sum_Sα_Surface11_1kHz/Surface_Area_11))))</f>
        <v/>
      </c>
      <c r="J103" s="18" t="str">
        <f>IF(ISERROR(Surface_Area_11*LN(1-(Sum_Sα_Surface11_2kHz/Surface_Area_11))),"",(Surface_Area_11*LN(1-(Sum_Sα_Surface11_2kHz/Surface_Area_11))))</f>
        <v/>
      </c>
      <c r="K103" s="18" t="str">
        <f>IF(ISERROR(Surface_Area_11*LN(1-(Sum_Sα_Surface11_4kHz/Surface_Area_11))),"",(Surface_Area_11*LN(1-(Sum_Sα_Surface11_4kHz/Surface_Area_11))))</f>
        <v/>
      </c>
    </row>
    <row r="104" spans="2:11" ht="15" customHeight="1" x14ac:dyDescent="0.3">
      <c r="B104" s="47">
        <v>12</v>
      </c>
      <c r="C104" s="100" t="str">
        <f>IF(ISNONTEXT(Inputs!B27),"",(Inputs!B27))</f>
        <v/>
      </c>
      <c r="D104" s="100"/>
      <c r="E104" s="54" t="str">
        <f>IF(ISNONTEXT(Inputs!F27),"",(Inputs!F27))</f>
        <v/>
      </c>
      <c r="F104" s="18" t="str">
        <f>IF(ISERROR(Surface_Area_12*LN(1-(Sum_Sα_Surface12_125Hz/Surface_Area_12))),"",(Surface_Area_12*LN(1-(Sum_Sα_Surface12_125Hz/Surface_Area_12))))</f>
        <v/>
      </c>
      <c r="G104" s="18" t="str">
        <f>IF(ISERROR(Surface_Area_12*LN(1-(Sum_Sα_Surface12_250Hz/Surface_Area_12))),"",(Surface_Area_12*LN(1-(Sum_Sα_Surface12_250Hz/Surface_Area_12))))</f>
        <v/>
      </c>
      <c r="H104" s="18" t="str">
        <f>IF(ISERROR(Surface_Area_12*LN(1-(Sum_Sα_Surface12_500Hz/Surface_Area_12))),"",(Surface_Area_12*LN(1-(Sum_Sα_Surface12_500Hz/Surface_Area_12))))</f>
        <v/>
      </c>
      <c r="I104" s="18" t="str">
        <f>IF(ISERROR(Surface_Area_12*LN(1-(Sum_Sα_Surface12_1kHz/Surface_Area_12))),"",(Surface_Area_12*LN(1-(Sum_Sα_Surface12_1kHz/Surface_Area_12))))</f>
        <v/>
      </c>
      <c r="J104" s="18" t="str">
        <f>IF(ISERROR(Surface_Area_12*LN(1-(Sum_Sα_Surface12_2kHz/Surface_Area_12))),"",(Surface_Area_12*LN(1-(Sum_Sα_Surface12_2kHz/Surface_Area_12))))</f>
        <v/>
      </c>
      <c r="K104" s="18" t="str">
        <f>IF(ISERROR(Surface_Area_12*LN(1-(Sum_Sα_Surface12_4kHz/Surface_Area_12))),"",(Surface_Area_12*LN(1-(Sum_Sα_Surface12_4kHz/Surface_Area_12))))</f>
        <v/>
      </c>
    </row>
    <row r="105" spans="2:11" ht="15" customHeight="1" x14ac:dyDescent="0.3">
      <c r="B105" s="47">
        <v>13</v>
      </c>
      <c r="C105" s="100" t="str">
        <f>IF(ISNONTEXT(Inputs!B28),"",(Inputs!B28))</f>
        <v/>
      </c>
      <c r="D105" s="100"/>
      <c r="E105" s="54" t="str">
        <f>IF(ISNONTEXT(Inputs!F28),"",(Inputs!F28))</f>
        <v/>
      </c>
      <c r="F105" s="18" t="str">
        <f>IF(ISERROR(Surface_Area_13*LN(1-(Sum_Sα_Surface13_125Hz/Surface_Area_13))),"",(Surface_Area_13*LN(1-(Sum_Sα_Surface13_125Hz/Surface_Area_13))))</f>
        <v/>
      </c>
      <c r="G105" s="18" t="str">
        <f>IF(ISERROR(Surface_Area_13*LN(1-(Sum_Sα_Surface13_250Hz/Surface_Area_13))),"",(Surface_Area_13*LN(1-(Sum_Sα_Surface13_250Hz/Surface_Area_13))))</f>
        <v/>
      </c>
      <c r="H105" s="18" t="str">
        <f>IF(ISERROR(Surface_Area_13*LN(1-(Sum_Sα_Surface13_500Hz/Surface_Area_13))),"",(Surface_Area_13*LN(1-(Sum_Sα_Surface13_500Hz/Surface_Area_13))))</f>
        <v/>
      </c>
      <c r="I105" s="18" t="str">
        <f>IF(ISERROR(Surface_Area_13*LN(1-(Sum_Sα_Surface13_1kHz/Surface_Area_13))),"",(Surface_Area_13*LN(1-(Sum_Sα_Surface13_1kHz/Surface_Area_13))))</f>
        <v/>
      </c>
      <c r="J105" s="18" t="str">
        <f>IF(ISERROR(Surface_Area_13*LN(1-(Sum_Sα_Surface13_2kHz/Surface_Area_13))),"",(Surface_Area_13*LN(1-(Sum_Sα_Surface13_2kHz/Surface_Area_13))))</f>
        <v/>
      </c>
      <c r="K105" s="18" t="str">
        <f>IF(ISERROR(Surface_Area_13*LN(1-(Sum_Sα_Surface13_4kHz/Surface_Area_13))),"",(Surface_Area_13*LN(1-(Sum_Sα_Surface13_4kHz/Surface_Area_13))))</f>
        <v/>
      </c>
    </row>
    <row r="106" spans="2:11" ht="15" customHeight="1" x14ac:dyDescent="0.3">
      <c r="B106" s="47">
        <v>14</v>
      </c>
      <c r="C106" s="100" t="str">
        <f>IF(ISNONTEXT(Inputs!B29),"",(Inputs!B29))</f>
        <v/>
      </c>
      <c r="D106" s="100"/>
      <c r="E106" s="54" t="str">
        <f>IF(ISNONTEXT(Inputs!F29),"",(Inputs!F29))</f>
        <v/>
      </c>
      <c r="F106" s="18" t="str">
        <f>IF(ISERROR(Surface_Area_14*LN(1-(Sum_Sα_Surface14_125Hz/Surface_Area_14))),"",(Surface_Area_14*LN(1-(Sum_Sα_Surface14_125Hz/Surface_Area_14))))</f>
        <v/>
      </c>
      <c r="G106" s="18" t="str">
        <f>IF(ISERROR(Surface_Area_14*LN(1-(Sum_Sα_Surface14_250Hz/Surface_Area_14))),"",(Surface_Area_14*LN(1-(Sum_Sα_Surface14_250Hz/Surface_Area_14))))</f>
        <v/>
      </c>
      <c r="H106" s="18" t="str">
        <f>IF(ISERROR(Surface_Area_14*LN(1-(Sum_Sα_Surface14_500Hz/Surface_Area_14))),"",(Surface_Area_14*LN(1-(Sum_Sα_Surface14_500Hz/Surface_Area_14))))</f>
        <v/>
      </c>
      <c r="I106" s="18" t="str">
        <f>IF(ISERROR(Surface_Area_14*LN(1-(Sum_Sα_Surface14_1kHz/Surface_Area_14))),"",(Surface_Area_14*LN(1-(Sum_Sα_Surface14_1kHz/Surface_Area_14))))</f>
        <v/>
      </c>
      <c r="J106" s="18" t="str">
        <f>IF(ISERROR(Surface_Area_14*LN(1-(Sum_Sα_Surface14_2kHz/Surface_Area_14))),"",(Surface_Area_14*LN(1-(Sum_Sα_Surface14_2kHz/Surface_Area_14))))</f>
        <v/>
      </c>
      <c r="K106" s="18" t="str">
        <f>IF(ISERROR(Surface_Area_14*LN(1-(Sum_Sα_Surface14_4kHz/Surface_Area_14))),"",(Surface_Area_14*LN(1-(Sum_Sα_Surface14_4kHz/Surface_Area_14))))</f>
        <v/>
      </c>
    </row>
    <row r="107" spans="2:11" ht="15" customHeight="1" x14ac:dyDescent="0.3">
      <c r="B107" s="47">
        <v>15</v>
      </c>
      <c r="C107" s="100" t="str">
        <f>IF(ISNONTEXT(Inputs!B30),"",(Inputs!B30))</f>
        <v/>
      </c>
      <c r="D107" s="100"/>
      <c r="E107" s="54" t="str">
        <f>IF(ISNONTEXT(Inputs!F30),"",(Inputs!F30))</f>
        <v/>
      </c>
      <c r="F107" s="18" t="str">
        <f>IF(ISERROR(Surface_Area_15*LN(1-(Sum_Sα_Surface15_125Hz/Surface_Area_15))),"",(Surface_Area_15*LN(1-(Sum_Sα_Surface15_125Hz/Surface_Area_15))))</f>
        <v/>
      </c>
      <c r="G107" s="18" t="str">
        <f>IF(ISERROR(Surface_Area_15*LN(1-(Sum_Sα_Surface15_250Hz/Surface_Area_15))),"",(Surface_Area_15*LN(1-(Sum_Sα_Surface15_250Hz/Surface_Area_15))))</f>
        <v/>
      </c>
      <c r="H107" s="18" t="str">
        <f>IF(ISERROR(Surface_Area_15*LN(1-(Sum_Sα_Surface15_500Hz/Surface_Area_15))),"",(Surface_Area_15*LN(1-(Sum_Sα_Surface15_500Hz/Surface_Area_15))))</f>
        <v/>
      </c>
      <c r="I107" s="18" t="str">
        <f>IF(ISERROR(Surface_Area_15*LN(1-(Sum_Sα_Surface15_1kHz/Surface_Area_15))),"",(Surface_Area_15*LN(1-(Sum_Sα_Surface15_1kHz/Surface_Area_15))))</f>
        <v/>
      </c>
      <c r="J107" s="18" t="str">
        <f>IF(ISERROR(Surface_Area_15*LN(1-(Sum_Sα_Surface15_2kHz/Surface_Area_15))),"",(Surface_Area_15*LN(1-(Sum_Sα_Surface15_2kHz/Surface_Area_15))))</f>
        <v/>
      </c>
      <c r="K107" s="18" t="str">
        <f>IF(ISERROR(Surface_Area_15*LN(1-(Sum_Sα_Surface15_4kHz/Surface_Area_15))),"",(Surface_Area_15*LN(1-(Sum_Sα_Surface15_4kHz/Surface_Area_15))))</f>
        <v/>
      </c>
    </row>
    <row r="108" spans="2:11" ht="15" customHeight="1" x14ac:dyDescent="0.3">
      <c r="B108" s="47">
        <v>16</v>
      </c>
      <c r="C108" s="100" t="str">
        <f>IF(ISNONTEXT(Inputs!B31),"",(Inputs!B31))</f>
        <v/>
      </c>
      <c r="D108" s="100"/>
      <c r="E108" s="54" t="str">
        <f>IF(ISNONTEXT(Inputs!F31),"",(Inputs!F31))</f>
        <v/>
      </c>
      <c r="F108" s="18" t="str">
        <f>IF(ISERROR(Surface_Area_16*LN(1-(Sum_Sα_Surface16_125Hz/Surface_Area_16))),"",(Surface_Area_16*LN(1-(Sum_Sα_Surface16_125Hz/Surface_Area_16))))</f>
        <v/>
      </c>
      <c r="G108" s="18" t="str">
        <f>IF(ISERROR(Surface_Area_16*LN(1-(Sum_Sα_Surface16_250Hz/Surface_Area_16))),"",(Surface_Area_16*LN(1-(Sum_Sα_Surface16_250Hz/Surface_Area_16))))</f>
        <v/>
      </c>
      <c r="H108" s="18" t="str">
        <f>IF(ISERROR(Surface_Area_16*LN(1-(Sum_Sα_Surface16_500Hz/Surface_Area_16))),"",(Surface_Area_16*LN(1-(Sum_Sα_Surface16_500Hz/Surface_Area_16))))</f>
        <v/>
      </c>
      <c r="I108" s="18" t="str">
        <f>IF(ISERROR(Surface_Area_16*LN(1-(Sum_Sα_Surface16_1kHz/Surface_Area_16))),"",(Surface_Area_16*LN(1-(Sum_Sα_Surface16_1kHz/Surface_Area_16))))</f>
        <v/>
      </c>
      <c r="J108" s="18" t="str">
        <f>IF(ISERROR(Surface_Area_16*LN(1-(Sum_Sα_Surface16_2kHz/Surface_Area_16))),"",(Surface_Area_16*LN(1-(Sum_Sα_Surface16_2kHz/Surface_Area_16))))</f>
        <v/>
      </c>
      <c r="K108" s="18" t="str">
        <f>IF(ISERROR(Surface_Area_16*LN(1-(Sum_Sα_Surface16_4kHz/Surface_Area_16))),"",(Surface_Area_16*LN(1-(Sum_Sα_Surface16_4kHz/Surface_Area_16))))</f>
        <v/>
      </c>
    </row>
    <row r="109" spans="2:11" ht="15" customHeight="1" x14ac:dyDescent="0.3">
      <c r="B109" s="47">
        <v>17</v>
      </c>
      <c r="C109" s="100" t="str">
        <f>IF(ISNONTEXT(Inputs!B32),"",(Inputs!B32))</f>
        <v/>
      </c>
      <c r="D109" s="100"/>
      <c r="E109" s="54" t="str">
        <f>IF(ISNONTEXT(Inputs!F32),"",(Inputs!F32))</f>
        <v/>
      </c>
      <c r="F109" s="18" t="str">
        <f>IF(ISERROR(Surface_Area_17*LN(1-(Sum_Sα_Surface17_125Hz/Surface_Area_17))),"",(Surface_Area_17*LN(1-(Sum_Sα_Surface17_125Hz/Surface_Area_17))))</f>
        <v/>
      </c>
      <c r="G109" s="18" t="str">
        <f>IF(ISERROR(Surface_Area_17*LN(1-(Sum_Sα_Surface17_250Hz/Surface_Area_17))),"",(Surface_Area_17*LN(1-(Sum_Sα_Surface17_250Hz/Surface_Area_17))))</f>
        <v/>
      </c>
      <c r="H109" s="18" t="str">
        <f>IF(ISERROR(Surface_Area_17*LN(1-(Sum_Sα_Surface17_500Hz/Surface_Area_17))),"",(Surface_Area_17*LN(1-(Sum_Sα_Surface17_500Hz/Surface_Area_17))))</f>
        <v/>
      </c>
      <c r="I109" s="18" t="str">
        <f>IF(ISERROR(Surface_Area_17*LN(1-(Sum_Sα_Surface17_1kHz/Surface_Area_17))),"",(Surface_Area_17*LN(1-(Sum_Sα_Surface17_1kHz/Surface_Area_17))))</f>
        <v/>
      </c>
      <c r="J109" s="18" t="str">
        <f>IF(ISERROR(Surface_Area_17*LN(1-(Sum_Sα_Surface17_2kHz/Surface_Area_17))),"",(Surface_Area_17*LN(1-(Sum_Sα_Surface17_2kHz/Surface_Area_17))))</f>
        <v/>
      </c>
      <c r="K109" s="18" t="str">
        <f>IF(ISERROR(Surface_Area_17*LN(1-(Sum_Sα_Surface17_4kHz/Surface_Area_17))),"",(Surface_Area_17*LN(1-(Sum_Sα_Surface17_4kHz/Surface_Area_17))))</f>
        <v/>
      </c>
    </row>
    <row r="110" spans="2:11" ht="15" customHeight="1" x14ac:dyDescent="0.3">
      <c r="B110" s="47">
        <v>18</v>
      </c>
      <c r="C110" s="100" t="str">
        <f>IF(ISNONTEXT(Inputs!B33),"",(Inputs!B33))</f>
        <v/>
      </c>
      <c r="D110" s="100"/>
      <c r="E110" s="54" t="str">
        <f>IF(ISNONTEXT(Inputs!F33),"",(Inputs!F33))</f>
        <v/>
      </c>
      <c r="F110" s="18" t="str">
        <f>IF(ISERROR(Surface_Area_18*LN(1-(Sum_Sα_Surface18_125Hz/Surface_Area_18))),"",(Surface_Area_18*LN(1-(Sum_Sα_Surface18_125Hz/Surface_Area_18))))</f>
        <v/>
      </c>
      <c r="G110" s="18" t="str">
        <f>IF(ISERROR(Surface_Area_18*LN(1-(Sum_Sα_Surface18_250Hz/Surface_Area_18))),"",(Surface_Area_18*LN(1-(Sum_Sα_Surface18_250Hz/Surface_Area_18))))</f>
        <v/>
      </c>
      <c r="H110" s="18" t="str">
        <f>IF(ISERROR(Surface_Area_18*LN(1-(Sum_Sα_Surface18_500Hz/Surface_Area_18))),"",(Surface_Area_18*LN(1-(Sum_Sα_Surface18_500Hz/Surface_Area_18))))</f>
        <v/>
      </c>
      <c r="I110" s="18" t="str">
        <f>IF(ISERROR(Surface_Area_18*LN(1-(Sum_Sα_Surface18_1kHz/Surface_Area_18))),"",(Surface_Area_18*LN(1-(Sum_Sα_Surface18_1kHz/Surface_Area_18))))</f>
        <v/>
      </c>
      <c r="J110" s="18" t="str">
        <f>IF(ISERROR(Surface_Area_18*LN(1-(Sum_Sα_Surface18_2kHz/Surface_Area_18))),"",(Surface_Area_18*LN(1-(Sum_Sα_Surface18_2kHz/Surface_Area_18))))</f>
        <v/>
      </c>
      <c r="K110" s="18" t="str">
        <f>IF(ISERROR(Surface_Area_18*LN(1-(Sum_Sα_Surface18_4kHz/Surface_Area_18))),"",(Surface_Area_18*LN(1-(Sum_Sα_Surface18_4kHz/Surface_Area_18))))</f>
        <v/>
      </c>
    </row>
    <row r="111" spans="2:11" ht="15" customHeight="1" x14ac:dyDescent="0.3">
      <c r="B111" s="47">
        <v>19</v>
      </c>
      <c r="C111" s="100" t="str">
        <f>IF(ISNONTEXT(Inputs!B34),"",(Inputs!B34))</f>
        <v/>
      </c>
      <c r="D111" s="100"/>
      <c r="E111" s="54" t="str">
        <f>IF(ISNONTEXT(Inputs!F34),"",(Inputs!F34))</f>
        <v/>
      </c>
      <c r="F111" s="18" t="str">
        <f>IF(ISERROR(Surface_Area_19*LN(1-(Sum_Sα_Surface19_125Hz/Surface_Area_19))),"",(Surface_Area_19*LN(1-(Sum_Sα_Surface19_125Hz/Surface_Area_19))))</f>
        <v/>
      </c>
      <c r="G111" s="18" t="str">
        <f>IF(ISERROR(Surface_Area_19*LN(1-(Sum_Sα_Surface19_250Hz/Surface_Area_19))),"",(Surface_Area_19*LN(1-(Sum_Sα_Surface19_250Hz/Surface_Area_19))))</f>
        <v/>
      </c>
      <c r="H111" s="18" t="str">
        <f>IF(ISERROR(Surface_Area_19*LN(1-(Sum_Sα_Surface19_500Hz/Surface_Area_19))),"",(Surface_Area_19*LN(1-(Sum_Sα_Surface19_500Hz/Surface_Area_19))))</f>
        <v/>
      </c>
      <c r="I111" s="18" t="str">
        <f>IF(ISERROR(Surface_Area_19*LN(1-(Sum_Sα_Surface19_1kHz/Surface_Area_19))),"",(Surface_Area_19*LN(1-(Sum_Sα_Surface19_1kHz/Surface_Area_19))))</f>
        <v/>
      </c>
      <c r="J111" s="18" t="str">
        <f>IF(ISERROR(Surface_Area_19*LN(1-(Sum_Sα_Surface19_2kHz/Surface_Area_19))),"",(Surface_Area_19*LN(1-(Sum_Sα_Surface19_2kHz/Surface_Area_19))))</f>
        <v/>
      </c>
      <c r="K111" s="18" t="str">
        <f>IF(ISERROR(Surface_Area_19*LN(1-(Sum_Sα_Surface19_4kHz/Surface_Area_19))),"",(Surface_Area_19*LN(1-(Sum_Sα_Surface19_4kHz/Surface_Area_19))))</f>
        <v/>
      </c>
    </row>
    <row r="112" spans="2:11" ht="15" customHeight="1" x14ac:dyDescent="0.3">
      <c r="B112" s="47">
        <v>20</v>
      </c>
      <c r="C112" s="100" t="str">
        <f>IF(ISNONTEXT(Inputs!B35),"",(Inputs!B35))</f>
        <v/>
      </c>
      <c r="D112" s="100"/>
      <c r="E112" s="54" t="str">
        <f>IF(ISNONTEXT(Inputs!F35),"",(Inputs!F35))</f>
        <v/>
      </c>
      <c r="F112" s="18" t="str">
        <f>IF(ISERROR(Surface_Area_20*LN(1-(Sum_Sα_Surface20_125Hz/Surface_Area_20))),"",(Surface_Area_20*LN(1-(Sum_Sα_Surface20_125Hz/Surface_Area_20))))</f>
        <v/>
      </c>
      <c r="G112" s="18" t="str">
        <f>IF(ISERROR(Surface_Area_20*LN(1-(Sum_Sα_Surface20_250Hz/Surface_Area_20))),"",(Surface_Area_20*LN(1-(Sum_Sα_Surface20_250Hz/Surface_Area_20))))</f>
        <v/>
      </c>
      <c r="H112" s="18" t="str">
        <f>IF(ISERROR(Surface_Area_20*LN(1-(Sum_Sα_Surface20_500Hz/Surface_Area_20))),"",(Surface_Area_20*LN(1-(Sum_Sα_Surface20_500Hz/Surface_Area_20))))</f>
        <v/>
      </c>
      <c r="I112" s="18" t="str">
        <f>IF(ISERROR(Surface_Area_20*LN(1-(Sum_Sα_Surface20_1kHz/Surface_Area_20))),"",(Surface_Area_20*LN(1-(Sum_Sα_Surface20_1kHz/Surface_Area_20))))</f>
        <v/>
      </c>
      <c r="J112" s="18" t="str">
        <f>IF(ISERROR(Surface_Area_20*LN(1-(Sum_Sα_Surface20_2kHz/Surface_Area_20))),"",(Surface_Area_20*LN(1-(Sum_Sα_Surface20_2kHz/Surface_Area_20))))</f>
        <v/>
      </c>
      <c r="K112" s="18" t="str">
        <f>IF(ISERROR(Surface_Area_20*LN(1-(Sum_Sα_Surface20_4kHz/Surface_Area_20))),"",(Surface_Area_20*LN(1-(Sum_Sα_Surface20_4kHz/Surface_Area_20))))</f>
        <v/>
      </c>
    </row>
    <row r="114" spans="2:10" ht="15" customHeight="1" x14ac:dyDescent="0.3">
      <c r="C114" s="20"/>
      <c r="D114" s="13" t="s">
        <v>702</v>
      </c>
      <c r="E114" s="13" t="s">
        <v>703</v>
      </c>
      <c r="F114" s="13" t="s">
        <v>709</v>
      </c>
      <c r="G114" s="13" t="s">
        <v>704</v>
      </c>
      <c r="H114" s="13" t="s">
        <v>705</v>
      </c>
      <c r="I114" s="13" t="s">
        <v>706</v>
      </c>
    </row>
    <row r="115" spans="2:10" ht="15" customHeight="1" x14ac:dyDescent="0.3">
      <c r="B115" s="97" t="s">
        <v>766</v>
      </c>
      <c r="C115" s="99"/>
      <c r="D115" s="16">
        <f>SUM(Millington_σ_125Hz)</f>
        <v>-13.59682882574794</v>
      </c>
      <c r="E115" s="16">
        <f>SUM(Millington_σ_250Hz)</f>
        <v>-10.731990977505333</v>
      </c>
      <c r="F115" s="16">
        <f>SUM(Millington_σ_500Hz)</f>
        <v>-17.381663606184873</v>
      </c>
      <c r="G115" s="16">
        <f>SUM(Millington_σ_1kHz)</f>
        <v>-21.844534632469067</v>
      </c>
      <c r="H115" s="16">
        <f>SUM(Millington_σ_2kHz)</f>
        <v>-27.598176081504686</v>
      </c>
      <c r="I115" s="16">
        <f>SUM(Millington_σ_4kHz)</f>
        <v>-27.598176081504686</v>
      </c>
    </row>
    <row r="117" spans="2:10" ht="15" customHeight="1" x14ac:dyDescent="0.3">
      <c r="C117" s="20"/>
      <c r="D117" s="13" t="s">
        <v>702</v>
      </c>
      <c r="E117" s="13" t="s">
        <v>703</v>
      </c>
      <c r="F117" s="13" t="s">
        <v>709</v>
      </c>
      <c r="G117" s="13" t="s">
        <v>704</v>
      </c>
      <c r="H117" s="13" t="s">
        <v>705</v>
      </c>
      <c r="I117" s="13" t="s">
        <v>706</v>
      </c>
      <c r="J117" s="13" t="s">
        <v>746</v>
      </c>
    </row>
    <row r="118" spans="2:10" ht="15" customHeight="1" x14ac:dyDescent="0.3">
      <c r="B118" s="97" t="s">
        <v>767</v>
      </c>
      <c r="C118" s="99"/>
      <c r="D118" s="16">
        <f>(-K_Value*Total_Volume)/(SUM(Millington_σ_125Hz))</f>
        <v>0.63941380092514022</v>
      </c>
      <c r="E118" s="16">
        <f>(-K_Value*Total_Volume)/(SUM(Millington_σ_250Hz))</f>
        <v>0.81010131467897806</v>
      </c>
      <c r="F118" s="16">
        <f>(-K_Value*Total_Volume)/(SUM(Millington_σ_500Hz))</f>
        <v>0.50018227236352897</v>
      </c>
      <c r="G118" s="16">
        <f>(-K_Value*Total_Volume)/(SUM(Millington_σ_1kHz))</f>
        <v>0.39799428764563827</v>
      </c>
      <c r="H118" s="16">
        <f>(-K_Value*Total_Volume)/(SUM(Millington_σ_2kHz))</f>
        <v>0.31502081783681385</v>
      </c>
      <c r="I118" s="16">
        <f>(-K_Value*Total_Volume)/(SUM(Millington_σ_4kHz))</f>
        <v>0.31502081783681385</v>
      </c>
      <c r="J118" s="47">
        <f>AVERAGE(T60_Millington)</f>
        <v>0.49628888521448555</v>
      </c>
    </row>
  </sheetData>
  <mergeCells count="70">
    <mergeCell ref="B115:C115"/>
    <mergeCell ref="B118:C118"/>
    <mergeCell ref="C112:D112"/>
    <mergeCell ref="B91:E91"/>
    <mergeCell ref="C107:D107"/>
    <mergeCell ref="C108:D108"/>
    <mergeCell ref="C109:D109"/>
    <mergeCell ref="C110:D110"/>
    <mergeCell ref="C111:D111"/>
    <mergeCell ref="C102:D102"/>
    <mergeCell ref="C103:D103"/>
    <mergeCell ref="C104:D104"/>
    <mergeCell ref="C105:D105"/>
    <mergeCell ref="C106:D106"/>
    <mergeCell ref="C97:D97"/>
    <mergeCell ref="C98:D98"/>
    <mergeCell ref="C99:D99"/>
    <mergeCell ref="C100:D100"/>
    <mergeCell ref="C101:D101"/>
    <mergeCell ref="C92:D92"/>
    <mergeCell ref="C93:D93"/>
    <mergeCell ref="C94:D94"/>
    <mergeCell ref="C95:D95"/>
    <mergeCell ref="C96:D96"/>
    <mergeCell ref="D88:G89"/>
    <mergeCell ref="F91:K91"/>
    <mergeCell ref="B20:C20"/>
    <mergeCell ref="B11:C11"/>
    <mergeCell ref="B12:C12"/>
    <mergeCell ref="B13:C13"/>
    <mergeCell ref="B14:C14"/>
    <mergeCell ref="B15:C15"/>
    <mergeCell ref="D30:F31"/>
    <mergeCell ref="B59:C59"/>
    <mergeCell ref="B40:C40"/>
    <mergeCell ref="B52:C52"/>
    <mergeCell ref="D63:G64"/>
    <mergeCell ref="D54:F55"/>
    <mergeCell ref="B58:C58"/>
    <mergeCell ref="K7:P7"/>
    <mergeCell ref="B8:C8"/>
    <mergeCell ref="B9:C9"/>
    <mergeCell ref="B10:C10"/>
    <mergeCell ref="B86:C86"/>
    <mergeCell ref="D42:F43"/>
    <mergeCell ref="B67:C67"/>
    <mergeCell ref="B68:C68"/>
    <mergeCell ref="B69:C69"/>
    <mergeCell ref="B60:C60"/>
    <mergeCell ref="B61:C61"/>
    <mergeCell ref="B70:C70"/>
    <mergeCell ref="B71:C71"/>
    <mergeCell ref="B72:C72"/>
    <mergeCell ref="B75:C75"/>
    <mergeCell ref="D77:F78"/>
    <mergeCell ref="D4:H5"/>
    <mergeCell ref="B26:C26"/>
    <mergeCell ref="B27:C27"/>
    <mergeCell ref="B28:C28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E7:J7"/>
    <mergeCell ref="B7:D7"/>
  </mergeCells>
  <pageMargins left="0.7" right="0.7" top="0.75" bottom="0.75" header="0.3" footer="0.3"/>
  <pageSetup paperSize="9" scale="59" fitToWidth="0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01C2-B2C0-430B-9655-493C9519A5CE}">
  <dimension ref="A1:L339"/>
  <sheetViews>
    <sheetView workbookViewId="0">
      <pane ySplit="1" topLeftCell="A2" activePane="bottomLeft" state="frozen"/>
      <selection pane="bottomLeft" activeCell="C172" sqref="C172"/>
    </sheetView>
  </sheetViews>
  <sheetFormatPr defaultRowHeight="15" customHeight="1" x14ac:dyDescent="0.3"/>
  <cols>
    <col min="1" max="1" width="9.140625" style="3"/>
    <col min="2" max="2" width="52.7109375" style="10" customWidth="1"/>
    <col min="3" max="9" width="9.140625" style="10"/>
    <col min="10" max="10" width="19.85546875" style="10" customWidth="1"/>
    <col min="11" max="16384" width="9.140625" style="10"/>
  </cols>
  <sheetData>
    <row r="1" spans="1:12" s="3" customFormat="1" ht="15" customHeight="1" x14ac:dyDescent="0.3">
      <c r="A1" s="1" t="s">
        <v>0</v>
      </c>
      <c r="B1" s="23" t="s">
        <v>1</v>
      </c>
      <c r="C1" s="24">
        <v>125</v>
      </c>
      <c r="D1" s="24">
        <v>250</v>
      </c>
      <c r="E1" s="25">
        <v>500</v>
      </c>
      <c r="F1" s="26" t="s">
        <v>6</v>
      </c>
      <c r="G1" s="26" t="s">
        <v>7</v>
      </c>
      <c r="H1" s="26" t="s">
        <v>8</v>
      </c>
      <c r="I1" s="27" t="s">
        <v>9</v>
      </c>
      <c r="J1" s="28" t="s">
        <v>10</v>
      </c>
      <c r="K1" s="2"/>
      <c r="L1" s="2"/>
    </row>
    <row r="2" spans="1:12" ht="15" customHeight="1" x14ac:dyDescent="0.3">
      <c r="A2" s="1" t="s">
        <v>11</v>
      </c>
      <c r="B2" s="4" t="s">
        <v>344</v>
      </c>
      <c r="C2" s="5">
        <v>0.15</v>
      </c>
      <c r="D2" s="5">
        <v>0.19</v>
      </c>
      <c r="E2" s="6">
        <v>0.22</v>
      </c>
      <c r="F2" s="6">
        <v>0.39</v>
      </c>
      <c r="G2" s="6">
        <v>0.38</v>
      </c>
      <c r="H2" s="6">
        <v>0.3</v>
      </c>
      <c r="I2" s="7">
        <v>0.3</v>
      </c>
      <c r="J2" s="8" t="s">
        <v>345</v>
      </c>
      <c r="K2" s="9"/>
      <c r="L2" s="9"/>
    </row>
    <row r="3" spans="1:12" ht="15" customHeight="1" x14ac:dyDescent="0.3">
      <c r="A3" s="1" t="s">
        <v>12</v>
      </c>
      <c r="B3" s="29" t="s">
        <v>346</v>
      </c>
      <c r="C3" s="11"/>
      <c r="D3" s="11"/>
      <c r="E3" s="11"/>
      <c r="F3" s="11"/>
      <c r="G3" s="11"/>
      <c r="H3" s="11"/>
      <c r="I3" s="11"/>
      <c r="J3" s="11"/>
      <c r="K3" s="9"/>
      <c r="L3" s="9"/>
    </row>
    <row r="4" spans="1:12" ht="15" customHeight="1" x14ac:dyDescent="0.3">
      <c r="A4" s="1" t="s">
        <v>13</v>
      </c>
      <c r="B4" s="4" t="s">
        <v>347</v>
      </c>
      <c r="C4" s="11"/>
      <c r="D4" s="11"/>
      <c r="E4" s="11"/>
      <c r="F4" s="6">
        <v>0</v>
      </c>
      <c r="G4" s="6">
        <v>0.01</v>
      </c>
      <c r="H4" s="6">
        <v>0.02</v>
      </c>
      <c r="I4" s="11"/>
      <c r="J4" s="8" t="s">
        <v>348</v>
      </c>
      <c r="K4" s="9"/>
      <c r="L4" s="9"/>
    </row>
    <row r="5" spans="1:12" ht="15" customHeight="1" x14ac:dyDescent="0.3">
      <c r="A5" s="1" t="s">
        <v>14</v>
      </c>
      <c r="B5" s="11"/>
      <c r="C5" s="11"/>
      <c r="D5" s="11"/>
      <c r="E5" s="11"/>
      <c r="F5" s="11"/>
      <c r="G5" s="11"/>
      <c r="H5" s="11"/>
      <c r="I5" s="11"/>
      <c r="J5" s="11"/>
      <c r="K5" s="9"/>
      <c r="L5" s="9"/>
    </row>
    <row r="6" spans="1:12" ht="15" customHeight="1" x14ac:dyDescent="0.3">
      <c r="A6" s="1" t="s">
        <v>15</v>
      </c>
      <c r="B6" s="29" t="s">
        <v>349</v>
      </c>
      <c r="C6" s="11"/>
      <c r="D6" s="11"/>
      <c r="E6" s="11"/>
      <c r="F6" s="11"/>
      <c r="G6" s="11"/>
      <c r="H6" s="11"/>
      <c r="I6" s="11"/>
      <c r="J6" s="11"/>
      <c r="K6" s="9"/>
      <c r="L6" s="9"/>
    </row>
    <row r="7" spans="1:12" ht="15" customHeight="1" x14ac:dyDescent="0.3">
      <c r="A7" s="1" t="s">
        <v>2</v>
      </c>
      <c r="B7" s="4" t="s">
        <v>350</v>
      </c>
      <c r="C7" s="5">
        <v>0.39</v>
      </c>
      <c r="D7" s="5">
        <v>0.56999999999999995</v>
      </c>
      <c r="E7" s="6">
        <v>0.8</v>
      </c>
      <c r="F7" s="6">
        <v>0.94</v>
      </c>
      <c r="G7" s="6">
        <v>0.92</v>
      </c>
      <c r="H7" s="6">
        <v>0.87</v>
      </c>
      <c r="I7" s="7">
        <v>0.81</v>
      </c>
      <c r="J7" s="8" t="s">
        <v>351</v>
      </c>
      <c r="K7" s="9"/>
      <c r="L7" s="9"/>
    </row>
    <row r="8" spans="1:12" ht="15" customHeight="1" x14ac:dyDescent="0.3">
      <c r="A8" s="1" t="s">
        <v>16</v>
      </c>
      <c r="B8" s="4" t="s">
        <v>352</v>
      </c>
      <c r="C8" s="5">
        <v>0.39</v>
      </c>
      <c r="D8" s="5">
        <v>0.56999999999999995</v>
      </c>
      <c r="E8" s="6">
        <v>0.8</v>
      </c>
      <c r="F8" s="6">
        <v>0.88</v>
      </c>
      <c r="G8" s="6">
        <v>0.82</v>
      </c>
      <c r="H8" s="6">
        <v>0.7</v>
      </c>
      <c r="I8" s="7">
        <v>0.77</v>
      </c>
      <c r="J8" s="8" t="s">
        <v>353</v>
      </c>
      <c r="K8" s="9"/>
      <c r="L8" s="9"/>
    </row>
    <row r="9" spans="1:12" ht="15" customHeight="1" x14ac:dyDescent="0.3">
      <c r="A9" s="1" t="s">
        <v>17</v>
      </c>
      <c r="B9" s="4" t="s">
        <v>352</v>
      </c>
      <c r="C9" s="5">
        <v>0.35</v>
      </c>
      <c r="D9" s="5">
        <v>0.5</v>
      </c>
      <c r="E9" s="6">
        <v>0.6</v>
      </c>
      <c r="F9" s="6">
        <v>0.67</v>
      </c>
      <c r="G9" s="6">
        <v>0.63</v>
      </c>
      <c r="H9" s="6">
        <v>0.63</v>
      </c>
      <c r="I9" s="7">
        <v>0.6</v>
      </c>
      <c r="J9" s="8" t="s">
        <v>353</v>
      </c>
      <c r="K9" s="9"/>
      <c r="L9" s="9"/>
    </row>
    <row r="10" spans="1:12" ht="15" customHeight="1" x14ac:dyDescent="0.3">
      <c r="A10" s="1" t="s">
        <v>18</v>
      </c>
      <c r="B10" s="4" t="s">
        <v>354</v>
      </c>
      <c r="C10" s="5">
        <v>0.39</v>
      </c>
      <c r="D10" s="5">
        <v>0.49</v>
      </c>
      <c r="E10" s="6">
        <v>0.55000000000000004</v>
      </c>
      <c r="F10" s="6">
        <v>0.56999999999999995</v>
      </c>
      <c r="G10" s="6">
        <v>0.53</v>
      </c>
      <c r="H10" s="6">
        <v>0.46</v>
      </c>
      <c r="I10" s="7">
        <v>0.53</v>
      </c>
      <c r="J10" s="8" t="s">
        <v>353</v>
      </c>
      <c r="K10" s="9"/>
      <c r="L10" s="9"/>
    </row>
    <row r="11" spans="1:12" ht="15" customHeight="1" x14ac:dyDescent="0.3">
      <c r="A11" s="1" t="s">
        <v>19</v>
      </c>
      <c r="B11" s="11"/>
      <c r="C11" s="11"/>
      <c r="D11" s="11"/>
      <c r="E11" s="11"/>
      <c r="F11" s="11"/>
      <c r="G11" s="11"/>
      <c r="H11" s="11"/>
      <c r="I11" s="11"/>
      <c r="J11" s="11"/>
      <c r="K11" s="9"/>
      <c r="L11" s="9"/>
    </row>
    <row r="12" spans="1:12" ht="15" customHeight="1" x14ac:dyDescent="0.3">
      <c r="A12" s="1" t="s">
        <v>20</v>
      </c>
      <c r="B12" s="29" t="s">
        <v>355</v>
      </c>
      <c r="C12" s="11"/>
      <c r="D12" s="11"/>
      <c r="E12" s="11"/>
      <c r="F12" s="11"/>
      <c r="G12" s="11"/>
      <c r="H12" s="11"/>
      <c r="I12" s="11"/>
      <c r="J12" s="11"/>
      <c r="K12" s="9"/>
      <c r="L12" s="9"/>
    </row>
    <row r="13" spans="1:12" ht="15" customHeight="1" x14ac:dyDescent="0.3">
      <c r="A13" s="1" t="s">
        <v>21</v>
      </c>
      <c r="B13" s="4" t="s">
        <v>356</v>
      </c>
      <c r="C13" s="5">
        <v>0.26</v>
      </c>
      <c r="D13" s="5">
        <v>0.4</v>
      </c>
      <c r="E13" s="6">
        <v>0.5</v>
      </c>
      <c r="F13" s="6">
        <v>0.5</v>
      </c>
      <c r="G13" s="6">
        <v>0.55000000000000004</v>
      </c>
      <c r="H13" s="6">
        <v>0.5</v>
      </c>
      <c r="I13" s="7">
        <v>0.49</v>
      </c>
      <c r="J13" s="8" t="s">
        <v>353</v>
      </c>
      <c r="K13" s="9"/>
      <c r="L13" s="9"/>
    </row>
    <row r="14" spans="1:12" ht="15" customHeight="1" x14ac:dyDescent="0.3">
      <c r="A14" s="1" t="s">
        <v>22</v>
      </c>
      <c r="B14" s="4" t="s">
        <v>357</v>
      </c>
      <c r="C14" s="5">
        <v>0.26</v>
      </c>
      <c r="D14" s="5">
        <v>0.28000000000000003</v>
      </c>
      <c r="E14" s="6">
        <v>0.28999999999999998</v>
      </c>
      <c r="F14" s="6">
        <v>0.34</v>
      </c>
      <c r="G14" s="6">
        <v>0.4</v>
      </c>
      <c r="H14" s="6">
        <v>0.4</v>
      </c>
      <c r="I14" s="7">
        <v>0.33</v>
      </c>
      <c r="J14" s="8" t="s">
        <v>353</v>
      </c>
      <c r="K14" s="9"/>
      <c r="L14" s="9"/>
    </row>
    <row r="15" spans="1:12" ht="15" customHeight="1" x14ac:dyDescent="0.3">
      <c r="A15" s="1" t="s">
        <v>23</v>
      </c>
      <c r="B15" s="4" t="s">
        <v>358</v>
      </c>
      <c r="C15" s="5">
        <v>0.25</v>
      </c>
      <c r="D15" s="5">
        <v>0.27</v>
      </c>
      <c r="E15" s="6">
        <v>0.28999999999999998</v>
      </c>
      <c r="F15" s="6">
        <v>0.32</v>
      </c>
      <c r="G15" s="6">
        <v>0.31</v>
      </c>
      <c r="H15" s="6">
        <v>0.31</v>
      </c>
      <c r="I15" s="7">
        <v>0.3</v>
      </c>
      <c r="J15" s="8" t="s">
        <v>359</v>
      </c>
      <c r="K15" s="9"/>
      <c r="L15" s="9"/>
    </row>
    <row r="16" spans="1:12" ht="15" customHeight="1" x14ac:dyDescent="0.3">
      <c r="A16" s="1" t="s">
        <v>24</v>
      </c>
      <c r="B16" s="4" t="s">
        <v>360</v>
      </c>
      <c r="C16" s="5">
        <v>0.17</v>
      </c>
      <c r="D16" s="5">
        <v>0.36</v>
      </c>
      <c r="E16" s="6">
        <v>0.43</v>
      </c>
      <c r="F16" s="6">
        <v>0.43</v>
      </c>
      <c r="G16" s="6">
        <v>0.47</v>
      </c>
      <c r="H16" s="6">
        <v>0.43</v>
      </c>
      <c r="I16" s="7">
        <v>0.42</v>
      </c>
      <c r="J16" s="8" t="s">
        <v>353</v>
      </c>
      <c r="K16" s="9"/>
      <c r="L16" s="9"/>
    </row>
    <row r="17" spans="1:12" ht="15" customHeight="1" x14ac:dyDescent="0.3">
      <c r="A17" s="1" t="s">
        <v>25</v>
      </c>
      <c r="B17" s="4" t="s">
        <v>361</v>
      </c>
      <c r="C17" s="5">
        <v>0.08</v>
      </c>
      <c r="D17" s="5">
        <v>0.14000000000000001</v>
      </c>
      <c r="E17" s="6">
        <v>0.2</v>
      </c>
      <c r="F17" s="6">
        <v>0.26</v>
      </c>
      <c r="G17" s="6">
        <v>0.25</v>
      </c>
      <c r="H17" s="6">
        <v>0.2</v>
      </c>
      <c r="I17" s="7">
        <v>0.21</v>
      </c>
      <c r="J17" s="8" t="s">
        <v>353</v>
      </c>
      <c r="K17" s="9"/>
      <c r="L17" s="9"/>
    </row>
    <row r="18" spans="1:12" ht="15" customHeight="1" x14ac:dyDescent="0.3">
      <c r="A18" s="1" t="s">
        <v>26</v>
      </c>
      <c r="B18" s="4" t="s">
        <v>362</v>
      </c>
      <c r="C18" s="5">
        <v>7.0000000000000007E-2</v>
      </c>
      <c r="D18" s="5">
        <v>0.12</v>
      </c>
      <c r="E18" s="6">
        <v>0.18</v>
      </c>
      <c r="F18" s="6">
        <v>0.26</v>
      </c>
      <c r="G18" s="6">
        <v>0.25</v>
      </c>
      <c r="H18" s="6">
        <v>0.2</v>
      </c>
      <c r="I18" s="7">
        <v>0.2</v>
      </c>
      <c r="J18" s="8" t="s">
        <v>353</v>
      </c>
      <c r="K18" s="9"/>
      <c r="L18" s="9"/>
    </row>
    <row r="19" spans="1:12" ht="15" customHeight="1" x14ac:dyDescent="0.3">
      <c r="A19" s="1" t="s">
        <v>27</v>
      </c>
      <c r="B19" s="4" t="s">
        <v>363</v>
      </c>
      <c r="C19" s="5">
        <v>0.15</v>
      </c>
      <c r="D19" s="5">
        <v>0.14000000000000001</v>
      </c>
      <c r="E19" s="6">
        <v>0.17</v>
      </c>
      <c r="F19" s="6">
        <v>0.16</v>
      </c>
      <c r="G19" s="6">
        <v>0.1</v>
      </c>
      <c r="H19" s="6">
        <v>0.05</v>
      </c>
      <c r="I19" s="7">
        <v>0.14000000000000001</v>
      </c>
      <c r="J19" s="8" t="s">
        <v>359</v>
      </c>
      <c r="K19" s="9"/>
      <c r="L19" s="9"/>
    </row>
    <row r="20" spans="1:12" ht="15" customHeight="1" x14ac:dyDescent="0.3">
      <c r="A20" s="1" t="s">
        <v>28</v>
      </c>
      <c r="B20" s="4" t="s">
        <v>364</v>
      </c>
      <c r="C20" s="5">
        <v>0.26</v>
      </c>
      <c r="D20" s="5">
        <v>0.4</v>
      </c>
      <c r="E20" s="6">
        <v>0.5</v>
      </c>
      <c r="F20" s="6">
        <v>0.55000000000000004</v>
      </c>
      <c r="G20" s="6">
        <v>0.65</v>
      </c>
      <c r="H20" s="6">
        <v>0.6</v>
      </c>
      <c r="I20" s="7">
        <v>0.53</v>
      </c>
      <c r="J20" s="8" t="s">
        <v>353</v>
      </c>
      <c r="K20" s="9"/>
      <c r="L20" s="9"/>
    </row>
    <row r="21" spans="1:12" ht="15" customHeight="1" x14ac:dyDescent="0.3">
      <c r="A21" s="1" t="s">
        <v>29</v>
      </c>
      <c r="B21" s="4" t="s">
        <v>365</v>
      </c>
      <c r="C21" s="5">
        <v>0.26</v>
      </c>
      <c r="D21" s="5">
        <v>0.28000000000000003</v>
      </c>
      <c r="E21" s="6">
        <v>0.35</v>
      </c>
      <c r="F21" s="6">
        <v>0.45</v>
      </c>
      <c r="G21" s="6">
        <v>0.55000000000000004</v>
      </c>
      <c r="H21" s="6">
        <v>0.5</v>
      </c>
      <c r="I21" s="7">
        <v>0.41</v>
      </c>
      <c r="J21" s="8" t="s">
        <v>353</v>
      </c>
      <c r="K21" s="9"/>
      <c r="L21" s="9"/>
    </row>
    <row r="22" spans="1:12" ht="15" customHeight="1" x14ac:dyDescent="0.3">
      <c r="A22" s="1" t="s">
        <v>30</v>
      </c>
      <c r="B22" s="4" t="s">
        <v>366</v>
      </c>
      <c r="C22" s="5">
        <v>0.19</v>
      </c>
      <c r="D22" s="5">
        <v>0.33</v>
      </c>
      <c r="E22" s="6">
        <v>0.44</v>
      </c>
      <c r="F22" s="6">
        <v>0.42</v>
      </c>
      <c r="G22" s="6">
        <v>0.46</v>
      </c>
      <c r="H22" s="6">
        <v>0.37</v>
      </c>
      <c r="I22" s="7">
        <v>0.41</v>
      </c>
      <c r="J22" s="8" t="s">
        <v>367</v>
      </c>
      <c r="K22" s="9"/>
      <c r="L22" s="9"/>
    </row>
    <row r="23" spans="1:12" ht="15" customHeight="1" x14ac:dyDescent="0.3">
      <c r="A23" s="1" t="s">
        <v>31</v>
      </c>
      <c r="B23" s="4" t="s">
        <v>368</v>
      </c>
      <c r="C23" s="5">
        <v>0.41</v>
      </c>
      <c r="D23" s="5">
        <v>0.76</v>
      </c>
      <c r="E23" s="6">
        <v>1.1200000000000001</v>
      </c>
      <c r="F23" s="6">
        <v>1.33</v>
      </c>
      <c r="G23" s="6">
        <v>1.4</v>
      </c>
      <c r="H23" s="6">
        <v>1.1599999999999999</v>
      </c>
      <c r="I23" s="7">
        <v>1.1499999999999999</v>
      </c>
      <c r="J23" s="8" t="s">
        <v>353</v>
      </c>
      <c r="K23" s="9"/>
      <c r="L23" s="9"/>
    </row>
    <row r="24" spans="1:12" ht="15" customHeight="1" x14ac:dyDescent="0.3">
      <c r="A24" s="1" t="s">
        <v>32</v>
      </c>
      <c r="B24" s="4" t="s">
        <v>369</v>
      </c>
      <c r="C24" s="5">
        <v>0.01</v>
      </c>
      <c r="D24" s="5">
        <v>0.12</v>
      </c>
      <c r="E24" s="6">
        <v>0.31</v>
      </c>
      <c r="F24" s="6">
        <v>0.36</v>
      </c>
      <c r="G24" s="6">
        <v>0.45</v>
      </c>
      <c r="H24" s="6">
        <v>0.5</v>
      </c>
      <c r="I24" s="7">
        <v>0.31</v>
      </c>
      <c r="J24" s="8" t="s">
        <v>370</v>
      </c>
      <c r="K24" s="9"/>
      <c r="L24" s="9"/>
    </row>
    <row r="25" spans="1:12" ht="15" customHeight="1" x14ac:dyDescent="0.3">
      <c r="A25" s="1" t="s">
        <v>33</v>
      </c>
      <c r="B25" s="4" t="s">
        <v>371</v>
      </c>
      <c r="C25" s="5">
        <v>0.18</v>
      </c>
      <c r="D25" s="5">
        <v>0.3</v>
      </c>
      <c r="E25" s="6">
        <v>0.32</v>
      </c>
      <c r="F25" s="6">
        <v>0.35</v>
      </c>
      <c r="G25" s="6">
        <v>0.39</v>
      </c>
      <c r="H25" s="6">
        <v>0.38</v>
      </c>
      <c r="I25" s="7">
        <v>0.34</v>
      </c>
      <c r="J25" s="8" t="s">
        <v>353</v>
      </c>
      <c r="K25" s="9"/>
      <c r="L25" s="9"/>
    </row>
    <row r="26" spans="1:12" ht="15" customHeight="1" x14ac:dyDescent="0.3">
      <c r="A26" s="1" t="s">
        <v>34</v>
      </c>
      <c r="B26" s="4" t="s">
        <v>372</v>
      </c>
      <c r="C26" s="5">
        <v>0.27</v>
      </c>
      <c r="D26" s="5">
        <v>0.3</v>
      </c>
      <c r="E26" s="6">
        <v>0.37</v>
      </c>
      <c r="F26" s="6">
        <v>0.38</v>
      </c>
      <c r="G26" s="6">
        <v>0.45</v>
      </c>
      <c r="H26" s="6">
        <v>0.47</v>
      </c>
      <c r="I26" s="7">
        <v>0.37</v>
      </c>
      <c r="J26" s="8" t="s">
        <v>353</v>
      </c>
      <c r="K26" s="9"/>
      <c r="L26" s="9"/>
    </row>
    <row r="27" spans="1:12" ht="15" customHeight="1" x14ac:dyDescent="0.3">
      <c r="A27" s="1" t="s">
        <v>35</v>
      </c>
      <c r="B27" s="11"/>
      <c r="C27" s="11"/>
      <c r="D27" s="11"/>
      <c r="E27" s="11"/>
      <c r="F27" s="11"/>
      <c r="G27" s="11"/>
      <c r="H27" s="11"/>
      <c r="I27" s="11"/>
      <c r="J27" s="11"/>
      <c r="K27" s="9"/>
      <c r="L27" s="9"/>
    </row>
    <row r="28" spans="1:12" ht="15" customHeight="1" x14ac:dyDescent="0.3">
      <c r="A28" s="1" t="s">
        <v>36</v>
      </c>
      <c r="B28" s="29" t="s">
        <v>373</v>
      </c>
      <c r="C28" s="11"/>
      <c r="D28" s="11"/>
      <c r="E28" s="11"/>
      <c r="F28" s="11"/>
      <c r="G28" s="11"/>
      <c r="H28" s="11"/>
      <c r="I28" s="11"/>
      <c r="J28" s="11"/>
      <c r="K28" s="9"/>
      <c r="L28" s="9"/>
    </row>
    <row r="29" spans="1:12" ht="15" customHeight="1" x14ac:dyDescent="0.3">
      <c r="A29" s="1" t="s">
        <v>37</v>
      </c>
      <c r="B29" s="4" t="s">
        <v>374</v>
      </c>
      <c r="C29" s="5">
        <v>0.01</v>
      </c>
      <c r="D29" s="5">
        <v>0.02</v>
      </c>
      <c r="E29" s="6">
        <v>0.03</v>
      </c>
      <c r="F29" s="6">
        <v>0.05</v>
      </c>
      <c r="G29" s="6">
        <v>0.08</v>
      </c>
      <c r="H29" s="6">
        <v>0.1</v>
      </c>
      <c r="I29" s="7">
        <v>0.05</v>
      </c>
      <c r="J29" s="8" t="s">
        <v>353</v>
      </c>
      <c r="K29" s="9"/>
      <c r="L29" s="9"/>
    </row>
    <row r="30" spans="1:12" ht="15" customHeight="1" x14ac:dyDescent="0.3">
      <c r="A30" s="1" t="s">
        <v>38</v>
      </c>
      <c r="B30" s="4" t="s">
        <v>375</v>
      </c>
      <c r="C30" s="5">
        <v>0.03</v>
      </c>
      <c r="D30" s="5">
        <v>0.05</v>
      </c>
      <c r="E30" s="6">
        <v>0.06</v>
      </c>
      <c r="F30" s="6">
        <v>0.1</v>
      </c>
      <c r="G30" s="6">
        <v>0.25</v>
      </c>
      <c r="H30" s="6">
        <v>0.3</v>
      </c>
      <c r="I30" s="7">
        <v>0.12</v>
      </c>
      <c r="J30" s="8" t="s">
        <v>353</v>
      </c>
      <c r="K30" s="9"/>
      <c r="L30" s="9"/>
    </row>
    <row r="31" spans="1:12" ht="15" customHeight="1" x14ac:dyDescent="0.3">
      <c r="A31" s="1" t="s">
        <v>39</v>
      </c>
      <c r="B31" s="4" t="s">
        <v>376</v>
      </c>
      <c r="C31" s="5">
        <v>0.03</v>
      </c>
      <c r="D31" s="5">
        <v>0.05</v>
      </c>
      <c r="E31" s="6">
        <v>0.06</v>
      </c>
      <c r="F31" s="6">
        <v>0.2</v>
      </c>
      <c r="G31" s="6">
        <v>0.55000000000000004</v>
      </c>
      <c r="H31" s="6">
        <v>0.65</v>
      </c>
      <c r="I31" s="7">
        <v>0.22</v>
      </c>
      <c r="J31" s="8" t="s">
        <v>353</v>
      </c>
      <c r="K31" s="9"/>
      <c r="L31" s="9"/>
    </row>
    <row r="32" spans="1:12" ht="15" customHeight="1" x14ac:dyDescent="0.3">
      <c r="A32" s="1" t="s">
        <v>40</v>
      </c>
      <c r="B32" s="4" t="s">
        <v>377</v>
      </c>
      <c r="C32" s="5">
        <v>0.02</v>
      </c>
      <c r="D32" s="5">
        <v>0.06</v>
      </c>
      <c r="E32" s="6">
        <v>0.16</v>
      </c>
      <c r="F32" s="6">
        <v>0.42</v>
      </c>
      <c r="G32" s="6">
        <v>0.62</v>
      </c>
      <c r="H32" s="6">
        <v>0.65</v>
      </c>
      <c r="I32" s="7">
        <v>0.32</v>
      </c>
      <c r="J32" s="8" t="s">
        <v>370</v>
      </c>
      <c r="K32" s="9"/>
      <c r="L32" s="9"/>
    </row>
    <row r="33" spans="1:12" ht="15" customHeight="1" x14ac:dyDescent="0.3">
      <c r="A33" s="1" t="s">
        <v>3</v>
      </c>
      <c r="B33" s="4" t="s">
        <v>378</v>
      </c>
      <c r="C33" s="5">
        <v>0.01</v>
      </c>
      <c r="D33" s="5">
        <v>0.05</v>
      </c>
      <c r="E33" s="6">
        <v>0.1</v>
      </c>
      <c r="F33" s="6">
        <v>0.2</v>
      </c>
      <c r="G33" s="6">
        <v>0.25</v>
      </c>
      <c r="H33" s="6">
        <v>0.35</v>
      </c>
      <c r="I33" s="7">
        <v>0.15</v>
      </c>
      <c r="J33" s="8" t="s">
        <v>353</v>
      </c>
      <c r="K33" s="9"/>
      <c r="L33" s="9"/>
    </row>
    <row r="34" spans="1:12" ht="15" customHeight="1" x14ac:dyDescent="0.3">
      <c r="A34" s="1" t="s">
        <v>41</v>
      </c>
      <c r="B34" s="4" t="s">
        <v>379</v>
      </c>
      <c r="C34" s="5">
        <v>0.03</v>
      </c>
      <c r="D34" s="5">
        <v>0.09</v>
      </c>
      <c r="E34" s="6">
        <v>0.26</v>
      </c>
      <c r="F34" s="6">
        <v>0.31</v>
      </c>
      <c r="G34" s="6">
        <v>0.33</v>
      </c>
      <c r="H34" s="6">
        <v>0.44</v>
      </c>
      <c r="I34" s="7">
        <v>0.25</v>
      </c>
      <c r="J34" s="8" t="s">
        <v>353</v>
      </c>
      <c r="K34" s="9"/>
      <c r="L34" s="9"/>
    </row>
    <row r="35" spans="1:12" ht="15" customHeight="1" x14ac:dyDescent="0.3">
      <c r="A35" s="1" t="s">
        <v>42</v>
      </c>
      <c r="B35" s="4" t="s">
        <v>380</v>
      </c>
      <c r="C35" s="5">
        <v>0.03</v>
      </c>
      <c r="D35" s="5">
        <v>0.09</v>
      </c>
      <c r="E35" s="6">
        <v>0.2</v>
      </c>
      <c r="F35" s="6">
        <v>0.54</v>
      </c>
      <c r="G35" s="6">
        <v>0.65</v>
      </c>
      <c r="H35" s="6">
        <v>0.7</v>
      </c>
      <c r="I35" s="7">
        <v>0.37</v>
      </c>
      <c r="J35" s="8" t="s">
        <v>353</v>
      </c>
      <c r="K35" s="9"/>
      <c r="L35" s="9"/>
    </row>
    <row r="36" spans="1:12" ht="15" customHeight="1" x14ac:dyDescent="0.3">
      <c r="A36" s="1" t="s">
        <v>43</v>
      </c>
      <c r="B36" s="4" t="s">
        <v>381</v>
      </c>
      <c r="C36" s="5">
        <v>0.05</v>
      </c>
      <c r="D36" s="5">
        <v>0.06</v>
      </c>
      <c r="E36" s="6">
        <v>0.16</v>
      </c>
      <c r="F36" s="6">
        <v>0.3</v>
      </c>
      <c r="G36" s="6">
        <v>0.45</v>
      </c>
      <c r="H36" s="6">
        <v>0.65</v>
      </c>
      <c r="I36" s="7">
        <v>0.24</v>
      </c>
      <c r="J36" s="8" t="s">
        <v>353</v>
      </c>
      <c r="K36" s="9"/>
      <c r="L36" s="9"/>
    </row>
    <row r="37" spans="1:12" ht="15" customHeight="1" x14ac:dyDescent="0.3">
      <c r="A37" s="1" t="s">
        <v>44</v>
      </c>
      <c r="B37" s="4" t="s">
        <v>382</v>
      </c>
      <c r="C37" s="5">
        <v>0.05</v>
      </c>
      <c r="D37" s="5">
        <v>0.27</v>
      </c>
      <c r="E37" s="6">
        <v>0.39</v>
      </c>
      <c r="F37" s="6">
        <v>0.34</v>
      </c>
      <c r="G37" s="6">
        <v>0.48</v>
      </c>
      <c r="H37" s="6">
        <v>0.63</v>
      </c>
      <c r="I37" s="7">
        <v>0.37</v>
      </c>
      <c r="J37" s="8" t="s">
        <v>353</v>
      </c>
      <c r="K37" s="9"/>
      <c r="L37" s="9"/>
    </row>
    <row r="38" spans="1:12" ht="15" customHeight="1" x14ac:dyDescent="0.3">
      <c r="A38" s="1" t="s">
        <v>4</v>
      </c>
      <c r="B38" s="4" t="s">
        <v>383</v>
      </c>
      <c r="C38" s="5">
        <v>0.15</v>
      </c>
      <c r="D38" s="5">
        <v>0.25</v>
      </c>
      <c r="E38" s="6">
        <v>0.5</v>
      </c>
      <c r="F38" s="6">
        <v>0.6</v>
      </c>
      <c r="G38" s="6">
        <v>0.7</v>
      </c>
      <c r="H38" s="6">
        <v>0.7</v>
      </c>
      <c r="I38" s="7">
        <v>0.51</v>
      </c>
      <c r="J38" s="8" t="s">
        <v>353</v>
      </c>
      <c r="K38" s="9"/>
      <c r="L38" s="9"/>
    </row>
    <row r="39" spans="1:12" ht="15" customHeight="1" x14ac:dyDescent="0.3">
      <c r="A39" s="1" t="s">
        <v>45</v>
      </c>
      <c r="B39" s="11"/>
      <c r="C39" s="11"/>
      <c r="D39" s="11"/>
      <c r="E39" s="11"/>
      <c r="F39" s="11"/>
      <c r="G39" s="11"/>
      <c r="H39" s="11"/>
      <c r="I39" s="11"/>
      <c r="J39" s="11"/>
      <c r="K39" s="9"/>
      <c r="L39" s="9"/>
    </row>
    <row r="40" spans="1:12" ht="15" customHeight="1" x14ac:dyDescent="0.3">
      <c r="A40" s="1" t="s">
        <v>46</v>
      </c>
      <c r="B40" s="29" t="s">
        <v>384</v>
      </c>
      <c r="C40" s="11"/>
      <c r="D40" s="11"/>
      <c r="E40" s="11"/>
      <c r="F40" s="11"/>
      <c r="G40" s="11"/>
      <c r="H40" s="11"/>
      <c r="I40" s="11"/>
      <c r="J40" s="11"/>
      <c r="K40" s="9"/>
      <c r="L40" s="9"/>
    </row>
    <row r="41" spans="1:12" ht="15" customHeight="1" x14ac:dyDescent="0.3">
      <c r="A41" s="1" t="s">
        <v>47</v>
      </c>
      <c r="B41" s="29" t="s">
        <v>385</v>
      </c>
      <c r="C41" s="11"/>
      <c r="D41" s="11"/>
      <c r="E41" s="11"/>
      <c r="F41" s="11"/>
      <c r="G41" s="11"/>
      <c r="H41" s="11"/>
      <c r="I41" s="11"/>
      <c r="J41" s="11"/>
      <c r="K41" s="9"/>
      <c r="L41" s="9"/>
    </row>
    <row r="42" spans="1:12" ht="15" customHeight="1" x14ac:dyDescent="0.3">
      <c r="A42" s="1" t="s">
        <v>48</v>
      </c>
      <c r="B42" s="4" t="s">
        <v>386</v>
      </c>
      <c r="C42" s="5">
        <v>0.14000000000000001</v>
      </c>
      <c r="D42" s="5">
        <v>0.95</v>
      </c>
      <c r="E42" s="6">
        <v>0.97</v>
      </c>
      <c r="F42" s="6">
        <v>0.89</v>
      </c>
      <c r="G42" s="6">
        <v>0.99</v>
      </c>
      <c r="H42" s="6">
        <v>0.96</v>
      </c>
      <c r="I42" s="7">
        <v>0.95</v>
      </c>
      <c r="J42" s="8" t="s">
        <v>387</v>
      </c>
      <c r="K42" s="9"/>
      <c r="L42" s="9"/>
    </row>
    <row r="43" spans="1:12" ht="15" customHeight="1" x14ac:dyDescent="0.3">
      <c r="A43" s="1" t="s">
        <v>49</v>
      </c>
      <c r="B43" s="4" t="s">
        <v>388</v>
      </c>
      <c r="C43" s="5">
        <v>0.12</v>
      </c>
      <c r="D43" s="5">
        <v>0.46</v>
      </c>
      <c r="E43" s="6">
        <v>0.95</v>
      </c>
      <c r="F43" s="6">
        <v>1.03</v>
      </c>
      <c r="G43" s="6">
        <v>0.94</v>
      </c>
      <c r="H43" s="6">
        <v>0.92</v>
      </c>
      <c r="I43" s="7">
        <v>0.85</v>
      </c>
      <c r="J43" s="8" t="s">
        <v>387</v>
      </c>
      <c r="K43" s="9"/>
      <c r="L43" s="9"/>
    </row>
    <row r="44" spans="1:12" ht="15" customHeight="1" x14ac:dyDescent="0.3">
      <c r="A44" s="1" t="s">
        <v>50</v>
      </c>
      <c r="B44" s="4" t="s">
        <v>389</v>
      </c>
      <c r="C44" s="5">
        <v>0.44</v>
      </c>
      <c r="D44" s="5">
        <v>0.78</v>
      </c>
      <c r="E44" s="6">
        <v>0.85</v>
      </c>
      <c r="F44" s="6">
        <v>0.89</v>
      </c>
      <c r="G44" s="6">
        <v>0.94</v>
      </c>
      <c r="H44" s="6">
        <v>0.81</v>
      </c>
      <c r="I44" s="7">
        <v>0.87</v>
      </c>
      <c r="J44" s="8" t="s">
        <v>387</v>
      </c>
      <c r="K44" s="9"/>
      <c r="L44" s="9"/>
    </row>
    <row r="45" spans="1:12" ht="15" customHeight="1" x14ac:dyDescent="0.3">
      <c r="A45" s="1" t="s">
        <v>51</v>
      </c>
      <c r="B45" s="4" t="s">
        <v>390</v>
      </c>
      <c r="C45" s="5">
        <v>0.19</v>
      </c>
      <c r="D45" s="5">
        <v>0.77</v>
      </c>
      <c r="E45" s="6">
        <v>1.1200000000000001</v>
      </c>
      <c r="F45" s="6">
        <v>1.04</v>
      </c>
      <c r="G45" s="6">
        <v>0.95</v>
      </c>
      <c r="H45" s="6">
        <v>0.81</v>
      </c>
      <c r="I45" s="7">
        <v>0.97</v>
      </c>
      <c r="J45" s="8" t="s">
        <v>387</v>
      </c>
      <c r="K45" s="9"/>
      <c r="L45" s="9"/>
    </row>
    <row r="46" spans="1:12" ht="15" customHeight="1" x14ac:dyDescent="0.3">
      <c r="A46" s="1" t="s">
        <v>52</v>
      </c>
      <c r="B46" s="4" t="s">
        <v>391</v>
      </c>
      <c r="C46" s="5">
        <v>0.48</v>
      </c>
      <c r="D46" s="5">
        <v>0.88</v>
      </c>
      <c r="E46" s="6">
        <v>0.86</v>
      </c>
      <c r="F46" s="6">
        <v>0.83</v>
      </c>
      <c r="G46" s="6">
        <v>0.94</v>
      </c>
      <c r="H46" s="6">
        <v>0.84</v>
      </c>
      <c r="I46" s="7">
        <v>0.88</v>
      </c>
      <c r="J46" s="8" t="s">
        <v>387</v>
      </c>
      <c r="K46" s="9"/>
      <c r="L46" s="9"/>
    </row>
    <row r="47" spans="1:12" ht="15" customHeight="1" x14ac:dyDescent="0.3">
      <c r="A47" s="1" t="s">
        <v>5</v>
      </c>
      <c r="B47" s="4" t="s">
        <v>392</v>
      </c>
      <c r="C47" s="5">
        <v>0.05</v>
      </c>
      <c r="D47" s="5">
        <v>0.3</v>
      </c>
      <c r="E47" s="6">
        <v>0.75</v>
      </c>
      <c r="F47" s="6">
        <v>0.95</v>
      </c>
      <c r="G47" s="6">
        <v>0.95</v>
      </c>
      <c r="H47" s="6">
        <v>0.82</v>
      </c>
      <c r="I47" s="7">
        <v>0.74</v>
      </c>
      <c r="J47" s="8" t="s">
        <v>387</v>
      </c>
      <c r="K47" s="9"/>
      <c r="L47" s="9"/>
    </row>
    <row r="48" spans="1:12" ht="15" customHeight="1" x14ac:dyDescent="0.3">
      <c r="A48" s="1" t="s">
        <v>53</v>
      </c>
      <c r="B48" s="4" t="s">
        <v>393</v>
      </c>
      <c r="C48" s="5">
        <v>0.2</v>
      </c>
      <c r="D48" s="5">
        <v>0.65</v>
      </c>
      <c r="E48" s="6">
        <v>0.98</v>
      </c>
      <c r="F48" s="6">
        <v>0.98</v>
      </c>
      <c r="G48" s="6">
        <v>0.95</v>
      </c>
      <c r="H48" s="6">
        <v>0.85</v>
      </c>
      <c r="I48" s="7">
        <v>0.89</v>
      </c>
      <c r="J48" s="8" t="s">
        <v>387</v>
      </c>
      <c r="K48" s="9"/>
      <c r="L48" s="9"/>
    </row>
    <row r="49" spans="1:12" ht="15" customHeight="1" x14ac:dyDescent="0.3">
      <c r="A49" s="1" t="s">
        <v>54</v>
      </c>
      <c r="B49" s="4" t="s">
        <v>394</v>
      </c>
      <c r="C49" s="5">
        <v>0.55000000000000004</v>
      </c>
      <c r="D49" s="5">
        <v>0.85</v>
      </c>
      <c r="E49" s="6">
        <v>0.95</v>
      </c>
      <c r="F49" s="6">
        <v>1</v>
      </c>
      <c r="G49" s="6">
        <v>1</v>
      </c>
      <c r="H49" s="6">
        <v>0.9</v>
      </c>
      <c r="I49" s="7">
        <v>0.95</v>
      </c>
      <c r="J49" s="8" t="s">
        <v>387</v>
      </c>
      <c r="K49" s="9"/>
      <c r="L49" s="9"/>
    </row>
    <row r="50" spans="1:12" ht="15" customHeight="1" x14ac:dyDescent="0.3">
      <c r="A50" s="1" t="s">
        <v>55</v>
      </c>
      <c r="B50" s="4" t="s">
        <v>395</v>
      </c>
      <c r="C50" s="5">
        <v>0.25</v>
      </c>
      <c r="D50" s="5">
        <v>0.6</v>
      </c>
      <c r="E50" s="6">
        <v>0.9</v>
      </c>
      <c r="F50" s="6">
        <v>0.95</v>
      </c>
      <c r="G50" s="6">
        <v>0.9</v>
      </c>
      <c r="H50" s="6">
        <v>1</v>
      </c>
      <c r="I50" s="7">
        <v>0.84</v>
      </c>
      <c r="J50" s="8" t="s">
        <v>370</v>
      </c>
      <c r="K50" s="9"/>
      <c r="L50" s="9"/>
    </row>
    <row r="51" spans="1:12" ht="15" customHeight="1" x14ac:dyDescent="0.3">
      <c r="A51" s="1" t="s">
        <v>56</v>
      </c>
      <c r="B51" s="4" t="s">
        <v>396</v>
      </c>
      <c r="C51" s="5">
        <v>0.45</v>
      </c>
      <c r="D51" s="5">
        <v>0.8</v>
      </c>
      <c r="E51" s="6">
        <v>0.95</v>
      </c>
      <c r="F51" s="6">
        <v>0.8</v>
      </c>
      <c r="G51" s="6">
        <v>0.95</v>
      </c>
      <c r="H51" s="6">
        <v>0.95</v>
      </c>
      <c r="I51" s="7">
        <v>0.88</v>
      </c>
      <c r="J51" s="8" t="s">
        <v>387</v>
      </c>
      <c r="K51" s="9"/>
      <c r="L51" s="9"/>
    </row>
    <row r="52" spans="1:12" ht="15" customHeight="1" x14ac:dyDescent="0.3">
      <c r="A52" s="1" t="s">
        <v>57</v>
      </c>
      <c r="B52" s="4" t="s">
        <v>397</v>
      </c>
      <c r="C52" s="5">
        <v>0.45</v>
      </c>
      <c r="D52" s="5">
        <v>0.85</v>
      </c>
      <c r="E52" s="6">
        <v>0.95</v>
      </c>
      <c r="F52" s="6">
        <v>0.86</v>
      </c>
      <c r="G52" s="6">
        <v>0.95</v>
      </c>
      <c r="H52" s="6">
        <v>0.96</v>
      </c>
      <c r="I52" s="7">
        <v>0.9</v>
      </c>
      <c r="J52" s="8" t="s">
        <v>387</v>
      </c>
      <c r="K52" s="9"/>
      <c r="L52" s="9"/>
    </row>
    <row r="53" spans="1:12" ht="15" customHeight="1" x14ac:dyDescent="0.3">
      <c r="A53" s="1" t="s">
        <v>58</v>
      </c>
      <c r="B53" s="4" t="s">
        <v>398</v>
      </c>
      <c r="C53" s="5">
        <v>0.45</v>
      </c>
      <c r="D53" s="5">
        <v>0.8</v>
      </c>
      <c r="E53" s="6">
        <v>0.94</v>
      </c>
      <c r="F53" s="6">
        <v>0.8</v>
      </c>
      <c r="G53" s="6">
        <v>0.93</v>
      </c>
      <c r="H53" s="6">
        <v>0.98</v>
      </c>
      <c r="I53" s="7">
        <v>0.87</v>
      </c>
      <c r="J53" s="8" t="s">
        <v>387</v>
      </c>
      <c r="K53" s="9"/>
      <c r="L53" s="9"/>
    </row>
    <row r="54" spans="1:12" ht="15" customHeight="1" x14ac:dyDescent="0.3">
      <c r="A54" s="1" t="s">
        <v>59</v>
      </c>
      <c r="B54" s="4" t="s">
        <v>399</v>
      </c>
      <c r="C54" s="5">
        <v>0.35</v>
      </c>
      <c r="D54" s="5">
        <v>0.8</v>
      </c>
      <c r="E54" s="6">
        <v>0.9</v>
      </c>
      <c r="F54" s="6">
        <v>0.86</v>
      </c>
      <c r="G54" s="6">
        <v>0.94</v>
      </c>
      <c r="H54" s="6">
        <v>0.9</v>
      </c>
      <c r="I54" s="7">
        <v>0.88</v>
      </c>
      <c r="J54" s="8" t="s">
        <v>387</v>
      </c>
      <c r="K54" s="9"/>
      <c r="L54" s="9"/>
    </row>
    <row r="55" spans="1:12" ht="15" customHeight="1" x14ac:dyDescent="0.3">
      <c r="A55" s="1" t="s">
        <v>60</v>
      </c>
      <c r="B55" s="4" t="s">
        <v>400</v>
      </c>
      <c r="C55" s="5">
        <v>0.65</v>
      </c>
      <c r="D55" s="5">
        <v>0.65</v>
      </c>
      <c r="E55" s="6">
        <v>0.7</v>
      </c>
      <c r="F55" s="6">
        <v>0.9</v>
      </c>
      <c r="G55" s="6">
        <v>0.95</v>
      </c>
      <c r="H55" s="6">
        <v>0.81</v>
      </c>
      <c r="I55" s="7">
        <v>0.8</v>
      </c>
      <c r="J55" s="8" t="s">
        <v>387</v>
      </c>
      <c r="K55" s="9"/>
      <c r="L55" s="9"/>
    </row>
    <row r="56" spans="1:12" ht="15" customHeight="1" x14ac:dyDescent="0.3">
      <c r="A56" s="1" t="s">
        <v>61</v>
      </c>
      <c r="B56" s="4" t="s">
        <v>401</v>
      </c>
      <c r="C56" s="5">
        <v>0.3</v>
      </c>
      <c r="D56" s="5">
        <v>0.75</v>
      </c>
      <c r="E56" s="6">
        <v>0.85</v>
      </c>
      <c r="F56" s="6">
        <v>0.7</v>
      </c>
      <c r="G56" s="6">
        <v>0.6</v>
      </c>
      <c r="H56" s="6">
        <v>0.55000000000000004</v>
      </c>
      <c r="I56" s="7">
        <v>0.73</v>
      </c>
      <c r="J56" s="8" t="s">
        <v>387</v>
      </c>
      <c r="K56" s="9"/>
      <c r="L56" s="9"/>
    </row>
    <row r="57" spans="1:12" ht="15" customHeight="1" x14ac:dyDescent="0.3">
      <c r="A57" s="1" t="s">
        <v>62</v>
      </c>
      <c r="B57" s="4" t="s">
        <v>402</v>
      </c>
      <c r="C57" s="5">
        <v>0.5</v>
      </c>
      <c r="D57" s="5">
        <v>0.75</v>
      </c>
      <c r="E57" s="6">
        <v>0.85</v>
      </c>
      <c r="F57" s="6">
        <v>0.85</v>
      </c>
      <c r="G57" s="6">
        <v>0.7</v>
      </c>
      <c r="H57" s="6">
        <v>0.55000000000000004</v>
      </c>
      <c r="I57" s="7">
        <v>0.79</v>
      </c>
      <c r="J57" s="8" t="s">
        <v>387</v>
      </c>
      <c r="K57" s="9"/>
      <c r="L57" s="9"/>
    </row>
    <row r="58" spans="1:12" ht="15" customHeight="1" x14ac:dyDescent="0.3">
      <c r="A58" s="1" t="s">
        <v>63</v>
      </c>
      <c r="B58" s="4" t="s">
        <v>403</v>
      </c>
      <c r="C58" s="5">
        <v>0.36</v>
      </c>
      <c r="D58" s="5">
        <v>0.23</v>
      </c>
      <c r="E58" s="6">
        <v>0.42</v>
      </c>
      <c r="F58" s="6">
        <v>0.59</v>
      </c>
      <c r="G58" s="6">
        <v>0.41</v>
      </c>
      <c r="H58" s="6">
        <v>0.23</v>
      </c>
      <c r="I58" s="7">
        <v>0.41</v>
      </c>
      <c r="J58" s="8" t="s">
        <v>404</v>
      </c>
      <c r="K58" s="9"/>
      <c r="L58" s="9"/>
    </row>
    <row r="59" spans="1:12" ht="15" customHeight="1" x14ac:dyDescent="0.3">
      <c r="A59" s="1" t="s">
        <v>64</v>
      </c>
      <c r="B59" s="4" t="s">
        <v>405</v>
      </c>
      <c r="C59" s="5">
        <v>0.38</v>
      </c>
      <c r="D59" s="5">
        <v>0.49</v>
      </c>
      <c r="E59" s="6">
        <v>0.67</v>
      </c>
      <c r="F59" s="6">
        <v>0.57999999999999996</v>
      </c>
      <c r="G59" s="6">
        <v>0.28000000000000003</v>
      </c>
      <c r="H59" s="6">
        <v>0.16</v>
      </c>
      <c r="I59" s="7">
        <v>0.51</v>
      </c>
      <c r="J59" s="8" t="s">
        <v>404</v>
      </c>
      <c r="K59" s="9"/>
      <c r="L59" s="9"/>
    </row>
    <row r="60" spans="1:12" ht="15" customHeight="1" x14ac:dyDescent="0.3">
      <c r="A60" s="1" t="s">
        <v>65</v>
      </c>
      <c r="B60" s="4" t="s">
        <v>406</v>
      </c>
      <c r="C60" s="5">
        <v>0.57999999999999996</v>
      </c>
      <c r="D60" s="5">
        <v>0.68</v>
      </c>
      <c r="E60" s="6">
        <v>0.68</v>
      </c>
      <c r="F60" s="6">
        <v>0.64</v>
      </c>
      <c r="G60" s="6">
        <v>0.55000000000000004</v>
      </c>
      <c r="H60" s="6">
        <v>0.43</v>
      </c>
      <c r="I60" s="7">
        <v>0.64</v>
      </c>
      <c r="J60" s="8" t="s">
        <v>404</v>
      </c>
      <c r="K60" s="9"/>
      <c r="L60" s="9"/>
    </row>
    <row r="61" spans="1:12" ht="15" customHeight="1" x14ac:dyDescent="0.3">
      <c r="A61" s="1" t="s">
        <v>66</v>
      </c>
      <c r="B61" s="4" t="s">
        <v>407</v>
      </c>
      <c r="C61" s="5">
        <v>0.31</v>
      </c>
      <c r="D61" s="5">
        <v>0.21</v>
      </c>
      <c r="E61" s="6">
        <v>0.2</v>
      </c>
      <c r="F61" s="6">
        <v>0.67</v>
      </c>
      <c r="G61" s="6">
        <v>0.41</v>
      </c>
      <c r="H61" s="6">
        <v>0.22</v>
      </c>
      <c r="I61" s="7">
        <v>0.37</v>
      </c>
      <c r="J61" s="8" t="s">
        <v>404</v>
      </c>
      <c r="K61" s="9"/>
      <c r="L61" s="9"/>
    </row>
    <row r="62" spans="1:12" ht="15" customHeight="1" x14ac:dyDescent="0.3">
      <c r="A62" s="1" t="s">
        <v>67</v>
      </c>
      <c r="B62" s="4" t="s">
        <v>408</v>
      </c>
      <c r="C62" s="5">
        <v>0.46</v>
      </c>
      <c r="D62" s="5">
        <v>0.76</v>
      </c>
      <c r="E62" s="6">
        <v>0.93</v>
      </c>
      <c r="F62" s="6">
        <v>0.85</v>
      </c>
      <c r="G62" s="6">
        <v>0.95</v>
      </c>
      <c r="H62" s="6">
        <v>0.97</v>
      </c>
      <c r="I62" s="7">
        <v>0.87</v>
      </c>
      <c r="J62" s="8" t="s">
        <v>409</v>
      </c>
      <c r="K62" s="9"/>
      <c r="L62" s="9"/>
    </row>
    <row r="63" spans="1:12" ht="15" customHeight="1" x14ac:dyDescent="0.3">
      <c r="A63" s="1" t="s">
        <v>68</v>
      </c>
      <c r="B63" s="11"/>
      <c r="C63" s="11"/>
      <c r="D63" s="11"/>
      <c r="E63" s="11"/>
      <c r="F63" s="11"/>
      <c r="G63" s="11"/>
      <c r="H63" s="11"/>
      <c r="I63" s="11"/>
      <c r="J63" s="11"/>
      <c r="K63" s="9"/>
      <c r="L63" s="9"/>
    </row>
    <row r="64" spans="1:12" ht="15" customHeight="1" x14ac:dyDescent="0.3">
      <c r="A64" s="1" t="s">
        <v>69</v>
      </c>
      <c r="B64" s="29" t="s">
        <v>410</v>
      </c>
      <c r="C64" s="11"/>
      <c r="D64" s="11"/>
      <c r="E64" s="11"/>
      <c r="F64" s="11"/>
      <c r="G64" s="11"/>
      <c r="H64" s="11"/>
      <c r="I64" s="11"/>
      <c r="J64" s="11"/>
      <c r="K64" s="9"/>
      <c r="L64" s="9"/>
    </row>
    <row r="65" spans="1:12" ht="15" customHeight="1" x14ac:dyDescent="0.3">
      <c r="A65" s="1" t="s">
        <v>70</v>
      </c>
      <c r="B65" s="4" t="s">
        <v>411</v>
      </c>
      <c r="C65" s="5">
        <v>0.62</v>
      </c>
      <c r="D65" s="5">
        <v>0.53</v>
      </c>
      <c r="E65" s="6">
        <v>0.31</v>
      </c>
      <c r="F65" s="6">
        <v>0.33</v>
      </c>
      <c r="G65" s="6">
        <v>0.23</v>
      </c>
      <c r="H65" s="6">
        <v>0.18</v>
      </c>
      <c r="I65" s="7">
        <v>0.35</v>
      </c>
      <c r="J65" s="8" t="s">
        <v>359</v>
      </c>
      <c r="K65" s="9"/>
      <c r="L65" s="9"/>
    </row>
    <row r="66" spans="1:12" ht="15" customHeight="1" x14ac:dyDescent="0.3">
      <c r="A66" s="1" t="s">
        <v>71</v>
      </c>
      <c r="B66" s="4" t="s">
        <v>412</v>
      </c>
      <c r="C66" s="5">
        <v>0.52</v>
      </c>
      <c r="D66" s="5">
        <v>0.68</v>
      </c>
      <c r="E66" s="6">
        <v>0.48</v>
      </c>
      <c r="F66" s="6">
        <v>0.52</v>
      </c>
      <c r="G66" s="6">
        <v>0.53</v>
      </c>
      <c r="H66" s="6">
        <v>0.42</v>
      </c>
      <c r="I66" s="7">
        <v>0.55000000000000004</v>
      </c>
      <c r="J66" s="8" t="s">
        <v>359</v>
      </c>
      <c r="K66" s="9"/>
      <c r="L66" s="9"/>
    </row>
    <row r="67" spans="1:12" ht="15" customHeight="1" x14ac:dyDescent="0.3">
      <c r="A67" s="1" t="s">
        <v>72</v>
      </c>
      <c r="B67" s="4" t="s">
        <v>413</v>
      </c>
      <c r="C67" s="5">
        <v>0.31</v>
      </c>
      <c r="D67" s="5">
        <v>0.31</v>
      </c>
      <c r="E67" s="6">
        <v>0.35</v>
      </c>
      <c r="F67" s="6">
        <v>0.51</v>
      </c>
      <c r="G67" s="6">
        <v>0.51</v>
      </c>
      <c r="H67" s="6">
        <v>0.61</v>
      </c>
      <c r="I67" s="7">
        <v>0.42</v>
      </c>
      <c r="J67" s="8" t="s">
        <v>359</v>
      </c>
      <c r="K67" s="9"/>
      <c r="L67" s="9"/>
    </row>
    <row r="68" spans="1:12" ht="15" customHeight="1" x14ac:dyDescent="0.3">
      <c r="A68" s="1" t="s">
        <v>73</v>
      </c>
      <c r="B68" s="4" t="s">
        <v>414</v>
      </c>
      <c r="C68" s="5">
        <v>0.24</v>
      </c>
      <c r="D68" s="5">
        <v>0.45</v>
      </c>
      <c r="E68" s="6">
        <v>0.56000000000000005</v>
      </c>
      <c r="F68" s="6">
        <v>0.76</v>
      </c>
      <c r="G68" s="6">
        <v>0.67</v>
      </c>
      <c r="H68" s="6">
        <v>0.44</v>
      </c>
      <c r="I68" s="7">
        <v>0.61</v>
      </c>
      <c r="J68" s="8" t="s">
        <v>415</v>
      </c>
      <c r="K68" s="9"/>
      <c r="L68" s="9"/>
    </row>
    <row r="69" spans="1:12" ht="15" customHeight="1" x14ac:dyDescent="0.3">
      <c r="A69" s="1" t="s">
        <v>74</v>
      </c>
      <c r="B69" s="4" t="s">
        <v>416</v>
      </c>
      <c r="C69" s="5">
        <v>0.47</v>
      </c>
      <c r="D69" s="5">
        <v>0.73</v>
      </c>
      <c r="E69" s="6">
        <v>0.55000000000000004</v>
      </c>
      <c r="F69" s="6">
        <v>0.51</v>
      </c>
      <c r="G69" s="6">
        <v>0.33</v>
      </c>
      <c r="H69" s="6">
        <v>0.26</v>
      </c>
      <c r="I69" s="7">
        <v>0.53</v>
      </c>
      <c r="J69" s="8" t="s">
        <v>359</v>
      </c>
      <c r="K69" s="9"/>
      <c r="L69" s="9"/>
    </row>
    <row r="70" spans="1:12" ht="15" customHeight="1" x14ac:dyDescent="0.3">
      <c r="A70" s="1" t="s">
        <v>75</v>
      </c>
      <c r="B70" s="4" t="s">
        <v>417</v>
      </c>
      <c r="C70" s="5">
        <v>0.31</v>
      </c>
      <c r="D70" s="5">
        <v>0.25</v>
      </c>
      <c r="E70" s="6">
        <v>0.49</v>
      </c>
      <c r="F70" s="6">
        <v>0.9</v>
      </c>
      <c r="G70" s="6">
        <v>0.5</v>
      </c>
      <c r="H70" s="6">
        <v>0.22</v>
      </c>
      <c r="I70" s="7">
        <v>0.54</v>
      </c>
      <c r="J70" s="8" t="s">
        <v>359</v>
      </c>
      <c r="K70" s="9"/>
      <c r="L70" s="9"/>
    </row>
    <row r="71" spans="1:12" ht="15" customHeight="1" x14ac:dyDescent="0.3">
      <c r="A71" s="1" t="s">
        <v>76</v>
      </c>
      <c r="B71" s="4" t="s">
        <v>418</v>
      </c>
      <c r="C71" s="5">
        <v>0.37</v>
      </c>
      <c r="D71" s="5">
        <v>0.59</v>
      </c>
      <c r="E71" s="6">
        <v>0.61</v>
      </c>
      <c r="F71" s="6">
        <v>0.82</v>
      </c>
      <c r="G71" s="6">
        <v>0.37</v>
      </c>
      <c r="H71" s="6">
        <v>0.21</v>
      </c>
      <c r="I71" s="7">
        <v>0.6</v>
      </c>
      <c r="J71" s="8" t="s">
        <v>359</v>
      </c>
      <c r="K71" s="9"/>
      <c r="L71" s="9"/>
    </row>
    <row r="72" spans="1:12" ht="15" customHeight="1" x14ac:dyDescent="0.3">
      <c r="A72" s="1" t="s">
        <v>77</v>
      </c>
      <c r="B72" s="11"/>
      <c r="C72" s="11"/>
      <c r="D72" s="11"/>
      <c r="E72" s="11"/>
      <c r="F72" s="11"/>
      <c r="G72" s="11"/>
      <c r="H72" s="11"/>
      <c r="I72" s="11"/>
      <c r="J72" s="11"/>
      <c r="K72" s="9"/>
      <c r="L72" s="9"/>
    </row>
    <row r="73" spans="1:12" ht="15" customHeight="1" x14ac:dyDescent="0.3">
      <c r="A73" s="1" t="s">
        <v>78</v>
      </c>
      <c r="B73" s="29" t="s">
        <v>419</v>
      </c>
      <c r="C73" s="11"/>
      <c r="D73" s="11"/>
      <c r="E73" s="11"/>
      <c r="F73" s="11"/>
      <c r="G73" s="11"/>
      <c r="H73" s="11"/>
      <c r="I73" s="11"/>
      <c r="J73" s="11"/>
      <c r="K73" s="9"/>
      <c r="L73" s="9"/>
    </row>
    <row r="74" spans="1:12" ht="15" customHeight="1" x14ac:dyDescent="0.3">
      <c r="A74" s="1" t="s">
        <v>79</v>
      </c>
      <c r="B74" s="4" t="s">
        <v>420</v>
      </c>
      <c r="C74" s="5">
        <v>0.38</v>
      </c>
      <c r="D74" s="5">
        <v>0.43</v>
      </c>
      <c r="E74" s="6">
        <v>0.48</v>
      </c>
      <c r="F74" s="6">
        <v>0.64</v>
      </c>
      <c r="G74" s="6">
        <v>0.76</v>
      </c>
      <c r="H74" s="6">
        <v>0.7</v>
      </c>
      <c r="I74" s="7">
        <v>0.57999999999999996</v>
      </c>
      <c r="J74" s="8" t="s">
        <v>421</v>
      </c>
      <c r="K74" s="9"/>
      <c r="L74" s="9"/>
    </row>
    <row r="75" spans="1:12" ht="15" customHeight="1" x14ac:dyDescent="0.3">
      <c r="A75" s="1" t="s">
        <v>80</v>
      </c>
      <c r="B75" s="4" t="s">
        <v>422</v>
      </c>
      <c r="C75" s="5">
        <v>0.64</v>
      </c>
      <c r="D75" s="5">
        <v>0.59</v>
      </c>
      <c r="E75" s="6">
        <v>0.69</v>
      </c>
      <c r="F75" s="6">
        <v>0.74</v>
      </c>
      <c r="G75" s="6">
        <v>0.88</v>
      </c>
      <c r="H75" s="6">
        <v>0.89</v>
      </c>
      <c r="I75" s="7">
        <v>0.72</v>
      </c>
      <c r="J75" s="8" t="s">
        <v>421</v>
      </c>
      <c r="K75" s="9"/>
      <c r="L75" s="9"/>
    </row>
    <row r="76" spans="1:12" ht="15" customHeight="1" x14ac:dyDescent="0.3">
      <c r="A76" s="1" t="s">
        <v>81</v>
      </c>
      <c r="B76" s="4" t="s">
        <v>423</v>
      </c>
      <c r="C76" s="5">
        <v>0.35</v>
      </c>
      <c r="D76" s="5">
        <v>0.32</v>
      </c>
      <c r="E76" s="6">
        <v>0.35</v>
      </c>
      <c r="F76" s="6">
        <v>0.45</v>
      </c>
      <c r="G76" s="6">
        <v>0.45</v>
      </c>
      <c r="H76" s="6">
        <v>0.42</v>
      </c>
      <c r="I76" s="7">
        <v>0.39</v>
      </c>
      <c r="J76" s="8" t="s">
        <v>421</v>
      </c>
      <c r="K76" s="9"/>
      <c r="L76" s="9"/>
    </row>
    <row r="77" spans="1:12" ht="15" customHeight="1" x14ac:dyDescent="0.3">
      <c r="A77" s="1" t="s">
        <v>82</v>
      </c>
      <c r="B77" s="11"/>
      <c r="C77" s="11"/>
      <c r="D77" s="11"/>
      <c r="E77" s="11"/>
      <c r="F77" s="11"/>
      <c r="G77" s="11"/>
      <c r="H77" s="11"/>
      <c r="I77" s="11"/>
      <c r="J77" s="11"/>
      <c r="K77" s="9"/>
      <c r="L77" s="9"/>
    </row>
    <row r="78" spans="1:12" ht="15" customHeight="1" x14ac:dyDescent="0.3">
      <c r="A78" s="1" t="s">
        <v>83</v>
      </c>
      <c r="B78" s="4" t="s">
        <v>424</v>
      </c>
      <c r="C78" s="5">
        <v>0.4</v>
      </c>
      <c r="D78" s="5">
        <v>0.91</v>
      </c>
      <c r="E78" s="6">
        <v>0.76</v>
      </c>
      <c r="F78" s="6">
        <v>0.86</v>
      </c>
      <c r="G78" s="6">
        <v>0.86</v>
      </c>
      <c r="H78" s="6">
        <v>0.9</v>
      </c>
      <c r="I78" s="7">
        <v>0.85</v>
      </c>
      <c r="J78" s="8" t="s">
        <v>425</v>
      </c>
      <c r="K78" s="9"/>
      <c r="L78" s="9"/>
    </row>
    <row r="79" spans="1:12" ht="15" customHeight="1" x14ac:dyDescent="0.3">
      <c r="A79" s="1" t="s">
        <v>84</v>
      </c>
      <c r="B79" s="4" t="s">
        <v>426</v>
      </c>
      <c r="C79" s="5">
        <v>0.3</v>
      </c>
      <c r="D79" s="5">
        <v>0.7</v>
      </c>
      <c r="E79" s="6">
        <v>0.75</v>
      </c>
      <c r="F79" s="6">
        <v>0.88</v>
      </c>
      <c r="G79" s="6">
        <v>0.95</v>
      </c>
      <c r="H79" s="6">
        <v>1</v>
      </c>
      <c r="I79" s="7">
        <v>0.82</v>
      </c>
      <c r="J79" s="8" t="s">
        <v>425</v>
      </c>
      <c r="K79" s="9"/>
      <c r="L79" s="9"/>
    </row>
    <row r="80" spans="1:12" ht="15" customHeight="1" x14ac:dyDescent="0.3">
      <c r="A80" s="1" t="s">
        <v>85</v>
      </c>
      <c r="B80" s="4" t="s">
        <v>427</v>
      </c>
      <c r="C80" s="5">
        <v>0.25</v>
      </c>
      <c r="D80" s="5">
        <v>0.8</v>
      </c>
      <c r="E80" s="6">
        <v>0.8</v>
      </c>
      <c r="F80" s="6">
        <v>0.9</v>
      </c>
      <c r="G80" s="6">
        <v>0.9</v>
      </c>
      <c r="H80" s="6">
        <v>1</v>
      </c>
      <c r="I80" s="7">
        <v>0.85</v>
      </c>
      <c r="J80" s="8" t="s">
        <v>425</v>
      </c>
      <c r="K80" s="9"/>
      <c r="L80" s="9"/>
    </row>
    <row r="81" spans="1:12" ht="15" customHeight="1" x14ac:dyDescent="0.3">
      <c r="A81" s="1" t="s">
        <v>86</v>
      </c>
      <c r="B81" s="4" t="s">
        <v>428</v>
      </c>
      <c r="C81" s="5">
        <v>0.4</v>
      </c>
      <c r="D81" s="5">
        <v>0.75</v>
      </c>
      <c r="E81" s="6">
        <v>0.67</v>
      </c>
      <c r="F81" s="6">
        <v>0.75</v>
      </c>
      <c r="G81" s="6">
        <v>0.72</v>
      </c>
      <c r="H81" s="6">
        <v>0.62</v>
      </c>
      <c r="I81" s="7">
        <v>0.72</v>
      </c>
      <c r="J81" s="8" t="s">
        <v>425</v>
      </c>
      <c r="K81" s="9"/>
      <c r="L81" s="9"/>
    </row>
    <row r="82" spans="1:12" ht="15" customHeight="1" x14ac:dyDescent="0.3">
      <c r="A82" s="1" t="s">
        <v>87</v>
      </c>
      <c r="B82" s="11"/>
      <c r="C82" s="11"/>
      <c r="D82" s="11"/>
      <c r="E82" s="11"/>
      <c r="F82" s="11"/>
      <c r="G82" s="11"/>
      <c r="H82" s="11"/>
      <c r="I82" s="11"/>
      <c r="J82" s="11"/>
      <c r="K82" s="9"/>
      <c r="L82" s="9"/>
    </row>
    <row r="83" spans="1:12" ht="15" customHeight="1" x14ac:dyDescent="0.3">
      <c r="A83" s="1" t="s">
        <v>88</v>
      </c>
      <c r="B83" s="4" t="s">
        <v>429</v>
      </c>
      <c r="C83" s="5">
        <v>0.43</v>
      </c>
      <c r="D83" s="5">
        <v>0.66</v>
      </c>
      <c r="E83" s="6">
        <v>0.67</v>
      </c>
      <c r="F83" s="6">
        <v>0.77</v>
      </c>
      <c r="G83" s="6">
        <v>0.91</v>
      </c>
      <c r="H83" s="6">
        <v>0.9</v>
      </c>
      <c r="I83" s="7">
        <v>0.75</v>
      </c>
      <c r="J83" s="8" t="s">
        <v>430</v>
      </c>
      <c r="K83" s="9"/>
      <c r="L83" s="9"/>
    </row>
    <row r="84" spans="1:12" ht="15" customHeight="1" x14ac:dyDescent="0.3">
      <c r="A84" s="1" t="s">
        <v>89</v>
      </c>
      <c r="B84" s="4" t="s">
        <v>431</v>
      </c>
      <c r="C84" s="5">
        <v>0.44</v>
      </c>
      <c r="D84" s="5">
        <v>0.55000000000000004</v>
      </c>
      <c r="E84" s="6">
        <v>0.61</v>
      </c>
      <c r="F84" s="6">
        <v>0.72</v>
      </c>
      <c r="G84" s="6">
        <v>0.87</v>
      </c>
      <c r="H84" s="6">
        <v>0.86</v>
      </c>
      <c r="I84" s="7">
        <v>0.69</v>
      </c>
      <c r="J84" s="8" t="s">
        <v>430</v>
      </c>
      <c r="K84" s="9"/>
      <c r="L84" s="9"/>
    </row>
    <row r="85" spans="1:12" ht="15" customHeight="1" x14ac:dyDescent="0.3">
      <c r="A85" s="1" t="s">
        <v>90</v>
      </c>
      <c r="B85" s="4" t="s">
        <v>432</v>
      </c>
      <c r="C85" s="5">
        <v>0.23</v>
      </c>
      <c r="D85" s="5">
        <v>0.17</v>
      </c>
      <c r="E85" s="6">
        <v>0.12</v>
      </c>
      <c r="F85" s="6">
        <v>0.16</v>
      </c>
      <c r="G85" s="6">
        <v>0.16</v>
      </c>
      <c r="H85" s="6">
        <v>0.15</v>
      </c>
      <c r="I85" s="7">
        <v>0.15</v>
      </c>
      <c r="J85" s="8" t="s">
        <v>430</v>
      </c>
      <c r="K85" s="9"/>
      <c r="L85" s="9"/>
    </row>
    <row r="86" spans="1:12" ht="15" customHeight="1" x14ac:dyDescent="0.3">
      <c r="A86" s="1" t="s">
        <v>91</v>
      </c>
      <c r="B86" s="11"/>
      <c r="C86" s="11"/>
      <c r="D86" s="11"/>
      <c r="E86" s="11"/>
      <c r="F86" s="11"/>
      <c r="G86" s="11"/>
      <c r="H86" s="11"/>
      <c r="I86" s="11"/>
      <c r="J86" s="11"/>
      <c r="K86" s="9"/>
      <c r="L86" s="9"/>
    </row>
    <row r="87" spans="1:12" ht="15" customHeight="1" x14ac:dyDescent="0.3">
      <c r="A87" s="1" t="s">
        <v>92</v>
      </c>
      <c r="B87" s="4" t="s">
        <v>433</v>
      </c>
      <c r="C87" s="5">
        <v>0.05</v>
      </c>
      <c r="D87" s="5">
        <v>0.23</v>
      </c>
      <c r="E87" s="6">
        <v>0.71</v>
      </c>
      <c r="F87" s="6">
        <v>0.97</v>
      </c>
      <c r="G87" s="6">
        <v>0.86</v>
      </c>
      <c r="H87" s="6">
        <v>0.93</v>
      </c>
      <c r="I87" s="7">
        <v>0.69</v>
      </c>
      <c r="J87" s="8" t="s">
        <v>434</v>
      </c>
      <c r="K87" s="9"/>
      <c r="L87" s="9"/>
    </row>
    <row r="88" spans="1:12" ht="15" customHeight="1" x14ac:dyDescent="0.3">
      <c r="A88" s="1" t="s">
        <v>93</v>
      </c>
      <c r="B88" s="4" t="s">
        <v>435</v>
      </c>
      <c r="C88" s="5">
        <v>0.56000000000000005</v>
      </c>
      <c r="D88" s="5">
        <v>0.68</v>
      </c>
      <c r="E88" s="6">
        <v>0.65</v>
      </c>
      <c r="F88" s="6">
        <v>0.83</v>
      </c>
      <c r="G88" s="6">
        <v>0.98</v>
      </c>
      <c r="H88" s="6">
        <v>1.02</v>
      </c>
      <c r="I88" s="7">
        <v>0.79</v>
      </c>
      <c r="J88" s="8" t="s">
        <v>434</v>
      </c>
      <c r="K88" s="9"/>
      <c r="L88" s="9"/>
    </row>
    <row r="89" spans="1:12" ht="15" customHeight="1" x14ac:dyDescent="0.3">
      <c r="A89" s="1" t="s">
        <v>94</v>
      </c>
      <c r="B89" s="4" t="s">
        <v>436</v>
      </c>
      <c r="C89" s="5">
        <v>0.37</v>
      </c>
      <c r="D89" s="5">
        <v>0.3</v>
      </c>
      <c r="E89" s="6">
        <v>0.49</v>
      </c>
      <c r="F89" s="6">
        <v>0.68</v>
      </c>
      <c r="G89" s="6">
        <v>0.75</v>
      </c>
      <c r="H89" s="6">
        <v>0.81</v>
      </c>
      <c r="I89" s="7">
        <v>0.56000000000000005</v>
      </c>
      <c r="J89" s="8" t="s">
        <v>434</v>
      </c>
      <c r="K89" s="9"/>
      <c r="L89" s="9"/>
    </row>
    <row r="90" spans="1:12" ht="15" customHeight="1" x14ac:dyDescent="0.3">
      <c r="A90" s="1" t="s">
        <v>95</v>
      </c>
      <c r="B90" s="4" t="s">
        <v>437</v>
      </c>
      <c r="C90" s="5">
        <v>0.26</v>
      </c>
      <c r="D90" s="5">
        <v>0.38</v>
      </c>
      <c r="E90" s="6">
        <v>0.69</v>
      </c>
      <c r="F90" s="6">
        <v>0.81</v>
      </c>
      <c r="G90" s="6">
        <v>0.69</v>
      </c>
      <c r="H90" s="6">
        <v>0.52</v>
      </c>
      <c r="I90" s="7">
        <v>0.64</v>
      </c>
      <c r="J90" s="8" t="s">
        <v>434</v>
      </c>
      <c r="K90" s="9"/>
      <c r="L90" s="9"/>
    </row>
    <row r="91" spans="1:12" ht="15" customHeight="1" x14ac:dyDescent="0.3">
      <c r="A91" s="1" t="s">
        <v>96</v>
      </c>
      <c r="B91" s="4" t="s">
        <v>438</v>
      </c>
      <c r="C91" s="5">
        <v>0.43</v>
      </c>
      <c r="D91" s="5">
        <v>0.32</v>
      </c>
      <c r="E91" s="6">
        <v>0.48</v>
      </c>
      <c r="F91" s="6">
        <v>0.65</v>
      </c>
      <c r="G91" s="6">
        <v>0.72</v>
      </c>
      <c r="H91" s="6">
        <v>0.73</v>
      </c>
      <c r="I91" s="7">
        <v>0.54</v>
      </c>
      <c r="J91" s="8" t="s">
        <v>434</v>
      </c>
      <c r="K91" s="9"/>
      <c r="L91" s="9"/>
    </row>
    <row r="92" spans="1:12" ht="15" customHeight="1" x14ac:dyDescent="0.3">
      <c r="A92" s="1" t="s">
        <v>97</v>
      </c>
      <c r="B92" s="4" t="s">
        <v>439</v>
      </c>
      <c r="C92" s="5">
        <v>0.33</v>
      </c>
      <c r="D92" s="5">
        <v>0.3</v>
      </c>
      <c r="E92" s="6">
        <v>0.49</v>
      </c>
      <c r="F92" s="6">
        <v>0.73</v>
      </c>
      <c r="G92" s="6">
        <v>0.66</v>
      </c>
      <c r="H92" s="6">
        <v>0.59</v>
      </c>
      <c r="I92" s="7">
        <v>0.55000000000000004</v>
      </c>
      <c r="J92" s="8" t="s">
        <v>434</v>
      </c>
      <c r="K92" s="9"/>
      <c r="L92" s="9"/>
    </row>
    <row r="93" spans="1:12" ht="15" customHeight="1" x14ac:dyDescent="0.3">
      <c r="A93" s="1" t="s">
        <v>98</v>
      </c>
      <c r="B93" s="4" t="s">
        <v>440</v>
      </c>
      <c r="C93" s="5">
        <v>0.69</v>
      </c>
      <c r="D93" s="5">
        <v>0.76</v>
      </c>
      <c r="E93" s="6">
        <v>0.65</v>
      </c>
      <c r="F93" s="6">
        <v>0.86</v>
      </c>
      <c r="G93" s="6">
        <v>0.83</v>
      </c>
      <c r="H93" s="6">
        <v>0.75</v>
      </c>
      <c r="I93" s="7">
        <v>0.78</v>
      </c>
      <c r="J93" s="8" t="s">
        <v>434</v>
      </c>
      <c r="K93" s="9"/>
      <c r="L93" s="9"/>
    </row>
    <row r="94" spans="1:12" ht="15" customHeight="1" x14ac:dyDescent="0.3">
      <c r="A94" s="1" t="s">
        <v>99</v>
      </c>
      <c r="B94" s="4" t="s">
        <v>441</v>
      </c>
      <c r="C94" s="5">
        <v>0.36</v>
      </c>
      <c r="D94" s="5">
        <v>0.31</v>
      </c>
      <c r="E94" s="6">
        <v>0.66</v>
      </c>
      <c r="F94" s="6">
        <v>0.9</v>
      </c>
      <c r="G94" s="6">
        <v>0.87</v>
      </c>
      <c r="H94" s="6">
        <v>0.81</v>
      </c>
      <c r="I94" s="7">
        <v>0.69</v>
      </c>
      <c r="J94" s="8" t="s">
        <v>434</v>
      </c>
      <c r="K94" s="9"/>
      <c r="L94" s="9"/>
    </row>
    <row r="95" spans="1:12" ht="15" customHeight="1" x14ac:dyDescent="0.3">
      <c r="A95" s="1" t="s">
        <v>100</v>
      </c>
      <c r="B95" s="4" t="s">
        <v>442</v>
      </c>
      <c r="C95" s="5">
        <v>0.69</v>
      </c>
      <c r="D95" s="5">
        <v>0.76</v>
      </c>
      <c r="E95" s="6">
        <v>0.65</v>
      </c>
      <c r="F95" s="6">
        <v>0.86</v>
      </c>
      <c r="G95" s="6">
        <v>0.83</v>
      </c>
      <c r="H95" s="6">
        <v>0.75</v>
      </c>
      <c r="I95" s="7">
        <v>0.78</v>
      </c>
      <c r="J95" s="8" t="s">
        <v>434</v>
      </c>
      <c r="K95" s="9"/>
      <c r="L95" s="9"/>
    </row>
    <row r="96" spans="1:12" ht="15" customHeight="1" x14ac:dyDescent="0.3">
      <c r="A96" s="1" t="s">
        <v>101</v>
      </c>
      <c r="B96" s="4" t="s">
        <v>443</v>
      </c>
      <c r="C96" s="5">
        <v>0.59</v>
      </c>
      <c r="D96" s="5">
        <v>0.73</v>
      </c>
      <c r="E96" s="6">
        <v>0.69</v>
      </c>
      <c r="F96" s="6">
        <v>0.95</v>
      </c>
      <c r="G96" s="6">
        <v>1.01</v>
      </c>
      <c r="H96" s="6">
        <v>1.05</v>
      </c>
      <c r="I96" s="7">
        <v>0.85</v>
      </c>
      <c r="J96" s="8" t="s">
        <v>434</v>
      </c>
      <c r="K96" s="9"/>
      <c r="L96" s="9"/>
    </row>
    <row r="97" spans="1:12" ht="15" customHeight="1" x14ac:dyDescent="0.3">
      <c r="A97" s="1" t="s">
        <v>102</v>
      </c>
      <c r="B97" s="4" t="s">
        <v>444</v>
      </c>
      <c r="C97" s="5">
        <v>0.74</v>
      </c>
      <c r="D97" s="5">
        <v>0.82</v>
      </c>
      <c r="E97" s="6">
        <v>0.82</v>
      </c>
      <c r="F97" s="6">
        <v>1.05</v>
      </c>
      <c r="G97" s="6">
        <v>1.06</v>
      </c>
      <c r="H97" s="6">
        <v>1.0900000000000001</v>
      </c>
      <c r="I97" s="7">
        <v>0.94</v>
      </c>
      <c r="J97" s="8" t="s">
        <v>434</v>
      </c>
      <c r="K97" s="9"/>
      <c r="L97" s="9"/>
    </row>
    <row r="98" spans="1:12" ht="15" customHeight="1" x14ac:dyDescent="0.3">
      <c r="A98" s="1" t="s">
        <v>103</v>
      </c>
      <c r="B98" s="11"/>
      <c r="C98" s="11"/>
      <c r="D98" s="11"/>
      <c r="E98" s="11"/>
      <c r="F98" s="11"/>
      <c r="G98" s="11"/>
      <c r="H98" s="11"/>
      <c r="I98" s="11"/>
      <c r="J98" s="11"/>
      <c r="K98" s="9"/>
      <c r="L98" s="9"/>
    </row>
    <row r="99" spans="1:12" ht="15" customHeight="1" x14ac:dyDescent="0.3">
      <c r="A99" s="1" t="s">
        <v>104</v>
      </c>
      <c r="B99" s="4" t="s">
        <v>445</v>
      </c>
      <c r="C99" s="5">
        <v>0.47</v>
      </c>
      <c r="D99" s="5">
        <v>0.47</v>
      </c>
      <c r="E99" s="6">
        <v>0.53</v>
      </c>
      <c r="F99" s="6">
        <v>0.76</v>
      </c>
      <c r="G99" s="6">
        <v>0.91</v>
      </c>
      <c r="H99" s="6">
        <v>0.98</v>
      </c>
      <c r="I99" s="7">
        <v>0.67</v>
      </c>
      <c r="J99" s="8" t="s">
        <v>446</v>
      </c>
      <c r="K99" s="9"/>
      <c r="L99" s="9"/>
    </row>
    <row r="100" spans="1:12" ht="15" customHeight="1" x14ac:dyDescent="0.3">
      <c r="A100" s="1" t="s">
        <v>105</v>
      </c>
      <c r="B100" s="4" t="s">
        <v>447</v>
      </c>
      <c r="C100" s="5">
        <v>0.37</v>
      </c>
      <c r="D100" s="5">
        <v>0.3</v>
      </c>
      <c r="E100" s="6">
        <v>0.51</v>
      </c>
      <c r="F100" s="6">
        <v>0.69</v>
      </c>
      <c r="G100" s="6">
        <v>0.75</v>
      </c>
      <c r="H100" s="6">
        <v>0.8</v>
      </c>
      <c r="I100" s="7">
        <v>0.56000000000000005</v>
      </c>
      <c r="J100" s="8" t="s">
        <v>446</v>
      </c>
      <c r="K100" s="9"/>
      <c r="L100" s="9"/>
    </row>
    <row r="101" spans="1:12" ht="15" customHeight="1" x14ac:dyDescent="0.3">
      <c r="A101" s="1" t="s">
        <v>106</v>
      </c>
      <c r="B101" s="4" t="s">
        <v>448</v>
      </c>
      <c r="C101" s="5">
        <v>0.4</v>
      </c>
      <c r="D101" s="5">
        <v>0.34</v>
      </c>
      <c r="E101" s="6">
        <v>0.67</v>
      </c>
      <c r="F101" s="6">
        <v>0.93</v>
      </c>
      <c r="G101" s="6">
        <v>0.9</v>
      </c>
      <c r="H101" s="6">
        <v>0.81</v>
      </c>
      <c r="I101" s="7">
        <v>0.71</v>
      </c>
      <c r="J101" s="8" t="s">
        <v>446</v>
      </c>
      <c r="K101" s="9"/>
      <c r="L101" s="9"/>
    </row>
    <row r="102" spans="1:12" ht="15" customHeight="1" x14ac:dyDescent="0.3">
      <c r="A102" s="1" t="s">
        <v>107</v>
      </c>
      <c r="B102" s="4" t="s">
        <v>449</v>
      </c>
      <c r="C102" s="5">
        <v>0.41</v>
      </c>
      <c r="D102" s="5">
        <v>0.3</v>
      </c>
      <c r="E102" s="6">
        <v>0.44</v>
      </c>
      <c r="F102" s="6">
        <v>0.65</v>
      </c>
      <c r="G102" s="6">
        <v>0.79</v>
      </c>
      <c r="H102" s="6">
        <v>0.85</v>
      </c>
      <c r="I102" s="7">
        <v>0.55000000000000004</v>
      </c>
      <c r="J102" s="8" t="s">
        <v>446</v>
      </c>
      <c r="K102" s="9"/>
      <c r="L102" s="9"/>
    </row>
    <row r="103" spans="1:12" ht="15" customHeight="1" x14ac:dyDescent="0.3">
      <c r="A103" s="1" t="s">
        <v>108</v>
      </c>
      <c r="B103" s="4" t="s">
        <v>450</v>
      </c>
      <c r="C103" s="5">
        <v>0.37</v>
      </c>
      <c r="D103" s="5">
        <v>0.36</v>
      </c>
      <c r="E103" s="6">
        <v>0.56999999999999995</v>
      </c>
      <c r="F103" s="6">
        <v>0.79</v>
      </c>
      <c r="G103" s="6">
        <v>0.76</v>
      </c>
      <c r="H103" s="6">
        <v>0.66</v>
      </c>
      <c r="I103" s="7">
        <v>0.62</v>
      </c>
      <c r="J103" s="8" t="s">
        <v>446</v>
      </c>
      <c r="K103" s="9"/>
      <c r="L103" s="9"/>
    </row>
    <row r="104" spans="1:12" ht="15" customHeight="1" x14ac:dyDescent="0.3">
      <c r="A104" s="1" t="s">
        <v>109</v>
      </c>
      <c r="B104" s="4" t="s">
        <v>451</v>
      </c>
      <c r="C104" s="5">
        <v>0.34</v>
      </c>
      <c r="D104" s="5">
        <v>0.32</v>
      </c>
      <c r="E104" s="6">
        <v>0.61</v>
      </c>
      <c r="F104" s="6">
        <v>0.89</v>
      </c>
      <c r="G104" s="6">
        <v>0.95</v>
      </c>
      <c r="H104" s="6">
        <v>0.95</v>
      </c>
      <c r="I104" s="7">
        <v>0.69</v>
      </c>
      <c r="J104" s="8" t="s">
        <v>446</v>
      </c>
      <c r="K104" s="9"/>
      <c r="L104" s="9"/>
    </row>
    <row r="105" spans="1:12" ht="15" customHeight="1" x14ac:dyDescent="0.3">
      <c r="A105" s="1" t="s">
        <v>110</v>
      </c>
      <c r="B105" s="4" t="s">
        <v>452</v>
      </c>
      <c r="C105" s="5">
        <v>0.38</v>
      </c>
      <c r="D105" s="5">
        <v>0.38</v>
      </c>
      <c r="E105" s="6">
        <v>0.57999999999999996</v>
      </c>
      <c r="F105" s="6">
        <v>0.66</v>
      </c>
      <c r="G105" s="6">
        <v>0.53</v>
      </c>
      <c r="H105" s="6">
        <v>0.46</v>
      </c>
      <c r="I105" s="7">
        <v>0.54</v>
      </c>
      <c r="J105" s="8" t="s">
        <v>446</v>
      </c>
      <c r="K105" s="9"/>
      <c r="L105" s="9"/>
    </row>
    <row r="106" spans="1:12" ht="15" customHeight="1" x14ac:dyDescent="0.3">
      <c r="A106" s="1" t="s">
        <v>111</v>
      </c>
      <c r="B106" s="4" t="s">
        <v>453</v>
      </c>
      <c r="C106" s="5">
        <v>0.39</v>
      </c>
      <c r="D106" s="5">
        <v>0.34</v>
      </c>
      <c r="E106" s="6">
        <v>0.57999999999999996</v>
      </c>
      <c r="F106" s="6">
        <v>0.54</v>
      </c>
      <c r="G106" s="6">
        <v>0.44</v>
      </c>
      <c r="H106" s="6">
        <v>0.41</v>
      </c>
      <c r="I106" s="7">
        <v>0.48</v>
      </c>
      <c r="J106" s="8" t="s">
        <v>446</v>
      </c>
      <c r="K106" s="9"/>
      <c r="L106" s="9"/>
    </row>
    <row r="107" spans="1:12" ht="15" customHeight="1" x14ac:dyDescent="0.3">
      <c r="A107" s="1" t="s">
        <v>112</v>
      </c>
      <c r="B107" s="4" t="s">
        <v>454</v>
      </c>
      <c r="C107" s="5">
        <v>0.31</v>
      </c>
      <c r="D107" s="5">
        <v>0.26</v>
      </c>
      <c r="E107" s="6">
        <v>0.39</v>
      </c>
      <c r="F107" s="6">
        <v>0.61</v>
      </c>
      <c r="G107" s="6">
        <v>0.75</v>
      </c>
      <c r="H107" s="6">
        <v>0.71</v>
      </c>
      <c r="I107" s="7">
        <v>0.5</v>
      </c>
      <c r="J107" s="8" t="s">
        <v>446</v>
      </c>
      <c r="K107" s="9"/>
      <c r="L107" s="9"/>
    </row>
    <row r="108" spans="1:12" ht="15" customHeight="1" x14ac:dyDescent="0.3">
      <c r="A108" s="1" t="s">
        <v>113</v>
      </c>
      <c r="B108" s="4" t="s">
        <v>455</v>
      </c>
      <c r="C108" s="5">
        <v>0.3</v>
      </c>
      <c r="D108" s="5">
        <v>0.31</v>
      </c>
      <c r="E108" s="6">
        <v>0.48</v>
      </c>
      <c r="F108" s="6">
        <v>0.75</v>
      </c>
      <c r="G108" s="6">
        <v>0.75</v>
      </c>
      <c r="H108" s="6">
        <v>0.7</v>
      </c>
      <c r="I108" s="7">
        <v>0.56999999999999995</v>
      </c>
      <c r="J108" s="8" t="s">
        <v>446</v>
      </c>
      <c r="K108" s="9"/>
      <c r="L108" s="9"/>
    </row>
    <row r="109" spans="1:12" ht="15" customHeight="1" x14ac:dyDescent="0.3">
      <c r="A109" s="1" t="s">
        <v>114</v>
      </c>
      <c r="B109" s="4" t="s">
        <v>456</v>
      </c>
      <c r="C109" s="5">
        <v>0.37</v>
      </c>
      <c r="D109" s="5">
        <v>0.39</v>
      </c>
      <c r="E109" s="6">
        <v>0.7</v>
      </c>
      <c r="F109" s="6">
        <v>0.84</v>
      </c>
      <c r="G109" s="6">
        <v>0.82</v>
      </c>
      <c r="H109" s="6">
        <v>0.83</v>
      </c>
      <c r="I109" s="7">
        <v>0.69</v>
      </c>
      <c r="J109" s="8" t="s">
        <v>446</v>
      </c>
      <c r="K109" s="9"/>
      <c r="L109" s="9"/>
    </row>
    <row r="110" spans="1:12" ht="15" customHeight="1" x14ac:dyDescent="0.3">
      <c r="A110" s="1" t="s">
        <v>115</v>
      </c>
      <c r="B110" s="4" t="s">
        <v>457</v>
      </c>
      <c r="C110" s="5">
        <v>0.3</v>
      </c>
      <c r="D110" s="5">
        <v>0.27</v>
      </c>
      <c r="E110" s="6">
        <v>0.44</v>
      </c>
      <c r="F110" s="6">
        <v>0.66</v>
      </c>
      <c r="G110" s="6">
        <v>0.83</v>
      </c>
      <c r="H110" s="6">
        <v>0.82</v>
      </c>
      <c r="I110" s="7">
        <v>0.55000000000000004</v>
      </c>
      <c r="J110" s="8" t="s">
        <v>446</v>
      </c>
      <c r="K110" s="9"/>
      <c r="L110" s="9"/>
    </row>
    <row r="111" spans="1:12" ht="15" customHeight="1" x14ac:dyDescent="0.3">
      <c r="A111" s="1" t="s">
        <v>116</v>
      </c>
      <c r="B111" s="4" t="s">
        <v>458</v>
      </c>
      <c r="C111" s="5">
        <v>0.27</v>
      </c>
      <c r="D111" s="5">
        <v>0.28999999999999998</v>
      </c>
      <c r="E111" s="6">
        <v>0.52</v>
      </c>
      <c r="F111" s="6">
        <v>0.78</v>
      </c>
      <c r="G111" s="6">
        <v>0.7</v>
      </c>
      <c r="H111" s="6">
        <v>0.56000000000000005</v>
      </c>
      <c r="I111" s="7">
        <v>0.56999999999999995</v>
      </c>
      <c r="J111" s="8" t="s">
        <v>446</v>
      </c>
      <c r="K111" s="9"/>
      <c r="L111" s="9"/>
    </row>
    <row r="112" spans="1:12" ht="15" customHeight="1" x14ac:dyDescent="0.3">
      <c r="A112" s="1" t="s">
        <v>117</v>
      </c>
      <c r="B112" s="4" t="s">
        <v>459</v>
      </c>
      <c r="C112" s="5">
        <v>0.78</v>
      </c>
      <c r="D112" s="5">
        <v>0.98</v>
      </c>
      <c r="E112" s="6">
        <v>0.76</v>
      </c>
      <c r="F112" s="6">
        <v>0.98</v>
      </c>
      <c r="G112" s="6">
        <v>1.01</v>
      </c>
      <c r="H112" s="6">
        <v>1.03</v>
      </c>
      <c r="I112" s="7">
        <v>0.93</v>
      </c>
      <c r="J112" s="8" t="s">
        <v>446</v>
      </c>
      <c r="K112" s="9"/>
      <c r="L112" s="9"/>
    </row>
    <row r="113" spans="1:12" ht="15" customHeight="1" x14ac:dyDescent="0.3">
      <c r="A113" s="1" t="s">
        <v>118</v>
      </c>
      <c r="B113" s="4" t="s">
        <v>460</v>
      </c>
      <c r="C113" s="5">
        <v>0.72</v>
      </c>
      <c r="D113" s="5">
        <v>0.65</v>
      </c>
      <c r="E113" s="6">
        <v>0.66</v>
      </c>
      <c r="F113" s="6">
        <v>0.73</v>
      </c>
      <c r="G113" s="6">
        <v>0.73</v>
      </c>
      <c r="H113" s="6">
        <v>0.68</v>
      </c>
      <c r="I113" s="7">
        <v>0.69</v>
      </c>
      <c r="J113" s="8" t="s">
        <v>446</v>
      </c>
      <c r="K113" s="9"/>
      <c r="L113" s="9"/>
    </row>
    <row r="114" spans="1:12" ht="15" customHeight="1" x14ac:dyDescent="0.3">
      <c r="A114" s="1" t="s">
        <v>119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9"/>
      <c r="L114" s="9"/>
    </row>
    <row r="115" spans="1:12" ht="15" customHeight="1" x14ac:dyDescent="0.3">
      <c r="A115" s="1" t="s">
        <v>120</v>
      </c>
      <c r="B115" s="4" t="s">
        <v>461</v>
      </c>
      <c r="C115" s="5">
        <v>0.54</v>
      </c>
      <c r="D115" s="5">
        <v>0.42</v>
      </c>
      <c r="E115" s="6">
        <v>0.43</v>
      </c>
      <c r="F115" s="6">
        <v>0.54</v>
      </c>
      <c r="G115" s="6">
        <v>0.7</v>
      </c>
      <c r="H115" s="6">
        <v>0.9</v>
      </c>
      <c r="I115" s="7">
        <v>0.52</v>
      </c>
      <c r="J115" s="8" t="s">
        <v>462</v>
      </c>
      <c r="K115" s="9"/>
      <c r="L115" s="9"/>
    </row>
    <row r="116" spans="1:12" ht="15" customHeight="1" x14ac:dyDescent="0.3">
      <c r="A116" s="1" t="s">
        <v>121</v>
      </c>
      <c r="B116" s="4" t="s">
        <v>463</v>
      </c>
      <c r="C116" s="5">
        <v>0.54</v>
      </c>
      <c r="D116" s="5">
        <v>0.44</v>
      </c>
      <c r="E116" s="6">
        <v>0.45</v>
      </c>
      <c r="F116" s="6">
        <v>0.56999999999999995</v>
      </c>
      <c r="G116" s="6">
        <v>0.75</v>
      </c>
      <c r="H116" s="6">
        <v>0.91</v>
      </c>
      <c r="I116" s="7">
        <v>0.55000000000000004</v>
      </c>
      <c r="J116" s="8" t="s">
        <v>462</v>
      </c>
      <c r="K116" s="9"/>
      <c r="L116" s="9"/>
    </row>
    <row r="117" spans="1:12" ht="15" customHeight="1" x14ac:dyDescent="0.3">
      <c r="A117" s="1" t="s">
        <v>122</v>
      </c>
      <c r="B117" s="4" t="s">
        <v>464</v>
      </c>
      <c r="C117" s="5">
        <v>0.4</v>
      </c>
      <c r="D117" s="5">
        <v>0.35</v>
      </c>
      <c r="E117" s="6">
        <v>0.4</v>
      </c>
      <c r="F117" s="6">
        <v>0.52</v>
      </c>
      <c r="G117" s="6">
        <v>0.65</v>
      </c>
      <c r="H117" s="6">
        <v>0.8</v>
      </c>
      <c r="I117" s="7">
        <v>0.48</v>
      </c>
      <c r="J117" s="8" t="s">
        <v>462</v>
      </c>
      <c r="K117" s="9"/>
      <c r="L117" s="9"/>
    </row>
    <row r="118" spans="1:12" ht="15" customHeight="1" x14ac:dyDescent="0.3">
      <c r="A118" s="1" t="s">
        <v>123</v>
      </c>
      <c r="B118" s="4" t="s">
        <v>465</v>
      </c>
      <c r="C118" s="12"/>
      <c r="D118" s="5">
        <v>0.43</v>
      </c>
      <c r="E118" s="6">
        <v>0.49</v>
      </c>
      <c r="F118" s="6">
        <v>0.63</v>
      </c>
      <c r="G118" s="6">
        <v>0.69</v>
      </c>
      <c r="H118" s="6">
        <v>0.95</v>
      </c>
      <c r="I118" s="7">
        <v>0.56000000000000005</v>
      </c>
      <c r="J118" s="8" t="s">
        <v>462</v>
      </c>
      <c r="K118" s="9"/>
      <c r="L118" s="9"/>
    </row>
    <row r="119" spans="1:12" ht="15" customHeight="1" x14ac:dyDescent="0.3">
      <c r="A119" s="1" t="s">
        <v>124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9"/>
      <c r="L119" s="9"/>
    </row>
    <row r="120" spans="1:12" ht="15" customHeight="1" x14ac:dyDescent="0.3">
      <c r="A120" s="1" t="s">
        <v>125</v>
      </c>
      <c r="B120" s="4" t="s">
        <v>466</v>
      </c>
      <c r="C120" s="12">
        <v>0.34</v>
      </c>
      <c r="D120" s="5">
        <v>0.34</v>
      </c>
      <c r="E120" s="6">
        <v>0.45</v>
      </c>
      <c r="F120" s="6">
        <v>0.68</v>
      </c>
      <c r="G120" s="6">
        <v>0.78</v>
      </c>
      <c r="H120" s="6">
        <v>0.83</v>
      </c>
      <c r="I120" s="7">
        <v>0.56000000000000005</v>
      </c>
      <c r="J120" s="8" t="s">
        <v>467</v>
      </c>
      <c r="K120" s="9"/>
      <c r="L120" s="9"/>
    </row>
    <row r="121" spans="1:12" ht="15" customHeight="1" x14ac:dyDescent="0.3">
      <c r="A121" s="1" t="s">
        <v>126</v>
      </c>
      <c r="B121" s="4" t="s">
        <v>468</v>
      </c>
      <c r="C121" s="12">
        <v>0.28000000000000003</v>
      </c>
      <c r="D121" s="5">
        <v>0.39</v>
      </c>
      <c r="E121" s="6">
        <v>0.54</v>
      </c>
      <c r="F121" s="6">
        <v>0.8</v>
      </c>
      <c r="G121" s="6">
        <v>0.84</v>
      </c>
      <c r="H121" s="6">
        <v>0.94</v>
      </c>
      <c r="I121" s="7">
        <v>0.64</v>
      </c>
      <c r="J121" s="8" t="s">
        <v>467</v>
      </c>
      <c r="K121" s="9"/>
      <c r="L121" s="9"/>
    </row>
    <row r="122" spans="1:12" ht="15" customHeight="1" x14ac:dyDescent="0.3">
      <c r="A122" s="1" t="s">
        <v>127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9"/>
      <c r="L122" s="9"/>
    </row>
    <row r="123" spans="1:12" ht="15" customHeight="1" x14ac:dyDescent="0.3">
      <c r="A123" s="1" t="s">
        <v>128</v>
      </c>
      <c r="B123" s="4" t="s">
        <v>469</v>
      </c>
      <c r="C123" s="12">
        <v>0.03</v>
      </c>
      <c r="D123" s="5">
        <v>0.15</v>
      </c>
      <c r="E123" s="6">
        <v>0.6</v>
      </c>
      <c r="F123" s="6">
        <v>0.75</v>
      </c>
      <c r="G123" s="6">
        <v>0.71</v>
      </c>
      <c r="H123" s="6">
        <v>0.65</v>
      </c>
      <c r="I123" s="7">
        <v>0.55000000000000004</v>
      </c>
      <c r="J123" s="8" t="s">
        <v>470</v>
      </c>
      <c r="K123" s="9"/>
      <c r="L123" s="9"/>
    </row>
    <row r="124" spans="1:12" ht="15" customHeight="1" x14ac:dyDescent="0.3">
      <c r="A124" s="1" t="s">
        <v>129</v>
      </c>
      <c r="B124" s="4" t="s">
        <v>471</v>
      </c>
      <c r="C124" s="12">
        <v>0.09</v>
      </c>
      <c r="D124" s="5">
        <v>0.55000000000000004</v>
      </c>
      <c r="E124" s="6">
        <v>0.53</v>
      </c>
      <c r="F124" s="6">
        <v>0.62</v>
      </c>
      <c r="G124" s="6">
        <v>0.74</v>
      </c>
      <c r="H124" s="6">
        <v>0.67</v>
      </c>
      <c r="I124" s="7">
        <v>0.61</v>
      </c>
      <c r="J124" s="8" t="s">
        <v>470</v>
      </c>
      <c r="K124" s="9"/>
      <c r="L124" s="9"/>
    </row>
    <row r="125" spans="1:12" ht="15" customHeight="1" x14ac:dyDescent="0.3">
      <c r="A125" s="1" t="s">
        <v>130</v>
      </c>
      <c r="B125" s="4" t="s">
        <v>472</v>
      </c>
      <c r="C125" s="12">
        <v>0.2</v>
      </c>
      <c r="D125" s="5">
        <v>0.2</v>
      </c>
      <c r="E125" s="6">
        <v>0.41</v>
      </c>
      <c r="F125" s="6">
        <v>0.66</v>
      </c>
      <c r="G125" s="6">
        <v>0.75</v>
      </c>
      <c r="H125" s="6">
        <v>0.61</v>
      </c>
      <c r="I125" s="7">
        <v>0.51</v>
      </c>
      <c r="J125" s="8" t="s">
        <v>470</v>
      </c>
      <c r="K125" s="9"/>
      <c r="L125" s="9"/>
    </row>
    <row r="126" spans="1:12" ht="15" customHeight="1" x14ac:dyDescent="0.3">
      <c r="A126" s="1" t="s">
        <v>131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9"/>
      <c r="L126" s="9"/>
    </row>
    <row r="127" spans="1:12" ht="15" customHeight="1" x14ac:dyDescent="0.3">
      <c r="A127" s="1" t="s">
        <v>131</v>
      </c>
      <c r="B127" s="29" t="s">
        <v>473</v>
      </c>
      <c r="C127" s="11"/>
      <c r="D127" s="11"/>
      <c r="E127" s="11"/>
      <c r="F127" s="11"/>
      <c r="G127" s="11"/>
      <c r="H127" s="11"/>
      <c r="I127" s="11"/>
      <c r="J127" s="11"/>
      <c r="K127" s="9"/>
      <c r="L127" s="9"/>
    </row>
    <row r="128" spans="1:12" ht="15" customHeight="1" x14ac:dyDescent="0.3">
      <c r="A128" s="1" t="s">
        <v>132</v>
      </c>
      <c r="B128" s="4" t="s">
        <v>474</v>
      </c>
      <c r="C128" s="12">
        <v>0.62</v>
      </c>
      <c r="D128" s="5">
        <v>0.85</v>
      </c>
      <c r="E128" s="6">
        <v>0.88</v>
      </c>
      <c r="F128" s="6">
        <v>0.79</v>
      </c>
      <c r="G128" s="6">
        <v>0.56000000000000005</v>
      </c>
      <c r="H128" s="6">
        <v>0.55000000000000004</v>
      </c>
      <c r="I128" s="7">
        <v>0.77</v>
      </c>
      <c r="J128" s="8" t="s">
        <v>475</v>
      </c>
      <c r="K128" s="9"/>
      <c r="L128" s="9"/>
    </row>
    <row r="129" spans="1:12" ht="15" customHeight="1" x14ac:dyDescent="0.3">
      <c r="A129" s="1" t="s">
        <v>133</v>
      </c>
      <c r="B129" s="4" t="s">
        <v>476</v>
      </c>
      <c r="C129" s="12">
        <v>0.22</v>
      </c>
      <c r="D129" s="5">
        <v>0.69</v>
      </c>
      <c r="E129" s="6">
        <v>0.96</v>
      </c>
      <c r="F129" s="6">
        <v>0.91</v>
      </c>
      <c r="G129" s="6">
        <v>0.96</v>
      </c>
      <c r="H129" s="6">
        <v>0.86</v>
      </c>
      <c r="I129" s="7">
        <v>0.88</v>
      </c>
      <c r="J129" s="8" t="s">
        <v>475</v>
      </c>
      <c r="K129" s="9"/>
      <c r="L129" s="9"/>
    </row>
    <row r="130" spans="1:12" ht="15" customHeight="1" x14ac:dyDescent="0.3">
      <c r="A130" s="1" t="s">
        <v>134</v>
      </c>
      <c r="B130" s="4" t="s">
        <v>477</v>
      </c>
      <c r="C130" s="12">
        <v>0.26</v>
      </c>
      <c r="D130" s="5">
        <v>0.76</v>
      </c>
      <c r="E130" s="6">
        <v>0.96</v>
      </c>
      <c r="F130" s="6">
        <v>0.86</v>
      </c>
      <c r="G130" s="6">
        <v>1.02</v>
      </c>
      <c r="H130" s="6">
        <v>1.01</v>
      </c>
      <c r="I130" s="7">
        <v>0.9</v>
      </c>
      <c r="J130" s="8" t="s">
        <v>475</v>
      </c>
      <c r="K130" s="9"/>
      <c r="L130" s="9"/>
    </row>
    <row r="131" spans="1:12" ht="15" customHeight="1" x14ac:dyDescent="0.3">
      <c r="A131" s="1" t="s">
        <v>135</v>
      </c>
      <c r="B131" s="4" t="s">
        <v>478</v>
      </c>
      <c r="C131" s="12">
        <v>0.37</v>
      </c>
      <c r="D131" s="5">
        <v>0.8</v>
      </c>
      <c r="E131" s="6">
        <v>0.7</v>
      </c>
      <c r="F131" s="6">
        <v>0.77</v>
      </c>
      <c r="G131" s="6">
        <v>0.7</v>
      </c>
      <c r="H131" s="6">
        <v>0.47</v>
      </c>
      <c r="I131" s="7">
        <v>0.74</v>
      </c>
      <c r="J131" s="8" t="s">
        <v>462</v>
      </c>
      <c r="K131" s="9"/>
      <c r="L131" s="9"/>
    </row>
    <row r="132" spans="1:12" ht="15" customHeight="1" x14ac:dyDescent="0.3">
      <c r="A132" s="1" t="s">
        <v>136</v>
      </c>
      <c r="B132" s="4" t="s">
        <v>479</v>
      </c>
      <c r="C132" s="12">
        <v>0.47</v>
      </c>
      <c r="D132" s="5">
        <v>0.8</v>
      </c>
      <c r="E132" s="6">
        <v>0.87</v>
      </c>
      <c r="F132" s="6">
        <v>1.04</v>
      </c>
      <c r="G132" s="6">
        <v>0.95</v>
      </c>
      <c r="H132" s="6">
        <v>0.47</v>
      </c>
      <c r="I132" s="7">
        <v>0.92</v>
      </c>
      <c r="J132" s="8" t="s">
        <v>462</v>
      </c>
      <c r="K132" s="9"/>
      <c r="L132" s="9"/>
    </row>
    <row r="133" spans="1:12" ht="15" customHeight="1" x14ac:dyDescent="0.3">
      <c r="A133" s="1" t="s">
        <v>137</v>
      </c>
      <c r="B133" s="4" t="s">
        <v>480</v>
      </c>
      <c r="C133" s="12">
        <v>0.52</v>
      </c>
      <c r="D133" s="5">
        <v>0.81</v>
      </c>
      <c r="E133" s="6">
        <v>0.88</v>
      </c>
      <c r="F133" s="6">
        <v>0.84</v>
      </c>
      <c r="G133" s="6">
        <v>0.8</v>
      </c>
      <c r="H133" s="6">
        <v>0.64</v>
      </c>
      <c r="I133" s="7">
        <v>0.83</v>
      </c>
      <c r="J133" s="8" t="s">
        <v>481</v>
      </c>
      <c r="K133" s="9"/>
      <c r="L133" s="9"/>
    </row>
    <row r="134" spans="1:12" ht="15" customHeight="1" x14ac:dyDescent="0.3">
      <c r="A134" s="1" t="s">
        <v>138</v>
      </c>
      <c r="B134" s="4" t="s">
        <v>482</v>
      </c>
      <c r="C134" s="12">
        <v>0.41</v>
      </c>
      <c r="D134" s="5">
        <v>0.69</v>
      </c>
      <c r="E134" s="6">
        <v>0.89</v>
      </c>
      <c r="F134" s="6">
        <v>0.86</v>
      </c>
      <c r="G134" s="6">
        <v>0.81</v>
      </c>
      <c r="H134" s="6">
        <v>0.65</v>
      </c>
      <c r="I134" s="7">
        <v>0.81</v>
      </c>
      <c r="J134" s="8" t="s">
        <v>481</v>
      </c>
      <c r="K134" s="9"/>
      <c r="L134" s="9"/>
    </row>
    <row r="135" spans="1:12" ht="15" customHeight="1" x14ac:dyDescent="0.3">
      <c r="A135" s="1" t="s">
        <v>139</v>
      </c>
      <c r="B135" s="4" t="s">
        <v>483</v>
      </c>
      <c r="C135" s="12">
        <v>0.24</v>
      </c>
      <c r="D135" s="5">
        <v>0.53</v>
      </c>
      <c r="E135" s="6">
        <v>0.81</v>
      </c>
      <c r="F135" s="6">
        <v>0.71</v>
      </c>
      <c r="G135" s="6">
        <v>0.77</v>
      </c>
      <c r="H135" s="6">
        <v>0.6</v>
      </c>
      <c r="I135" s="7">
        <v>0.71</v>
      </c>
      <c r="J135" s="8" t="s">
        <v>481</v>
      </c>
      <c r="K135" s="9"/>
      <c r="L135" s="9"/>
    </row>
    <row r="136" spans="1:12" ht="15" customHeight="1" x14ac:dyDescent="0.3">
      <c r="A136" s="1" t="s">
        <v>140</v>
      </c>
      <c r="B136" s="4" t="s">
        <v>484</v>
      </c>
      <c r="C136" s="12">
        <v>0.56999999999999995</v>
      </c>
      <c r="D136" s="5">
        <v>0.93</v>
      </c>
      <c r="E136" s="6">
        <v>0.88</v>
      </c>
      <c r="F136" s="6">
        <v>0.74</v>
      </c>
      <c r="G136" s="6">
        <v>0.56000000000000005</v>
      </c>
      <c r="H136" s="6">
        <v>0.41</v>
      </c>
      <c r="I136" s="7">
        <v>0.78</v>
      </c>
      <c r="J136" s="8" t="s">
        <v>481</v>
      </c>
      <c r="K136" s="9"/>
      <c r="L136" s="9"/>
    </row>
    <row r="137" spans="1:12" ht="15" customHeight="1" x14ac:dyDescent="0.3">
      <c r="A137" s="1" t="s">
        <v>141</v>
      </c>
      <c r="B137" s="4" t="s">
        <v>485</v>
      </c>
      <c r="C137" s="12">
        <v>0.4</v>
      </c>
      <c r="D137" s="5">
        <v>0.8</v>
      </c>
      <c r="E137" s="6">
        <v>0.89</v>
      </c>
      <c r="F137" s="6">
        <v>0.77</v>
      </c>
      <c r="G137" s="6">
        <v>0.57999999999999996</v>
      </c>
      <c r="H137" s="6">
        <v>0.39</v>
      </c>
      <c r="I137" s="7">
        <v>0.76</v>
      </c>
      <c r="J137" s="8" t="s">
        <v>481</v>
      </c>
      <c r="K137" s="9"/>
      <c r="L137" s="9"/>
    </row>
    <row r="138" spans="1:12" ht="15" customHeight="1" x14ac:dyDescent="0.3">
      <c r="A138" s="1" t="s">
        <v>142</v>
      </c>
      <c r="B138" s="4" t="s">
        <v>486</v>
      </c>
      <c r="C138" s="12">
        <v>0.24</v>
      </c>
      <c r="D138" s="5">
        <v>0.65</v>
      </c>
      <c r="E138" s="6">
        <v>0.87</v>
      </c>
      <c r="F138" s="6">
        <v>0.67</v>
      </c>
      <c r="G138" s="6">
        <v>0.62</v>
      </c>
      <c r="H138" s="6">
        <v>0.4</v>
      </c>
      <c r="I138" s="7">
        <v>0.7</v>
      </c>
      <c r="J138" s="8" t="s">
        <v>481</v>
      </c>
      <c r="K138" s="9"/>
      <c r="L138" s="9"/>
    </row>
    <row r="139" spans="1:12" ht="15" customHeight="1" x14ac:dyDescent="0.3">
      <c r="A139" s="1" t="s">
        <v>143</v>
      </c>
      <c r="B139" s="29" t="s">
        <v>487</v>
      </c>
      <c r="C139" s="11"/>
      <c r="D139" s="11"/>
      <c r="E139" s="11"/>
      <c r="F139" s="11"/>
      <c r="G139" s="11"/>
      <c r="H139" s="11"/>
      <c r="I139" s="11"/>
      <c r="J139" s="11"/>
      <c r="K139" s="9"/>
      <c r="L139" s="9"/>
    </row>
    <row r="140" spans="1:12" ht="15" customHeight="1" x14ac:dyDescent="0.3">
      <c r="A140" s="1" t="s">
        <v>144</v>
      </c>
      <c r="B140" s="4" t="s">
        <v>488</v>
      </c>
      <c r="C140" s="12">
        <v>0.24</v>
      </c>
      <c r="D140" s="5">
        <v>0.15</v>
      </c>
      <c r="E140" s="6">
        <v>0</v>
      </c>
      <c r="F140" s="6">
        <v>0.03</v>
      </c>
      <c r="G140" s="6">
        <v>0.02</v>
      </c>
      <c r="H140" s="6">
        <v>7.0000000000000007E-2</v>
      </c>
      <c r="I140" s="7">
        <v>0.05</v>
      </c>
      <c r="J140" s="8" t="s">
        <v>359</v>
      </c>
      <c r="K140" s="9"/>
      <c r="L140" s="9"/>
    </row>
    <row r="141" spans="1:12" ht="15" customHeight="1" x14ac:dyDescent="0.3">
      <c r="A141" s="1" t="s">
        <v>145</v>
      </c>
      <c r="B141" s="4" t="s">
        <v>489</v>
      </c>
      <c r="C141" s="12">
        <v>0.28000000000000003</v>
      </c>
      <c r="D141" s="5">
        <v>0.3</v>
      </c>
      <c r="E141" s="6">
        <v>0.2</v>
      </c>
      <c r="F141" s="6">
        <v>0.35</v>
      </c>
      <c r="G141" s="6">
        <v>0.46</v>
      </c>
      <c r="H141" s="6">
        <v>0.65</v>
      </c>
      <c r="I141" s="7">
        <v>0.33</v>
      </c>
      <c r="J141" s="8" t="s">
        <v>359</v>
      </c>
      <c r="K141" s="9"/>
      <c r="L141" s="9"/>
    </row>
    <row r="142" spans="1:12" ht="15" customHeight="1" x14ac:dyDescent="0.3">
      <c r="A142" s="1" t="s">
        <v>146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9"/>
      <c r="L142" s="9"/>
    </row>
    <row r="143" spans="1:12" ht="15" customHeight="1" x14ac:dyDescent="0.3">
      <c r="A143" s="1" t="s">
        <v>147</v>
      </c>
      <c r="B143" s="29" t="s">
        <v>490</v>
      </c>
      <c r="C143" s="11"/>
      <c r="D143" s="11"/>
      <c r="E143" s="11"/>
      <c r="F143" s="11"/>
      <c r="G143" s="11"/>
      <c r="H143" s="11"/>
      <c r="I143" s="11"/>
      <c r="J143" s="11"/>
      <c r="K143" s="9"/>
      <c r="L143" s="9"/>
    </row>
    <row r="144" spans="1:12" ht="15" customHeight="1" x14ac:dyDescent="0.3">
      <c r="A144" s="1" t="s">
        <v>148</v>
      </c>
      <c r="B144" s="4" t="s">
        <v>491</v>
      </c>
      <c r="C144" s="12">
        <v>0.05</v>
      </c>
      <c r="D144" s="5">
        <v>0.1</v>
      </c>
      <c r="E144" s="6">
        <v>0.15</v>
      </c>
      <c r="F144" s="6">
        <v>0.2</v>
      </c>
      <c r="G144" s="6">
        <v>0.25</v>
      </c>
      <c r="H144" s="6">
        <v>0.3</v>
      </c>
      <c r="I144" s="7">
        <v>0.18</v>
      </c>
      <c r="J144" s="8" t="s">
        <v>492</v>
      </c>
      <c r="K144" s="9"/>
      <c r="L144" s="9"/>
    </row>
    <row r="145" spans="1:12" ht="15" customHeight="1" x14ac:dyDescent="0.3">
      <c r="A145" s="1" t="s">
        <v>149</v>
      </c>
      <c r="B145" s="4" t="s">
        <v>493</v>
      </c>
      <c r="C145" s="12">
        <v>0.05</v>
      </c>
      <c r="D145" s="5">
        <v>0.25</v>
      </c>
      <c r="E145" s="6">
        <v>0.4</v>
      </c>
      <c r="F145" s="6">
        <v>0.5</v>
      </c>
      <c r="G145" s="6">
        <v>0.6</v>
      </c>
      <c r="H145" s="6">
        <v>0.5</v>
      </c>
      <c r="I145" s="7">
        <v>0.44</v>
      </c>
      <c r="J145" s="8" t="s">
        <v>492</v>
      </c>
      <c r="K145" s="9"/>
      <c r="L145" s="9"/>
    </row>
    <row r="146" spans="1:12" ht="15" customHeight="1" x14ac:dyDescent="0.3">
      <c r="A146" s="1" t="s">
        <v>150</v>
      </c>
      <c r="B146" s="4" t="s">
        <v>494</v>
      </c>
      <c r="C146" s="12">
        <v>0.05</v>
      </c>
      <c r="D146" s="5">
        <v>0.12</v>
      </c>
      <c r="E146" s="6">
        <v>0.35</v>
      </c>
      <c r="F146" s="6">
        <v>0.48</v>
      </c>
      <c r="G146" s="6">
        <v>0.38</v>
      </c>
      <c r="H146" s="6">
        <v>0.36</v>
      </c>
      <c r="I146" s="7">
        <v>0.33</v>
      </c>
      <c r="J146" s="8" t="s">
        <v>495</v>
      </c>
      <c r="K146" s="9"/>
      <c r="L146" s="9"/>
    </row>
    <row r="147" spans="1:12" ht="15" customHeight="1" x14ac:dyDescent="0.3">
      <c r="A147" s="1" t="s">
        <v>151</v>
      </c>
      <c r="B147" s="4" t="s">
        <v>496</v>
      </c>
      <c r="C147" s="12">
        <v>0.14000000000000001</v>
      </c>
      <c r="D147" s="5">
        <v>0.35</v>
      </c>
      <c r="E147" s="6">
        <v>0.55000000000000004</v>
      </c>
      <c r="F147" s="6">
        <v>0.72</v>
      </c>
      <c r="G147" s="6">
        <v>0.7</v>
      </c>
      <c r="H147" s="6">
        <v>0.65</v>
      </c>
      <c r="I147" s="7">
        <v>0.57999999999999996</v>
      </c>
      <c r="J147" s="8" t="s">
        <v>497</v>
      </c>
      <c r="K147" s="9"/>
      <c r="L147" s="9"/>
    </row>
    <row r="148" spans="1:12" ht="15" customHeight="1" x14ac:dyDescent="0.3">
      <c r="A148" s="1" t="s">
        <v>152</v>
      </c>
      <c r="B148" s="4" t="s">
        <v>498</v>
      </c>
      <c r="C148" s="12">
        <v>7.0000000000000007E-2</v>
      </c>
      <c r="D148" s="5">
        <v>0.1</v>
      </c>
      <c r="E148" s="6">
        <v>0.09</v>
      </c>
      <c r="F148" s="6">
        <v>0.08</v>
      </c>
      <c r="G148" s="6">
        <v>0.06</v>
      </c>
      <c r="H148" s="6">
        <v>0.03</v>
      </c>
      <c r="I148" s="7">
        <v>0.08</v>
      </c>
      <c r="J148" s="8" t="s">
        <v>499</v>
      </c>
      <c r="K148" s="9"/>
      <c r="L148" s="9"/>
    </row>
    <row r="149" spans="1:12" ht="15" customHeight="1" x14ac:dyDescent="0.3">
      <c r="A149" s="1" t="s">
        <v>153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9"/>
      <c r="L149" s="9"/>
    </row>
    <row r="150" spans="1:12" ht="15" customHeight="1" x14ac:dyDescent="0.3">
      <c r="A150" s="1" t="s">
        <v>154</v>
      </c>
      <c r="B150" s="29" t="s">
        <v>500</v>
      </c>
      <c r="C150" s="11"/>
      <c r="D150" s="11"/>
      <c r="E150" s="11"/>
      <c r="F150" s="11"/>
      <c r="G150" s="11"/>
      <c r="H150" s="11"/>
      <c r="I150" s="11"/>
      <c r="J150" s="11"/>
      <c r="K150" s="9"/>
      <c r="L150" s="9"/>
    </row>
    <row r="151" spans="1:12" ht="15" customHeight="1" x14ac:dyDescent="0.3">
      <c r="A151" s="1" t="s">
        <v>155</v>
      </c>
      <c r="B151" s="4" t="s">
        <v>501</v>
      </c>
      <c r="C151" s="12">
        <v>0.01</v>
      </c>
      <c r="D151" s="5">
        <v>0.01</v>
      </c>
      <c r="E151" s="6">
        <v>0.01</v>
      </c>
      <c r="F151" s="6">
        <v>0.02</v>
      </c>
      <c r="G151" s="6">
        <v>0.02</v>
      </c>
      <c r="H151" s="6">
        <v>0.02</v>
      </c>
      <c r="I151" s="7">
        <v>0.02</v>
      </c>
      <c r="J151" s="8" t="s">
        <v>502</v>
      </c>
      <c r="K151" s="9"/>
      <c r="L151" s="9"/>
    </row>
    <row r="152" spans="1:12" ht="15" customHeight="1" x14ac:dyDescent="0.3">
      <c r="A152" s="1" t="s">
        <v>156</v>
      </c>
      <c r="B152" s="4" t="s">
        <v>503</v>
      </c>
      <c r="C152" s="12">
        <v>0.02</v>
      </c>
      <c r="D152" s="5">
        <v>0.03</v>
      </c>
      <c r="E152" s="6">
        <v>0.03</v>
      </c>
      <c r="F152" s="6">
        <v>0.03</v>
      </c>
      <c r="G152" s="6">
        <v>0.03</v>
      </c>
      <c r="H152" s="6">
        <v>0.02</v>
      </c>
      <c r="I152" s="7">
        <v>0.03</v>
      </c>
      <c r="J152" s="8" t="s">
        <v>504</v>
      </c>
      <c r="K152" s="9"/>
      <c r="L152" s="9"/>
    </row>
    <row r="153" spans="1:12" ht="15" customHeight="1" x14ac:dyDescent="0.3">
      <c r="A153" s="1" t="s">
        <v>157</v>
      </c>
      <c r="B153" s="4" t="s">
        <v>505</v>
      </c>
      <c r="C153" s="12">
        <v>0.04</v>
      </c>
      <c r="D153" s="5">
        <v>0.04</v>
      </c>
      <c r="E153" s="6">
        <v>7.0000000000000007E-2</v>
      </c>
      <c r="F153" s="6">
        <v>0.06</v>
      </c>
      <c r="G153" s="6">
        <v>0.06</v>
      </c>
      <c r="H153" s="6">
        <v>7.0000000000000007E-2</v>
      </c>
      <c r="I153" s="7">
        <v>0.06</v>
      </c>
      <c r="J153" s="8" t="s">
        <v>506</v>
      </c>
      <c r="K153" s="9"/>
      <c r="L153" s="9"/>
    </row>
    <row r="154" spans="1:12" ht="15" customHeight="1" x14ac:dyDescent="0.3">
      <c r="A154" s="1" t="s">
        <v>158</v>
      </c>
      <c r="B154" s="4" t="s">
        <v>507</v>
      </c>
      <c r="C154" s="12">
        <v>0.01</v>
      </c>
      <c r="D154" s="5">
        <v>0.01</v>
      </c>
      <c r="E154" s="6">
        <v>0.01</v>
      </c>
      <c r="F154" s="6">
        <v>0.01</v>
      </c>
      <c r="G154" s="6">
        <v>0.02</v>
      </c>
      <c r="H154" s="6">
        <v>0.02</v>
      </c>
      <c r="I154" s="7">
        <v>0.01</v>
      </c>
      <c r="J154" s="8" t="s">
        <v>492</v>
      </c>
      <c r="K154" s="9"/>
      <c r="L154" s="9"/>
    </row>
    <row r="155" spans="1:12" ht="15" customHeight="1" x14ac:dyDescent="0.3">
      <c r="A155" s="1" t="s">
        <v>159</v>
      </c>
      <c r="B155" s="4" t="s">
        <v>508</v>
      </c>
      <c r="C155" s="12">
        <v>0.15</v>
      </c>
      <c r="D155" s="5">
        <v>7.0000000000000007E-2</v>
      </c>
      <c r="E155" s="6">
        <v>0.05</v>
      </c>
      <c r="F155" s="6">
        <v>0.05</v>
      </c>
      <c r="G155" s="6">
        <v>0.05</v>
      </c>
      <c r="H155" s="6">
        <v>0.05</v>
      </c>
      <c r="I155" s="7">
        <v>0.06</v>
      </c>
      <c r="J155" s="8" t="s">
        <v>509</v>
      </c>
      <c r="K155" s="9"/>
      <c r="L155" s="9"/>
    </row>
    <row r="156" spans="1:12" ht="15" customHeight="1" x14ac:dyDescent="0.3">
      <c r="A156" s="1" t="s">
        <v>160</v>
      </c>
      <c r="B156" s="4" t="s">
        <v>510</v>
      </c>
      <c r="C156" s="12">
        <v>0.4</v>
      </c>
      <c r="D156" s="5">
        <v>0.3</v>
      </c>
      <c r="E156" s="6">
        <v>0.2</v>
      </c>
      <c r="F156" s="6">
        <v>0.11</v>
      </c>
      <c r="G156" s="6">
        <v>0.15</v>
      </c>
      <c r="H156" s="6">
        <v>0.1</v>
      </c>
      <c r="I156" s="7">
        <v>0.19</v>
      </c>
      <c r="J156" s="8" t="s">
        <v>351</v>
      </c>
      <c r="K156" s="9"/>
      <c r="L156" s="9"/>
    </row>
    <row r="157" spans="1:12" ht="15" customHeight="1" x14ac:dyDescent="0.3">
      <c r="A157" s="1" t="s">
        <v>161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9"/>
      <c r="L157" s="9"/>
    </row>
    <row r="158" spans="1:12" ht="15" customHeight="1" x14ac:dyDescent="0.3">
      <c r="A158" s="1" t="s">
        <v>162</v>
      </c>
      <c r="B158" s="29" t="s">
        <v>511</v>
      </c>
      <c r="C158" s="11"/>
      <c r="D158" s="11"/>
      <c r="E158" s="11"/>
      <c r="F158" s="11"/>
      <c r="G158" s="11"/>
      <c r="H158" s="11"/>
      <c r="I158" s="11"/>
      <c r="J158" s="11"/>
      <c r="K158" s="9"/>
      <c r="L158" s="9"/>
    </row>
    <row r="159" spans="1:12" ht="15" customHeight="1" x14ac:dyDescent="0.3">
      <c r="A159" s="1" t="s">
        <v>163</v>
      </c>
      <c r="B159" s="4" t="s">
        <v>512</v>
      </c>
      <c r="C159" s="12">
        <v>0.35</v>
      </c>
      <c r="D159" s="5">
        <v>0.25</v>
      </c>
      <c r="E159" s="6">
        <v>0.18</v>
      </c>
      <c r="F159" s="6">
        <v>0.12</v>
      </c>
      <c r="G159" s="6">
        <v>7.0000000000000007E-2</v>
      </c>
      <c r="H159" s="6">
        <v>0.04</v>
      </c>
      <c r="I159" s="7">
        <v>0.16</v>
      </c>
      <c r="J159" s="8" t="s">
        <v>513</v>
      </c>
      <c r="K159" s="9"/>
      <c r="L159" s="9"/>
    </row>
    <row r="160" spans="1:12" ht="15" customHeight="1" x14ac:dyDescent="0.3">
      <c r="A160" s="1" t="s">
        <v>164</v>
      </c>
      <c r="B160" s="4" t="s">
        <v>514</v>
      </c>
      <c r="C160" s="12">
        <v>0.04</v>
      </c>
      <c r="D160" s="5">
        <v>0.04</v>
      </c>
      <c r="E160" s="6">
        <v>0.03</v>
      </c>
      <c r="F160" s="6">
        <v>0.03</v>
      </c>
      <c r="G160" s="6">
        <v>0.02</v>
      </c>
      <c r="H160" s="6">
        <v>0.02</v>
      </c>
      <c r="I160" s="7">
        <v>0.03</v>
      </c>
      <c r="J160" s="8" t="s">
        <v>351</v>
      </c>
      <c r="K160" s="9"/>
      <c r="L160" s="9"/>
    </row>
    <row r="161" spans="1:12" ht="15" customHeight="1" x14ac:dyDescent="0.3">
      <c r="A161" s="1" t="s">
        <v>165</v>
      </c>
      <c r="B161" s="4" t="s">
        <v>515</v>
      </c>
      <c r="C161" s="12">
        <v>1</v>
      </c>
      <c r="D161" s="5">
        <v>1</v>
      </c>
      <c r="E161" s="6">
        <v>1</v>
      </c>
      <c r="F161" s="6">
        <v>1</v>
      </c>
      <c r="G161" s="6">
        <v>1</v>
      </c>
      <c r="H161" s="6">
        <v>1</v>
      </c>
      <c r="I161" s="7">
        <v>1</v>
      </c>
      <c r="J161" s="8" t="s">
        <v>353</v>
      </c>
      <c r="K161" s="9"/>
      <c r="L161" s="9"/>
    </row>
    <row r="162" spans="1:12" ht="15" customHeight="1" x14ac:dyDescent="0.3">
      <c r="A162" s="1" t="s">
        <v>166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9"/>
      <c r="L162" s="9"/>
    </row>
    <row r="163" spans="1:12" ht="15" customHeight="1" x14ac:dyDescent="0.3">
      <c r="A163" s="1" t="s">
        <v>167</v>
      </c>
      <c r="B163" s="29" t="s">
        <v>516</v>
      </c>
      <c r="C163" s="11"/>
      <c r="D163" s="11"/>
      <c r="E163" s="11"/>
      <c r="F163" s="11"/>
      <c r="G163" s="11"/>
      <c r="H163" s="11"/>
      <c r="I163" s="11"/>
      <c r="J163" s="11"/>
      <c r="K163" s="9"/>
      <c r="L163" s="9"/>
    </row>
    <row r="164" spans="1:12" ht="15" customHeight="1" x14ac:dyDescent="0.3">
      <c r="A164" s="1" t="s">
        <v>168</v>
      </c>
      <c r="B164" s="4" t="s">
        <v>517</v>
      </c>
      <c r="C164" s="12">
        <v>0</v>
      </c>
      <c r="D164" s="5">
        <v>0</v>
      </c>
      <c r="E164" s="6">
        <v>0.03</v>
      </c>
      <c r="F164" s="6">
        <v>0.04</v>
      </c>
      <c r="G164" s="6">
        <v>0.05</v>
      </c>
      <c r="H164" s="6">
        <v>7.0000000000000007E-2</v>
      </c>
      <c r="I164" s="7">
        <v>0.03</v>
      </c>
      <c r="J164" s="8" t="s">
        <v>518</v>
      </c>
      <c r="K164" s="9"/>
      <c r="L164" s="9"/>
    </row>
    <row r="165" spans="1:12" ht="15" customHeight="1" x14ac:dyDescent="0.3">
      <c r="A165" s="1" t="s">
        <v>169</v>
      </c>
      <c r="B165" s="4" t="s">
        <v>519</v>
      </c>
      <c r="C165" s="12">
        <v>0.01</v>
      </c>
      <c r="D165" s="5">
        <v>0.01</v>
      </c>
      <c r="E165" s="6">
        <v>0.02</v>
      </c>
      <c r="F165" s="6">
        <v>0.02</v>
      </c>
      <c r="G165" s="6">
        <v>0.02</v>
      </c>
      <c r="H165" s="6">
        <v>0.02</v>
      </c>
      <c r="I165" s="7">
        <v>0.02</v>
      </c>
      <c r="J165" s="8" t="s">
        <v>351</v>
      </c>
      <c r="K165" s="9"/>
      <c r="L165" s="9"/>
    </row>
    <row r="166" spans="1:12" ht="15" customHeight="1" x14ac:dyDescent="0.3">
      <c r="A166" s="1" t="s">
        <v>170</v>
      </c>
      <c r="B166" s="4" t="s">
        <v>520</v>
      </c>
      <c r="C166" s="12">
        <v>0.36</v>
      </c>
      <c r="D166" s="5">
        <v>0.44</v>
      </c>
      <c r="E166" s="6">
        <v>0.31</v>
      </c>
      <c r="F166" s="6">
        <v>0.28999999999999998</v>
      </c>
      <c r="G166" s="6">
        <v>0.39</v>
      </c>
      <c r="H166" s="6">
        <v>0.25</v>
      </c>
      <c r="I166" s="7">
        <v>0.36</v>
      </c>
      <c r="J166" s="8" t="s">
        <v>521</v>
      </c>
      <c r="K166" s="9"/>
      <c r="L166" s="9"/>
    </row>
    <row r="167" spans="1:12" ht="15" customHeight="1" x14ac:dyDescent="0.3">
      <c r="A167" s="1" t="s">
        <v>171</v>
      </c>
      <c r="B167" s="4" t="s">
        <v>522</v>
      </c>
      <c r="C167" s="12">
        <v>0.1</v>
      </c>
      <c r="D167" s="5">
        <v>0.05</v>
      </c>
      <c r="E167" s="6">
        <v>0.06</v>
      </c>
      <c r="F167" s="6">
        <v>7.0000000000000007E-2</v>
      </c>
      <c r="G167" s="6">
        <v>0.09</v>
      </c>
      <c r="H167" s="6">
        <v>0.08</v>
      </c>
      <c r="I167" s="7">
        <v>7.0000000000000007E-2</v>
      </c>
      <c r="J167" s="8" t="s">
        <v>523</v>
      </c>
      <c r="K167" s="9"/>
      <c r="L167" s="9"/>
    </row>
    <row r="168" spans="1:12" ht="15" customHeight="1" x14ac:dyDescent="0.3">
      <c r="A168" s="1" t="s">
        <v>172</v>
      </c>
      <c r="B168" s="4" t="s">
        <v>524</v>
      </c>
      <c r="C168" s="12">
        <v>0.01</v>
      </c>
      <c r="D168" s="5">
        <v>0.01</v>
      </c>
      <c r="E168" s="6">
        <v>0.02</v>
      </c>
      <c r="F168" s="6">
        <v>0.02</v>
      </c>
      <c r="G168" s="6">
        <v>0.02</v>
      </c>
      <c r="H168" s="6">
        <v>0.03</v>
      </c>
      <c r="I168" s="7">
        <v>0.02</v>
      </c>
      <c r="J168" s="8" t="s">
        <v>525</v>
      </c>
      <c r="K168" s="9"/>
      <c r="L168" s="9"/>
    </row>
    <row r="169" spans="1:12" ht="15" customHeight="1" x14ac:dyDescent="0.3">
      <c r="A169" s="1" t="s">
        <v>173</v>
      </c>
      <c r="B169" s="4" t="s">
        <v>526</v>
      </c>
      <c r="C169" s="12">
        <v>0.01</v>
      </c>
      <c r="D169" s="5">
        <v>0.01</v>
      </c>
      <c r="E169" s="6">
        <v>0.01</v>
      </c>
      <c r="F169" s="6">
        <v>0.02</v>
      </c>
      <c r="G169" s="6">
        <v>0.02</v>
      </c>
      <c r="H169" s="6">
        <v>0.02</v>
      </c>
      <c r="I169" s="7">
        <v>0.02</v>
      </c>
      <c r="J169" s="8" t="s">
        <v>527</v>
      </c>
      <c r="K169" s="9"/>
      <c r="L169" s="9"/>
    </row>
    <row r="170" spans="1:12" ht="15" customHeight="1" x14ac:dyDescent="0.3">
      <c r="A170" s="1" t="s">
        <v>174</v>
      </c>
      <c r="B170" s="4" t="s">
        <v>528</v>
      </c>
      <c r="C170" s="12">
        <v>0.12</v>
      </c>
      <c r="D170" s="5">
        <v>0.09</v>
      </c>
      <c r="E170" s="6">
        <v>7.0000000000000007E-2</v>
      </c>
      <c r="F170" s="6">
        <v>0.05</v>
      </c>
      <c r="G170" s="6">
        <v>0.05</v>
      </c>
      <c r="H170" s="6">
        <v>0.04</v>
      </c>
      <c r="I170" s="7">
        <v>7.0000000000000007E-2</v>
      </c>
      <c r="J170" s="8" t="s">
        <v>529</v>
      </c>
      <c r="K170" s="9"/>
      <c r="L170" s="9"/>
    </row>
    <row r="171" spans="1:12" ht="15" customHeight="1" x14ac:dyDescent="0.3">
      <c r="A171" s="1" t="s">
        <v>175</v>
      </c>
      <c r="B171" s="4" t="s">
        <v>530</v>
      </c>
      <c r="C171" s="12">
        <v>0.01</v>
      </c>
      <c r="D171" s="5">
        <v>0.01</v>
      </c>
      <c r="E171" s="6">
        <v>0.02</v>
      </c>
      <c r="F171" s="6">
        <v>0.03</v>
      </c>
      <c r="G171" s="6">
        <v>0.04</v>
      </c>
      <c r="H171" s="6">
        <v>0.05</v>
      </c>
      <c r="I171" s="7">
        <v>0.03</v>
      </c>
      <c r="J171" s="8" t="s">
        <v>518</v>
      </c>
      <c r="K171" s="9"/>
      <c r="L171" s="9"/>
    </row>
    <row r="172" spans="1:12" ht="15" customHeight="1" x14ac:dyDescent="0.3">
      <c r="A172" s="1" t="s">
        <v>176</v>
      </c>
      <c r="B172" s="4" t="s">
        <v>531</v>
      </c>
      <c r="C172" s="12">
        <v>0.14000000000000001</v>
      </c>
      <c r="D172" s="5">
        <v>7.0000000000000007E-2</v>
      </c>
      <c r="E172" s="6">
        <v>0.05</v>
      </c>
      <c r="F172" s="6">
        <v>0.05</v>
      </c>
      <c r="G172" s="6">
        <v>0.05</v>
      </c>
      <c r="H172" s="6">
        <v>0.05</v>
      </c>
      <c r="I172" s="7">
        <v>0.06</v>
      </c>
      <c r="J172" s="8" t="s">
        <v>353</v>
      </c>
      <c r="K172" s="9"/>
      <c r="L172" s="9"/>
    </row>
    <row r="173" spans="1:12" ht="15" customHeight="1" x14ac:dyDescent="0.3">
      <c r="A173" s="1" t="s">
        <v>177</v>
      </c>
      <c r="B173" s="4" t="s">
        <v>532</v>
      </c>
      <c r="C173" s="12">
        <v>0.08</v>
      </c>
      <c r="D173" s="5">
        <v>0.06</v>
      </c>
      <c r="E173" s="6">
        <v>0.05</v>
      </c>
      <c r="F173" s="6">
        <v>0.04</v>
      </c>
      <c r="G173" s="6">
        <v>0.04</v>
      </c>
      <c r="H173" s="6">
        <v>0.04</v>
      </c>
      <c r="I173" s="7">
        <v>0.05</v>
      </c>
      <c r="J173" s="8" t="s">
        <v>533</v>
      </c>
      <c r="K173" s="9"/>
      <c r="L173" s="9"/>
    </row>
    <row r="174" spans="1:12" ht="15" customHeight="1" x14ac:dyDescent="0.3">
      <c r="A174" s="1" t="s">
        <v>178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9"/>
      <c r="L174" s="9"/>
    </row>
    <row r="175" spans="1:12" ht="15" customHeight="1" x14ac:dyDescent="0.3">
      <c r="A175" s="1" t="s">
        <v>179</v>
      </c>
      <c r="B175" s="29" t="s">
        <v>534</v>
      </c>
      <c r="C175" s="11"/>
      <c r="D175" s="11"/>
      <c r="E175" s="11"/>
      <c r="F175" s="11"/>
      <c r="G175" s="11"/>
      <c r="H175" s="11"/>
      <c r="I175" s="11"/>
      <c r="J175" s="11"/>
      <c r="K175" s="9"/>
      <c r="L175" s="9"/>
    </row>
    <row r="176" spans="1:12" ht="15" customHeight="1" x14ac:dyDescent="0.3">
      <c r="A176" s="1" t="s">
        <v>180</v>
      </c>
      <c r="B176" s="4" t="s">
        <v>535</v>
      </c>
      <c r="C176" s="5">
        <v>0.05</v>
      </c>
      <c r="D176" s="5">
        <v>0.06</v>
      </c>
      <c r="E176" s="6">
        <v>0.05</v>
      </c>
      <c r="F176" s="6">
        <v>0.05</v>
      </c>
      <c r="G176" s="6">
        <v>0.01</v>
      </c>
      <c r="H176" s="11"/>
      <c r="I176" s="7">
        <v>0.04</v>
      </c>
      <c r="J176" s="8" t="s">
        <v>536</v>
      </c>
      <c r="K176" s="9"/>
      <c r="L176" s="9"/>
    </row>
    <row r="177" spans="1:12" ht="15" customHeight="1" x14ac:dyDescent="0.3">
      <c r="A177" s="1" t="s">
        <v>181</v>
      </c>
      <c r="B177" s="4" t="s">
        <v>537</v>
      </c>
      <c r="C177" s="5">
        <v>0.04</v>
      </c>
      <c r="D177" s="5">
        <v>0.02</v>
      </c>
      <c r="E177" s="6">
        <v>0.01</v>
      </c>
      <c r="F177" s="6">
        <v>0.03</v>
      </c>
      <c r="G177" s="6">
        <v>0.02</v>
      </c>
      <c r="H177" s="6">
        <v>0.02</v>
      </c>
      <c r="I177" s="7">
        <v>0.02</v>
      </c>
      <c r="J177" s="8" t="s">
        <v>359</v>
      </c>
      <c r="K177" s="9"/>
      <c r="L177" s="9"/>
    </row>
    <row r="178" spans="1:12" ht="15" customHeight="1" x14ac:dyDescent="0.3">
      <c r="A178" s="1" t="s">
        <v>182</v>
      </c>
      <c r="B178" s="4" t="s">
        <v>538</v>
      </c>
      <c r="C178" s="11"/>
      <c r="D178" s="11"/>
      <c r="E178" s="11"/>
      <c r="F178" s="11"/>
      <c r="G178" s="11"/>
      <c r="H178" s="11"/>
      <c r="I178" s="11"/>
      <c r="J178" s="11"/>
      <c r="K178" s="9"/>
      <c r="L178" s="9"/>
    </row>
    <row r="179" spans="1:12" ht="15" customHeight="1" x14ac:dyDescent="0.3">
      <c r="A179" s="1" t="s">
        <v>183</v>
      </c>
      <c r="B179" s="4" t="s">
        <v>539</v>
      </c>
      <c r="C179" s="5">
        <v>0.7</v>
      </c>
      <c r="D179" s="5">
        <v>0.9</v>
      </c>
      <c r="E179" s="6">
        <v>0.93</v>
      </c>
      <c r="F179" s="6">
        <v>0.75</v>
      </c>
      <c r="G179" s="6">
        <v>0.72</v>
      </c>
      <c r="H179" s="6">
        <v>0.75</v>
      </c>
      <c r="I179" s="7">
        <v>0.83</v>
      </c>
      <c r="J179" s="8" t="s">
        <v>353</v>
      </c>
      <c r="K179" s="9"/>
      <c r="L179" s="9"/>
    </row>
    <row r="180" spans="1:12" ht="15" customHeight="1" x14ac:dyDescent="0.3">
      <c r="A180" s="1" t="s">
        <v>184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9"/>
      <c r="L180" s="9"/>
    </row>
    <row r="181" spans="1:12" ht="15" customHeight="1" x14ac:dyDescent="0.3">
      <c r="A181" s="1" t="s">
        <v>185</v>
      </c>
      <c r="B181" s="29" t="s">
        <v>540</v>
      </c>
      <c r="C181" s="11"/>
      <c r="D181" s="11"/>
      <c r="E181" s="11"/>
      <c r="F181" s="11"/>
      <c r="G181" s="11"/>
      <c r="H181" s="11"/>
      <c r="I181" s="11"/>
      <c r="J181" s="11"/>
      <c r="K181" s="9"/>
      <c r="L181" s="9"/>
    </row>
    <row r="182" spans="1:12" ht="15" customHeight="1" x14ac:dyDescent="0.3">
      <c r="A182" s="1" t="s">
        <v>186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9"/>
      <c r="L182" s="9"/>
    </row>
    <row r="183" spans="1:12" ht="15" customHeight="1" x14ac:dyDescent="0.3">
      <c r="A183" s="1" t="s">
        <v>187</v>
      </c>
      <c r="B183" s="29" t="s">
        <v>541</v>
      </c>
      <c r="C183" s="11"/>
      <c r="D183" s="11"/>
      <c r="E183" s="11"/>
      <c r="F183" s="11"/>
      <c r="G183" s="11"/>
      <c r="H183" s="11"/>
      <c r="I183" s="11"/>
      <c r="J183" s="11"/>
      <c r="K183" s="9"/>
      <c r="L183" s="9"/>
    </row>
    <row r="184" spans="1:12" ht="15" customHeight="1" x14ac:dyDescent="0.3">
      <c r="A184" s="1" t="s">
        <v>188</v>
      </c>
      <c r="B184" s="4" t="s">
        <v>542</v>
      </c>
      <c r="C184" s="5">
        <v>0.17</v>
      </c>
      <c r="D184" s="5">
        <v>0.34</v>
      </c>
      <c r="E184" s="6">
        <v>0.45</v>
      </c>
      <c r="F184" s="6">
        <v>0.57999999999999996</v>
      </c>
      <c r="G184" s="6">
        <v>0.89</v>
      </c>
      <c r="H184" s="6">
        <v>0.5</v>
      </c>
      <c r="I184" s="7">
        <v>0.56999999999999995</v>
      </c>
      <c r="J184" s="8" t="s">
        <v>359</v>
      </c>
      <c r="K184" s="9"/>
      <c r="L184" s="9"/>
    </row>
    <row r="185" spans="1:12" ht="15" customHeight="1" x14ac:dyDescent="0.3">
      <c r="A185" s="1" t="s">
        <v>189</v>
      </c>
      <c r="B185" s="4" t="s">
        <v>543</v>
      </c>
      <c r="C185" s="5">
        <v>0.15</v>
      </c>
      <c r="D185" s="5">
        <v>0.25</v>
      </c>
      <c r="E185" s="6">
        <v>0.27</v>
      </c>
      <c r="F185" s="6">
        <v>0.41</v>
      </c>
      <c r="G185" s="6">
        <v>0.75</v>
      </c>
      <c r="H185" s="6">
        <v>0.38</v>
      </c>
      <c r="I185" s="7">
        <v>0.42</v>
      </c>
      <c r="J185" s="8" t="s">
        <v>359</v>
      </c>
      <c r="K185" s="9"/>
      <c r="L185" s="9"/>
    </row>
    <row r="186" spans="1:12" ht="15" customHeight="1" x14ac:dyDescent="0.3">
      <c r="A186" s="1" t="s">
        <v>190</v>
      </c>
      <c r="B186" s="4" t="s">
        <v>544</v>
      </c>
      <c r="C186" s="5">
        <v>0.09</v>
      </c>
      <c r="D186" s="5">
        <v>0.2</v>
      </c>
      <c r="E186" s="6">
        <v>0.37</v>
      </c>
      <c r="F186" s="6">
        <v>0.59</v>
      </c>
      <c r="G186" s="6">
        <v>0.84</v>
      </c>
      <c r="H186" s="6">
        <v>0.94</v>
      </c>
      <c r="I186" s="7">
        <v>0.5</v>
      </c>
      <c r="J186" s="8" t="s">
        <v>359</v>
      </c>
      <c r="K186" s="9"/>
      <c r="L186" s="9"/>
    </row>
    <row r="187" spans="1:12" ht="15" customHeight="1" x14ac:dyDescent="0.3">
      <c r="A187" s="1" t="s">
        <v>191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9"/>
      <c r="L187" s="9"/>
    </row>
    <row r="188" spans="1:12" ht="15" customHeight="1" x14ac:dyDescent="0.3">
      <c r="A188" s="1" t="s">
        <v>192</v>
      </c>
      <c r="B188" s="29" t="s">
        <v>545</v>
      </c>
      <c r="C188" s="11"/>
      <c r="D188" s="11"/>
      <c r="E188" s="11"/>
      <c r="F188" s="11"/>
      <c r="G188" s="11"/>
      <c r="H188" s="11"/>
      <c r="I188" s="11"/>
      <c r="J188" s="11"/>
      <c r="K188" s="9"/>
      <c r="L188" s="9"/>
    </row>
    <row r="189" spans="1:12" ht="15" customHeight="1" x14ac:dyDescent="0.3">
      <c r="A189" s="1" t="s">
        <v>193</v>
      </c>
      <c r="B189" s="4" t="s">
        <v>546</v>
      </c>
      <c r="C189" s="5">
        <v>0.03</v>
      </c>
      <c r="D189" s="5">
        <v>0.1</v>
      </c>
      <c r="E189" s="6">
        <v>0.23</v>
      </c>
      <c r="F189" s="6">
        <v>0.79</v>
      </c>
      <c r="G189" s="6">
        <v>0.66</v>
      </c>
      <c r="H189" s="6">
        <v>0.67</v>
      </c>
      <c r="I189" s="7">
        <v>0.45</v>
      </c>
      <c r="J189" s="8" t="s">
        <v>547</v>
      </c>
      <c r="K189" s="9"/>
      <c r="L189" s="9"/>
    </row>
    <row r="190" spans="1:12" ht="15" customHeight="1" x14ac:dyDescent="0.3">
      <c r="A190" s="1" t="s">
        <v>194</v>
      </c>
      <c r="B190" s="4" t="s">
        <v>548</v>
      </c>
      <c r="C190" s="5">
        <v>0.05</v>
      </c>
      <c r="D190" s="5">
        <v>0.15</v>
      </c>
      <c r="E190" s="6">
        <v>0.35</v>
      </c>
      <c r="F190" s="6">
        <v>0.91</v>
      </c>
      <c r="G190" s="6">
        <v>0.65</v>
      </c>
      <c r="H190" s="6">
        <v>0.64</v>
      </c>
      <c r="I190" s="7">
        <v>0.52</v>
      </c>
      <c r="J190" s="8" t="s">
        <v>547</v>
      </c>
      <c r="K190" s="9"/>
      <c r="L190" s="9"/>
    </row>
    <row r="191" spans="1:12" ht="15" customHeight="1" x14ac:dyDescent="0.3">
      <c r="A191" s="1" t="s">
        <v>195</v>
      </c>
      <c r="B191" s="4" t="s">
        <v>549</v>
      </c>
      <c r="C191" s="5">
        <v>0.05</v>
      </c>
      <c r="D191" s="5">
        <v>0.19</v>
      </c>
      <c r="E191" s="6">
        <v>0.51</v>
      </c>
      <c r="F191" s="6">
        <v>0.82</v>
      </c>
      <c r="G191" s="6">
        <v>0.7</v>
      </c>
      <c r="H191" s="6">
        <v>0.67</v>
      </c>
      <c r="I191" s="7">
        <v>0.55000000000000004</v>
      </c>
      <c r="J191" s="8" t="s">
        <v>547</v>
      </c>
      <c r="K191" s="9"/>
      <c r="L191" s="9"/>
    </row>
    <row r="192" spans="1:12" ht="15" customHeight="1" x14ac:dyDescent="0.3">
      <c r="A192" s="1" t="s">
        <v>196</v>
      </c>
      <c r="B192" s="4" t="s">
        <v>550</v>
      </c>
      <c r="C192" s="5">
        <v>0.15</v>
      </c>
      <c r="D192" s="5">
        <v>0.45</v>
      </c>
      <c r="E192" s="6">
        <v>0.75</v>
      </c>
      <c r="F192" s="6">
        <v>0.6</v>
      </c>
      <c r="G192" s="6">
        <v>0.8</v>
      </c>
      <c r="H192" s="6">
        <v>0.75</v>
      </c>
      <c r="I192" s="7">
        <v>0.65</v>
      </c>
      <c r="J192" s="8" t="s">
        <v>492</v>
      </c>
      <c r="K192" s="9"/>
      <c r="L192" s="9"/>
    </row>
    <row r="193" spans="1:12" ht="15" customHeight="1" x14ac:dyDescent="0.3">
      <c r="A193" s="1" t="s">
        <v>197</v>
      </c>
      <c r="B193" s="4" t="s">
        <v>551</v>
      </c>
      <c r="C193" s="5">
        <v>0.1</v>
      </c>
      <c r="D193" s="5">
        <v>0.34</v>
      </c>
      <c r="E193" s="6">
        <v>1</v>
      </c>
      <c r="F193" s="6">
        <v>0.63</v>
      </c>
      <c r="G193" s="6">
        <v>0.79</v>
      </c>
      <c r="H193" s="6">
        <v>0.72</v>
      </c>
      <c r="I193" s="7">
        <v>0.69</v>
      </c>
      <c r="J193" s="8" t="s">
        <v>547</v>
      </c>
      <c r="K193" s="9"/>
      <c r="L193" s="9"/>
    </row>
    <row r="194" spans="1:12" ht="15" customHeight="1" x14ac:dyDescent="0.3">
      <c r="A194" s="1" t="s">
        <v>198</v>
      </c>
      <c r="B194" s="4" t="s">
        <v>552</v>
      </c>
      <c r="C194" s="5">
        <v>0.4</v>
      </c>
      <c r="D194" s="5">
        <v>0.75</v>
      </c>
      <c r="E194" s="6">
        <v>0.85</v>
      </c>
      <c r="F194" s="6">
        <v>0.65</v>
      </c>
      <c r="G194" s="6">
        <v>0.7</v>
      </c>
      <c r="H194" s="6">
        <v>0.7</v>
      </c>
      <c r="I194" s="7">
        <v>0.74</v>
      </c>
      <c r="J194" s="11"/>
      <c r="K194" s="9"/>
      <c r="L194" s="9"/>
    </row>
    <row r="195" spans="1:12" ht="15" customHeight="1" x14ac:dyDescent="0.3">
      <c r="A195" s="1" t="s">
        <v>199</v>
      </c>
      <c r="B195" s="4" t="s">
        <v>553</v>
      </c>
      <c r="C195" s="5">
        <v>0.3</v>
      </c>
      <c r="D195" s="5">
        <v>0.4</v>
      </c>
      <c r="E195" s="6">
        <v>0.5</v>
      </c>
      <c r="F195" s="6">
        <v>0.85</v>
      </c>
      <c r="G195" s="6">
        <v>0.5</v>
      </c>
      <c r="H195" s="6">
        <v>0.65</v>
      </c>
      <c r="I195" s="7">
        <v>0.56000000000000005</v>
      </c>
      <c r="J195" s="11"/>
      <c r="K195" s="9"/>
      <c r="L195" s="9"/>
    </row>
    <row r="196" spans="1:12" ht="15" customHeight="1" x14ac:dyDescent="0.3">
      <c r="A196" s="1" t="s">
        <v>200</v>
      </c>
      <c r="B196" s="4" t="s">
        <v>554</v>
      </c>
      <c r="C196" s="5">
        <v>0.25</v>
      </c>
      <c r="D196" s="5">
        <v>0.8</v>
      </c>
      <c r="E196" s="6">
        <v>0.85</v>
      </c>
      <c r="F196" s="6">
        <v>0.65</v>
      </c>
      <c r="G196" s="6">
        <v>0.7</v>
      </c>
      <c r="H196" s="6">
        <v>0.75</v>
      </c>
      <c r="I196" s="7">
        <v>0.75</v>
      </c>
      <c r="J196" s="11"/>
      <c r="K196" s="9"/>
      <c r="L196" s="9"/>
    </row>
    <row r="197" spans="1:12" ht="15" customHeight="1" x14ac:dyDescent="0.3">
      <c r="A197" s="1" t="s">
        <v>201</v>
      </c>
      <c r="B197" s="4" t="s">
        <v>555</v>
      </c>
      <c r="C197" s="5">
        <v>0.15</v>
      </c>
      <c r="D197" s="5">
        <v>0.4</v>
      </c>
      <c r="E197" s="6">
        <v>0.95</v>
      </c>
      <c r="F197" s="6">
        <v>0.6</v>
      </c>
      <c r="G197" s="6">
        <v>0.7</v>
      </c>
      <c r="H197" s="6">
        <v>0.6</v>
      </c>
      <c r="I197" s="7">
        <v>0.66</v>
      </c>
      <c r="J197" s="11"/>
      <c r="K197" s="9"/>
      <c r="L197" s="9"/>
    </row>
    <row r="198" spans="1:12" ht="15" customHeight="1" x14ac:dyDescent="0.3">
      <c r="A198" s="1" t="s">
        <v>202</v>
      </c>
      <c r="B198" s="4" t="s">
        <v>556</v>
      </c>
      <c r="C198" s="5">
        <v>0.38</v>
      </c>
      <c r="D198" s="5">
        <v>0.69</v>
      </c>
      <c r="E198" s="6">
        <v>1</v>
      </c>
      <c r="F198" s="6">
        <v>0.72</v>
      </c>
      <c r="G198" s="6">
        <v>0.76</v>
      </c>
      <c r="H198" s="6">
        <v>0.81</v>
      </c>
      <c r="I198" s="7">
        <v>0.79</v>
      </c>
      <c r="J198" s="11"/>
      <c r="K198" s="9"/>
      <c r="L198" s="9"/>
    </row>
    <row r="199" spans="1:12" ht="15" customHeight="1" x14ac:dyDescent="0.3">
      <c r="A199" s="1" t="s">
        <v>203</v>
      </c>
      <c r="B199" s="4" t="s">
        <v>557</v>
      </c>
      <c r="C199" s="5">
        <v>0.43</v>
      </c>
      <c r="D199" s="5">
        <v>0.66</v>
      </c>
      <c r="E199" s="6">
        <v>0.96</v>
      </c>
      <c r="F199" s="6">
        <v>0.68</v>
      </c>
      <c r="G199" s="6">
        <v>0.7</v>
      </c>
      <c r="H199" s="6">
        <v>0.73</v>
      </c>
      <c r="I199" s="7">
        <v>0.75</v>
      </c>
      <c r="J199" s="11"/>
      <c r="K199" s="9"/>
      <c r="L199" s="9"/>
    </row>
    <row r="200" spans="1:12" ht="15" customHeight="1" x14ac:dyDescent="0.3">
      <c r="A200" s="1" t="s">
        <v>204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9"/>
      <c r="L200" s="9"/>
    </row>
    <row r="201" spans="1:12" ht="15" customHeight="1" x14ac:dyDescent="0.3">
      <c r="A201" s="1" t="s">
        <v>205</v>
      </c>
      <c r="B201" s="29" t="s">
        <v>558</v>
      </c>
      <c r="C201" s="11"/>
      <c r="D201" s="11"/>
      <c r="E201" s="11"/>
      <c r="F201" s="11"/>
      <c r="G201" s="11"/>
      <c r="H201" s="11"/>
      <c r="I201" s="11"/>
      <c r="J201" s="11"/>
      <c r="K201" s="9"/>
      <c r="L201" s="9"/>
    </row>
    <row r="202" spans="1:12" ht="15" customHeight="1" x14ac:dyDescent="0.3">
      <c r="A202" s="1" t="s">
        <v>206</v>
      </c>
      <c r="B202" s="4" t="s">
        <v>559</v>
      </c>
      <c r="C202" s="5">
        <v>0.63</v>
      </c>
      <c r="D202" s="5">
        <v>1.1000000000000001</v>
      </c>
      <c r="E202" s="6">
        <v>1.2</v>
      </c>
      <c r="F202" s="6">
        <v>1.22</v>
      </c>
      <c r="G202" s="6">
        <v>1.1399999999999999</v>
      </c>
      <c r="H202" s="6">
        <v>1.17</v>
      </c>
      <c r="I202" s="7">
        <v>1.17</v>
      </c>
      <c r="J202" s="8" t="s">
        <v>404</v>
      </c>
      <c r="K202" s="9"/>
      <c r="L202" s="9"/>
    </row>
    <row r="203" spans="1:12" ht="15" customHeight="1" x14ac:dyDescent="0.3">
      <c r="A203" s="1" t="s">
        <v>207</v>
      </c>
      <c r="B203" s="4" t="s">
        <v>560</v>
      </c>
      <c r="C203" s="5">
        <v>0.47</v>
      </c>
      <c r="D203" s="5">
        <v>0.72</v>
      </c>
      <c r="E203" s="6">
        <v>1.01</v>
      </c>
      <c r="F203" s="6">
        <v>0.95</v>
      </c>
      <c r="G203" s="6">
        <v>0.93</v>
      </c>
      <c r="H203" s="6">
        <v>1.02</v>
      </c>
      <c r="I203" s="7">
        <v>0.9</v>
      </c>
      <c r="J203" s="8" t="s">
        <v>370</v>
      </c>
      <c r="K203" s="9"/>
      <c r="L203" s="9"/>
    </row>
    <row r="204" spans="1:12" ht="15" customHeight="1" x14ac:dyDescent="0.3">
      <c r="A204" s="1" t="s">
        <v>208</v>
      </c>
      <c r="B204" s="4" t="s">
        <v>561</v>
      </c>
      <c r="C204" s="5">
        <v>0.32</v>
      </c>
      <c r="D204" s="5">
        <v>0.48</v>
      </c>
      <c r="E204" s="6">
        <v>0.83</v>
      </c>
      <c r="F204" s="6">
        <v>0.9</v>
      </c>
      <c r="G204" s="6">
        <v>0.87</v>
      </c>
      <c r="H204" s="6">
        <v>0.91</v>
      </c>
      <c r="I204" s="7">
        <v>0.77</v>
      </c>
      <c r="J204" s="8" t="s">
        <v>370</v>
      </c>
      <c r="K204" s="9"/>
      <c r="L204" s="9"/>
    </row>
    <row r="205" spans="1:12" ht="15" customHeight="1" x14ac:dyDescent="0.3">
      <c r="A205" s="1" t="s">
        <v>209</v>
      </c>
      <c r="B205" s="4" t="s">
        <v>562</v>
      </c>
      <c r="C205" s="5">
        <v>0.38</v>
      </c>
      <c r="D205" s="5">
        <v>0.73</v>
      </c>
      <c r="E205" s="6">
        <v>1.1499999999999999</v>
      </c>
      <c r="F205" s="6">
        <v>1.1100000000000001</v>
      </c>
      <c r="G205" s="6">
        <v>1.04</v>
      </c>
      <c r="H205" s="6">
        <v>1</v>
      </c>
      <c r="I205" s="7">
        <v>1.01</v>
      </c>
      <c r="J205" s="8" t="s">
        <v>404</v>
      </c>
      <c r="K205" s="9"/>
      <c r="L205" s="9"/>
    </row>
    <row r="206" spans="1:12" ht="15" customHeight="1" x14ac:dyDescent="0.3">
      <c r="A206" s="1" t="s">
        <v>210</v>
      </c>
      <c r="B206" s="4" t="s">
        <v>563</v>
      </c>
      <c r="C206" s="5">
        <v>0.5</v>
      </c>
      <c r="D206" s="5">
        <v>0.41</v>
      </c>
      <c r="E206" s="6">
        <v>0.47</v>
      </c>
      <c r="F206" s="6">
        <v>0.59</v>
      </c>
      <c r="G206" s="6">
        <v>0.48</v>
      </c>
      <c r="H206" s="6">
        <v>0.34</v>
      </c>
      <c r="I206" s="7">
        <v>0.49</v>
      </c>
      <c r="J206" s="8" t="s">
        <v>404</v>
      </c>
      <c r="K206" s="9"/>
      <c r="L206" s="9"/>
    </row>
    <row r="207" spans="1:12" ht="15" customHeight="1" x14ac:dyDescent="0.3">
      <c r="A207" s="1" t="s">
        <v>211</v>
      </c>
      <c r="B207" s="4" t="s">
        <v>564</v>
      </c>
      <c r="C207" s="5">
        <v>0.63</v>
      </c>
      <c r="D207" s="5">
        <v>0.56999999999999995</v>
      </c>
      <c r="E207" s="6">
        <v>0.75</v>
      </c>
      <c r="F207" s="6">
        <v>0.76</v>
      </c>
      <c r="G207" s="6">
        <v>0.56999999999999995</v>
      </c>
      <c r="H207" s="6">
        <v>0.4</v>
      </c>
      <c r="I207" s="7">
        <v>0.66</v>
      </c>
      <c r="J207" s="8" t="s">
        <v>404</v>
      </c>
      <c r="K207" s="9"/>
      <c r="L207" s="9"/>
    </row>
    <row r="208" spans="1:12" ht="15" customHeight="1" x14ac:dyDescent="0.3">
      <c r="A208" s="1" t="s">
        <v>212</v>
      </c>
      <c r="B208" s="4" t="s">
        <v>565</v>
      </c>
      <c r="C208" s="5">
        <v>0.04</v>
      </c>
      <c r="D208" s="5">
        <v>0.21</v>
      </c>
      <c r="E208" s="6">
        <v>0.66</v>
      </c>
      <c r="F208" s="6">
        <v>0.87</v>
      </c>
      <c r="G208" s="6">
        <v>1.03</v>
      </c>
      <c r="H208" s="6">
        <v>0.92</v>
      </c>
      <c r="I208" s="7">
        <v>0.69</v>
      </c>
      <c r="J208" s="8" t="s">
        <v>404</v>
      </c>
      <c r="K208" s="9"/>
      <c r="L208" s="9"/>
    </row>
    <row r="209" spans="1:12" ht="15" customHeight="1" x14ac:dyDescent="0.3">
      <c r="A209" s="1" t="s">
        <v>213</v>
      </c>
      <c r="B209" s="4" t="s">
        <v>566</v>
      </c>
      <c r="C209" s="5">
        <v>0.19</v>
      </c>
      <c r="D209" s="5">
        <v>0.7</v>
      </c>
      <c r="E209" s="6">
        <v>1</v>
      </c>
      <c r="F209" s="6">
        <v>1.05</v>
      </c>
      <c r="G209" s="6">
        <v>1</v>
      </c>
      <c r="H209" s="6">
        <v>0.93</v>
      </c>
      <c r="I209" s="7">
        <v>0.94</v>
      </c>
      <c r="J209" s="8" t="s">
        <v>404</v>
      </c>
      <c r="K209" s="9"/>
      <c r="L209" s="9"/>
    </row>
    <row r="210" spans="1:12" ht="15" customHeight="1" x14ac:dyDescent="0.3">
      <c r="A210" s="1" t="s">
        <v>214</v>
      </c>
      <c r="B210" s="4" t="s">
        <v>567</v>
      </c>
      <c r="C210" s="5">
        <v>0.68</v>
      </c>
      <c r="D210" s="5">
        <v>1.38</v>
      </c>
      <c r="E210" s="6">
        <v>1.3</v>
      </c>
      <c r="F210" s="6">
        <v>1.25</v>
      </c>
      <c r="G210" s="6">
        <v>1.18</v>
      </c>
      <c r="H210" s="6">
        <v>1.22</v>
      </c>
      <c r="I210" s="7">
        <v>1.28</v>
      </c>
      <c r="J210" s="8" t="s">
        <v>568</v>
      </c>
      <c r="K210" s="9"/>
      <c r="L210" s="9"/>
    </row>
    <row r="211" spans="1:12" ht="15" customHeight="1" x14ac:dyDescent="0.3">
      <c r="A211" s="1" t="s">
        <v>215</v>
      </c>
      <c r="B211" s="4" t="s">
        <v>569</v>
      </c>
      <c r="C211" s="5">
        <v>1.06</v>
      </c>
      <c r="D211" s="5">
        <v>1.31</v>
      </c>
      <c r="E211" s="6">
        <v>1.24</v>
      </c>
      <c r="F211" s="6">
        <v>1.08</v>
      </c>
      <c r="G211" s="6">
        <v>1.01</v>
      </c>
      <c r="H211" s="6">
        <v>0.97</v>
      </c>
      <c r="I211" s="7">
        <v>1.1599999999999999</v>
      </c>
      <c r="J211" s="8" t="s">
        <v>568</v>
      </c>
      <c r="K211" s="9"/>
      <c r="L211" s="9"/>
    </row>
    <row r="212" spans="1:12" ht="15" customHeight="1" x14ac:dyDescent="0.3">
      <c r="A212" s="1" t="s">
        <v>216</v>
      </c>
      <c r="B212" s="4" t="s">
        <v>570</v>
      </c>
      <c r="C212" s="5">
        <v>0.21</v>
      </c>
      <c r="D212" s="5">
        <v>0.73</v>
      </c>
      <c r="E212" s="6">
        <v>1.03</v>
      </c>
      <c r="F212" s="6">
        <v>1.06</v>
      </c>
      <c r="G212" s="6">
        <v>0.93</v>
      </c>
      <c r="H212" s="6">
        <v>0.95</v>
      </c>
      <c r="I212" s="7">
        <v>0.94</v>
      </c>
      <c r="J212" s="8" t="s">
        <v>370</v>
      </c>
      <c r="K212" s="9"/>
      <c r="L212" s="9"/>
    </row>
    <row r="213" spans="1:12" ht="15" customHeight="1" x14ac:dyDescent="0.3">
      <c r="A213" s="1" t="s">
        <v>217</v>
      </c>
      <c r="B213" s="4" t="s">
        <v>571</v>
      </c>
      <c r="C213" s="5">
        <v>0.11</v>
      </c>
      <c r="D213" s="5">
        <v>0.32</v>
      </c>
      <c r="E213" s="6">
        <v>0.67</v>
      </c>
      <c r="F213" s="6">
        <v>0.95</v>
      </c>
      <c r="G213" s="6">
        <v>1.02</v>
      </c>
      <c r="H213" s="6">
        <v>0.81</v>
      </c>
      <c r="I213" s="7">
        <v>0.74</v>
      </c>
      <c r="J213" s="8" t="s">
        <v>370</v>
      </c>
      <c r="K213" s="9"/>
      <c r="L213" s="9"/>
    </row>
    <row r="214" spans="1:12" ht="15" customHeight="1" x14ac:dyDescent="0.3">
      <c r="A214" s="1" t="s">
        <v>218</v>
      </c>
      <c r="B214" s="4" t="s">
        <v>572</v>
      </c>
      <c r="C214" s="5">
        <v>0.18</v>
      </c>
      <c r="D214" s="5">
        <v>0.1</v>
      </c>
      <c r="E214" s="6">
        <v>0.26</v>
      </c>
      <c r="F214" s="6">
        <v>0.59</v>
      </c>
      <c r="G214" s="6">
        <v>0.72</v>
      </c>
      <c r="H214" s="6">
        <v>0.81</v>
      </c>
      <c r="I214" s="7">
        <v>0.42</v>
      </c>
      <c r="J214" s="8" t="s">
        <v>404</v>
      </c>
      <c r="K214" s="9"/>
      <c r="L214" s="9"/>
    </row>
    <row r="215" spans="1:12" ht="15" customHeight="1" x14ac:dyDescent="0.3">
      <c r="A215" s="1" t="s">
        <v>219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9"/>
      <c r="L215" s="9"/>
    </row>
    <row r="216" spans="1:12" ht="15" customHeight="1" x14ac:dyDescent="0.3">
      <c r="A216" s="1" t="s">
        <v>220</v>
      </c>
      <c r="B216" s="29" t="s">
        <v>573</v>
      </c>
      <c r="C216" s="11"/>
      <c r="D216" s="11"/>
      <c r="E216" s="11"/>
      <c r="F216" s="11"/>
      <c r="G216" s="11"/>
      <c r="H216" s="11"/>
      <c r="I216" s="11"/>
      <c r="J216" s="11"/>
      <c r="K216" s="9"/>
      <c r="L216" s="9"/>
    </row>
    <row r="217" spans="1:12" ht="15" customHeight="1" x14ac:dyDescent="0.3">
      <c r="A217" s="1" t="s">
        <v>221</v>
      </c>
      <c r="B217" s="4" t="s">
        <v>574</v>
      </c>
      <c r="C217" s="5">
        <v>0.18</v>
      </c>
      <c r="D217" s="5">
        <v>0.28999999999999998</v>
      </c>
      <c r="E217" s="6">
        <v>0.69</v>
      </c>
      <c r="F217" s="6">
        <v>0.86</v>
      </c>
      <c r="G217" s="6">
        <v>1.05</v>
      </c>
      <c r="H217" s="6">
        <v>1.2</v>
      </c>
      <c r="I217" s="7">
        <v>0.72</v>
      </c>
      <c r="J217" s="8" t="s">
        <v>575</v>
      </c>
      <c r="K217" s="9"/>
      <c r="L217" s="9"/>
    </row>
    <row r="218" spans="1:12" ht="15" customHeight="1" x14ac:dyDescent="0.3">
      <c r="A218" s="1" t="s">
        <v>222</v>
      </c>
      <c r="B218" s="4" t="s">
        <v>576</v>
      </c>
      <c r="C218" s="5">
        <v>0.28999999999999998</v>
      </c>
      <c r="D218" s="5">
        <v>0.7</v>
      </c>
      <c r="E218" s="6">
        <v>1.19</v>
      </c>
      <c r="F218" s="6">
        <v>1.04</v>
      </c>
      <c r="G218" s="6">
        <v>1.1399999999999999</v>
      </c>
      <c r="H218" s="6">
        <v>1.06</v>
      </c>
      <c r="I218" s="7">
        <v>1.02</v>
      </c>
      <c r="J218" s="8" t="s">
        <v>575</v>
      </c>
      <c r="K218" s="9"/>
      <c r="L218" s="9"/>
    </row>
    <row r="219" spans="1:12" ht="15" customHeight="1" x14ac:dyDescent="0.3">
      <c r="A219" s="1" t="s">
        <v>223</v>
      </c>
      <c r="B219" s="4" t="s">
        <v>577</v>
      </c>
      <c r="C219" s="5">
        <v>0.11</v>
      </c>
      <c r="D219" s="5">
        <v>0.2</v>
      </c>
      <c r="E219" s="6">
        <v>0.8</v>
      </c>
      <c r="F219" s="6">
        <v>1.1000000000000001</v>
      </c>
      <c r="G219" s="6">
        <v>1.02</v>
      </c>
      <c r="H219" s="6">
        <v>1.1200000000000001</v>
      </c>
      <c r="I219" s="7">
        <v>0.78</v>
      </c>
      <c r="J219" s="8" t="s">
        <v>575</v>
      </c>
      <c r="K219" s="9"/>
      <c r="L219" s="9"/>
    </row>
    <row r="220" spans="1:12" ht="15" customHeight="1" x14ac:dyDescent="0.3">
      <c r="A220" s="1" t="s">
        <v>224</v>
      </c>
      <c r="B220" s="4" t="s">
        <v>578</v>
      </c>
      <c r="C220" s="5">
        <v>0.36</v>
      </c>
      <c r="D220" s="5">
        <v>0.91</v>
      </c>
      <c r="E220" s="6">
        <v>1.19</v>
      </c>
      <c r="F220" s="6">
        <v>1.2</v>
      </c>
      <c r="G220" s="6">
        <v>1.07</v>
      </c>
      <c r="H220" s="6">
        <v>1.05</v>
      </c>
      <c r="I220" s="7">
        <v>1.0900000000000001</v>
      </c>
      <c r="J220" s="8" t="s">
        <v>575</v>
      </c>
      <c r="K220" s="9"/>
      <c r="L220" s="9"/>
    </row>
    <row r="221" spans="1:12" ht="15" customHeight="1" x14ac:dyDescent="0.3">
      <c r="A221" s="1" t="s">
        <v>225</v>
      </c>
      <c r="B221" s="4" t="s">
        <v>579</v>
      </c>
      <c r="C221" s="5">
        <v>0.21</v>
      </c>
      <c r="D221" s="5">
        <v>0.28999999999999998</v>
      </c>
      <c r="E221" s="6">
        <v>0.52</v>
      </c>
      <c r="F221" s="6">
        <v>1.1399999999999999</v>
      </c>
      <c r="G221" s="6">
        <v>1.02</v>
      </c>
      <c r="H221" s="6">
        <v>0.97</v>
      </c>
      <c r="I221" s="7">
        <v>0.74</v>
      </c>
      <c r="J221" s="8" t="s">
        <v>575</v>
      </c>
      <c r="K221" s="9"/>
      <c r="L221" s="9"/>
    </row>
    <row r="222" spans="1:12" ht="15" customHeight="1" x14ac:dyDescent="0.3">
      <c r="A222" s="1" t="s">
        <v>226</v>
      </c>
      <c r="B222" s="4" t="s">
        <v>580</v>
      </c>
      <c r="C222" s="5">
        <v>0.59</v>
      </c>
      <c r="D222" s="5">
        <v>0.97</v>
      </c>
      <c r="E222" s="6">
        <v>1.18</v>
      </c>
      <c r="F222" s="6">
        <v>1</v>
      </c>
      <c r="G222" s="6">
        <v>1.04</v>
      </c>
      <c r="H222" s="6">
        <v>1.02</v>
      </c>
      <c r="I222" s="7">
        <v>1.05</v>
      </c>
      <c r="J222" s="8" t="s">
        <v>575</v>
      </c>
      <c r="K222" s="9"/>
      <c r="L222" s="9"/>
    </row>
    <row r="223" spans="1:12" ht="15" customHeight="1" x14ac:dyDescent="0.3">
      <c r="A223" s="1" t="s">
        <v>227</v>
      </c>
      <c r="B223" s="4" t="s">
        <v>581</v>
      </c>
      <c r="C223" s="5">
        <v>0.15</v>
      </c>
      <c r="D223" s="5">
        <v>0.55000000000000004</v>
      </c>
      <c r="E223" s="6">
        <v>0.85</v>
      </c>
      <c r="F223" s="6">
        <v>0.8</v>
      </c>
      <c r="G223" s="6">
        <v>0.85</v>
      </c>
      <c r="H223" s="6">
        <v>0.8</v>
      </c>
      <c r="I223" s="7">
        <v>0.76</v>
      </c>
      <c r="J223" s="11"/>
      <c r="K223" s="9"/>
      <c r="L223" s="9"/>
    </row>
    <row r="224" spans="1:12" ht="15" customHeight="1" x14ac:dyDescent="0.3">
      <c r="A224" s="1" t="s">
        <v>228</v>
      </c>
      <c r="B224" s="4" t="s">
        <v>582</v>
      </c>
      <c r="C224" s="5">
        <v>0.15</v>
      </c>
      <c r="D224" s="5">
        <v>0.6</v>
      </c>
      <c r="E224" s="6">
        <v>0.9</v>
      </c>
      <c r="F224" s="6">
        <v>0.9</v>
      </c>
      <c r="G224" s="6">
        <v>0.9</v>
      </c>
      <c r="H224" s="6">
        <v>0.85</v>
      </c>
      <c r="I224" s="7">
        <v>0.83</v>
      </c>
      <c r="J224" s="11"/>
      <c r="K224" s="9"/>
      <c r="L224" s="9"/>
    </row>
    <row r="225" spans="1:12" ht="15" customHeight="1" x14ac:dyDescent="0.3">
      <c r="A225" s="1" t="s">
        <v>229</v>
      </c>
      <c r="B225" s="4" t="s">
        <v>583</v>
      </c>
      <c r="C225" s="5">
        <v>0.35</v>
      </c>
      <c r="D225" s="5">
        <v>0.95</v>
      </c>
      <c r="E225" s="6">
        <v>1</v>
      </c>
      <c r="F225" s="6">
        <v>0.92</v>
      </c>
      <c r="G225" s="6">
        <v>0.9</v>
      </c>
      <c r="H225" s="6">
        <v>0.85</v>
      </c>
      <c r="I225" s="7">
        <v>0.94</v>
      </c>
      <c r="J225" s="11"/>
      <c r="K225" s="9"/>
      <c r="L225" s="9"/>
    </row>
    <row r="226" spans="1:12" ht="15" customHeight="1" x14ac:dyDescent="0.3">
      <c r="A226" s="1" t="s">
        <v>230</v>
      </c>
      <c r="B226" s="4" t="s">
        <v>584</v>
      </c>
      <c r="C226" s="5">
        <v>0.4</v>
      </c>
      <c r="D226" s="5">
        <v>0.75</v>
      </c>
      <c r="E226" s="6">
        <v>0.9</v>
      </c>
      <c r="F226" s="6">
        <v>0.8</v>
      </c>
      <c r="G226" s="6">
        <v>0.9</v>
      </c>
      <c r="H226" s="6">
        <v>0.85</v>
      </c>
      <c r="I226" s="7">
        <v>0.84</v>
      </c>
      <c r="J226" s="11"/>
      <c r="K226" s="9"/>
      <c r="L226" s="9"/>
    </row>
    <row r="227" spans="1:12" ht="15" customHeight="1" x14ac:dyDescent="0.3">
      <c r="A227" s="1" t="s">
        <v>231</v>
      </c>
      <c r="B227" s="4" t="s">
        <v>585</v>
      </c>
      <c r="C227" s="5">
        <v>0.1</v>
      </c>
      <c r="D227" s="5">
        <v>0.45</v>
      </c>
      <c r="E227" s="6">
        <v>0.8</v>
      </c>
      <c r="F227" s="6">
        <v>1.03</v>
      </c>
      <c r="G227" s="6">
        <v>0.94</v>
      </c>
      <c r="H227" s="6">
        <v>1.1000000000000001</v>
      </c>
      <c r="I227" s="7">
        <v>0.81</v>
      </c>
      <c r="J227" s="11"/>
      <c r="K227" s="9"/>
      <c r="L227" s="9"/>
    </row>
    <row r="228" spans="1:12" ht="15" customHeight="1" x14ac:dyDescent="0.3">
      <c r="A228" s="1" t="s">
        <v>232</v>
      </c>
      <c r="B228" s="4" t="s">
        <v>586</v>
      </c>
      <c r="C228" s="5">
        <v>0.18</v>
      </c>
      <c r="D228" s="5">
        <v>0.75</v>
      </c>
      <c r="E228" s="6">
        <v>0.93</v>
      </c>
      <c r="F228" s="6">
        <v>1.1000000000000001</v>
      </c>
      <c r="G228" s="6">
        <v>1.1499999999999999</v>
      </c>
      <c r="H228" s="6">
        <v>1.1499999999999999</v>
      </c>
      <c r="I228" s="7">
        <v>0.98</v>
      </c>
      <c r="J228" s="11"/>
      <c r="K228" s="9"/>
      <c r="L228" s="9"/>
    </row>
    <row r="229" spans="1:12" ht="15" customHeight="1" x14ac:dyDescent="0.3">
      <c r="A229" s="1" t="s">
        <v>233</v>
      </c>
      <c r="B229" s="4" t="s">
        <v>587</v>
      </c>
      <c r="C229" s="5">
        <v>0.65</v>
      </c>
      <c r="D229" s="5">
        <v>0.55000000000000004</v>
      </c>
      <c r="E229" s="6">
        <v>0.75</v>
      </c>
      <c r="F229" s="6">
        <v>0.85</v>
      </c>
      <c r="G229" s="6">
        <v>0.75</v>
      </c>
      <c r="H229" s="6">
        <v>0.85</v>
      </c>
      <c r="I229" s="7">
        <v>0.73</v>
      </c>
      <c r="J229" s="11"/>
      <c r="K229" s="9"/>
      <c r="L229" s="9"/>
    </row>
    <row r="230" spans="1:12" ht="15" customHeight="1" x14ac:dyDescent="0.3">
      <c r="A230" s="1" t="s">
        <v>234</v>
      </c>
      <c r="B230" s="4" t="s">
        <v>588</v>
      </c>
      <c r="C230" s="5">
        <v>0.28999999999999998</v>
      </c>
      <c r="D230" s="5">
        <v>0.8</v>
      </c>
      <c r="E230" s="6">
        <v>0.78</v>
      </c>
      <c r="F230" s="6">
        <v>0.83</v>
      </c>
      <c r="G230" s="6">
        <v>0.9</v>
      </c>
      <c r="H230" s="6">
        <v>0.9</v>
      </c>
      <c r="I230" s="7">
        <v>0.83</v>
      </c>
      <c r="J230" s="11"/>
      <c r="K230" s="9"/>
      <c r="L230" s="9"/>
    </row>
    <row r="231" spans="1:12" ht="15" customHeight="1" x14ac:dyDescent="0.3">
      <c r="A231" s="1" t="s">
        <v>235</v>
      </c>
      <c r="B231" s="4" t="s">
        <v>589</v>
      </c>
      <c r="C231" s="5">
        <v>0.55000000000000004</v>
      </c>
      <c r="D231" s="5">
        <v>0.45</v>
      </c>
      <c r="E231" s="6">
        <v>0.45</v>
      </c>
      <c r="F231" s="6">
        <v>0.5</v>
      </c>
      <c r="G231" s="6">
        <v>0.6</v>
      </c>
      <c r="H231" s="6">
        <v>0.6</v>
      </c>
      <c r="I231" s="7">
        <v>0.5</v>
      </c>
      <c r="J231" s="11"/>
      <c r="K231" s="9"/>
      <c r="L231" s="9"/>
    </row>
    <row r="232" spans="1:12" ht="15" customHeight="1" x14ac:dyDescent="0.3">
      <c r="A232" s="1" t="s">
        <v>236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9"/>
      <c r="L232" s="9"/>
    </row>
    <row r="233" spans="1:12" ht="15" customHeight="1" x14ac:dyDescent="0.3">
      <c r="A233" s="1" t="s">
        <v>236</v>
      </c>
      <c r="B233" s="29" t="s">
        <v>590</v>
      </c>
      <c r="C233" s="11"/>
      <c r="D233" s="11"/>
      <c r="E233" s="11"/>
      <c r="F233" s="11"/>
      <c r="G233" s="11"/>
      <c r="H233" s="11"/>
      <c r="I233" s="11"/>
      <c r="J233" s="11"/>
      <c r="K233" s="9"/>
      <c r="L233" s="9"/>
    </row>
    <row r="234" spans="1:12" ht="15" customHeight="1" x14ac:dyDescent="0.3">
      <c r="A234" s="1" t="s">
        <v>237</v>
      </c>
      <c r="B234" s="4" t="s">
        <v>591</v>
      </c>
      <c r="C234" s="5">
        <v>0.1</v>
      </c>
      <c r="D234" s="5">
        <v>0.22</v>
      </c>
      <c r="E234" s="6">
        <v>0.48</v>
      </c>
      <c r="F234" s="6">
        <v>0.7</v>
      </c>
      <c r="G234" s="6">
        <v>0.81</v>
      </c>
      <c r="H234" s="6">
        <v>0.76</v>
      </c>
      <c r="I234" s="7">
        <v>0.55000000000000004</v>
      </c>
      <c r="J234" s="8" t="s">
        <v>370</v>
      </c>
      <c r="K234" s="9"/>
      <c r="L234" s="9"/>
    </row>
    <row r="235" spans="1:12" ht="15" customHeight="1" x14ac:dyDescent="0.3">
      <c r="A235" s="1" t="s">
        <v>238</v>
      </c>
      <c r="B235" s="4" t="s">
        <v>592</v>
      </c>
      <c r="C235" s="5">
        <v>0.17</v>
      </c>
      <c r="D235" s="5">
        <v>0.51</v>
      </c>
      <c r="E235" s="6">
        <v>0.93</v>
      </c>
      <c r="F235" s="6">
        <v>0.99</v>
      </c>
      <c r="G235" s="6">
        <v>0.88</v>
      </c>
      <c r="H235" s="6">
        <v>0.82</v>
      </c>
      <c r="I235" s="7">
        <v>0.83</v>
      </c>
      <c r="J235" s="8" t="s">
        <v>370</v>
      </c>
      <c r="K235" s="9"/>
      <c r="L235" s="9"/>
    </row>
    <row r="236" spans="1:12" ht="15" customHeight="1" x14ac:dyDescent="0.3">
      <c r="A236" s="1" t="s">
        <v>239</v>
      </c>
      <c r="B236" s="4" t="s">
        <v>593</v>
      </c>
      <c r="C236" s="5">
        <v>0.38</v>
      </c>
      <c r="D236" s="5">
        <v>1</v>
      </c>
      <c r="E236" s="6">
        <v>1.1299999999999999</v>
      </c>
      <c r="F236" s="6">
        <v>1.03</v>
      </c>
      <c r="G236" s="6">
        <v>1.01</v>
      </c>
      <c r="H236" s="6">
        <v>0.98</v>
      </c>
      <c r="I236" s="7">
        <v>1.04</v>
      </c>
      <c r="J236" s="8" t="s">
        <v>370</v>
      </c>
      <c r="K236" s="9"/>
      <c r="L236" s="9"/>
    </row>
    <row r="237" spans="1:12" ht="15" customHeight="1" x14ac:dyDescent="0.3">
      <c r="A237" s="1" t="s">
        <v>240</v>
      </c>
      <c r="B237" s="4" t="s">
        <v>594</v>
      </c>
      <c r="C237" s="5">
        <v>0.09</v>
      </c>
      <c r="D237" s="5">
        <v>0.35</v>
      </c>
      <c r="E237" s="6">
        <v>0.66</v>
      </c>
      <c r="F237" s="6">
        <v>0.73</v>
      </c>
      <c r="G237" s="6">
        <v>0.71</v>
      </c>
      <c r="H237" s="6">
        <v>0.73</v>
      </c>
      <c r="I237" s="7">
        <v>0.61</v>
      </c>
      <c r="J237" s="8" t="s">
        <v>595</v>
      </c>
      <c r="K237" s="9"/>
      <c r="L237" s="9"/>
    </row>
    <row r="238" spans="1:12" ht="15" customHeight="1" x14ac:dyDescent="0.3">
      <c r="A238" s="1" t="s">
        <v>241</v>
      </c>
      <c r="B238" s="4" t="s">
        <v>596</v>
      </c>
      <c r="C238" s="5">
        <v>0.08</v>
      </c>
      <c r="D238" s="5">
        <v>0.25</v>
      </c>
      <c r="E238" s="6">
        <v>0.61</v>
      </c>
      <c r="F238" s="6">
        <v>0.92</v>
      </c>
      <c r="G238" s="6">
        <v>0.95</v>
      </c>
      <c r="H238" s="6">
        <v>0.92</v>
      </c>
      <c r="I238" s="7">
        <v>0.68</v>
      </c>
      <c r="J238" s="8" t="s">
        <v>595</v>
      </c>
      <c r="K238" s="9"/>
      <c r="L238" s="9"/>
    </row>
    <row r="239" spans="1:12" ht="15" customHeight="1" x14ac:dyDescent="0.3">
      <c r="A239" s="1" t="s">
        <v>242</v>
      </c>
      <c r="B239" s="11"/>
      <c r="C239" s="11"/>
      <c r="D239" s="11"/>
      <c r="E239" s="11"/>
      <c r="F239" s="11"/>
      <c r="G239" s="11"/>
      <c r="H239" s="11"/>
      <c r="I239" s="11"/>
      <c r="J239" s="11"/>
      <c r="K239" s="9"/>
      <c r="L239" s="9"/>
    </row>
    <row r="240" spans="1:12" ht="15" customHeight="1" x14ac:dyDescent="0.3">
      <c r="A240" s="1" t="s">
        <v>242</v>
      </c>
      <c r="B240" s="29" t="s">
        <v>597</v>
      </c>
      <c r="C240" s="11"/>
      <c r="D240" s="11"/>
      <c r="E240" s="11"/>
      <c r="F240" s="11"/>
      <c r="G240" s="11"/>
      <c r="H240" s="11"/>
      <c r="I240" s="11"/>
      <c r="J240" s="11"/>
      <c r="K240" s="9"/>
      <c r="L240" s="9"/>
    </row>
    <row r="241" spans="1:12" ht="15" customHeight="1" x14ac:dyDescent="0.3">
      <c r="A241" s="1" t="s">
        <v>243</v>
      </c>
      <c r="B241" s="4" t="s">
        <v>598</v>
      </c>
      <c r="C241" s="5">
        <v>0.1</v>
      </c>
      <c r="D241" s="5">
        <v>0.19</v>
      </c>
      <c r="E241" s="6">
        <v>0.44</v>
      </c>
      <c r="F241" s="6">
        <v>0.66</v>
      </c>
      <c r="G241" s="6">
        <v>0.75</v>
      </c>
      <c r="H241" s="6">
        <v>0.86</v>
      </c>
      <c r="I241" s="7">
        <v>0.51</v>
      </c>
      <c r="J241" s="8" t="s">
        <v>370</v>
      </c>
      <c r="K241" s="9"/>
      <c r="L241" s="9"/>
    </row>
    <row r="242" spans="1:12" ht="15" customHeight="1" x14ac:dyDescent="0.3">
      <c r="A242" s="1" t="s">
        <v>244</v>
      </c>
      <c r="B242" s="4" t="s">
        <v>599</v>
      </c>
      <c r="C242" s="5">
        <v>0.24</v>
      </c>
      <c r="D242" s="5">
        <v>0.37</v>
      </c>
      <c r="E242" s="6">
        <v>0.56000000000000005</v>
      </c>
      <c r="F242" s="6">
        <v>0.69</v>
      </c>
      <c r="G242" s="6">
        <v>0.74</v>
      </c>
      <c r="H242" s="6">
        <v>0.6</v>
      </c>
      <c r="I242" s="7">
        <v>0.59</v>
      </c>
      <c r="J242" s="8" t="s">
        <v>481</v>
      </c>
      <c r="K242" s="9"/>
      <c r="L242" s="9"/>
    </row>
    <row r="243" spans="1:12" ht="15" customHeight="1" x14ac:dyDescent="0.3">
      <c r="A243" s="1" t="s">
        <v>245</v>
      </c>
      <c r="B243" s="4" t="s">
        <v>600</v>
      </c>
      <c r="C243" s="5">
        <v>0.2</v>
      </c>
      <c r="D243" s="5">
        <v>0.4</v>
      </c>
      <c r="E243" s="6">
        <v>0.55000000000000004</v>
      </c>
      <c r="F243" s="6">
        <v>0.68</v>
      </c>
      <c r="G243" s="6">
        <v>0.75</v>
      </c>
      <c r="H243" s="6">
        <v>0.84</v>
      </c>
      <c r="I243" s="7">
        <v>0.6</v>
      </c>
      <c r="J243" s="8" t="s">
        <v>370</v>
      </c>
      <c r="K243" s="9"/>
      <c r="L243" s="9"/>
    </row>
    <row r="244" spans="1:12" ht="15" customHeight="1" x14ac:dyDescent="0.3">
      <c r="A244" s="1" t="s">
        <v>246</v>
      </c>
      <c r="B244" s="4" t="s">
        <v>601</v>
      </c>
      <c r="C244" s="5">
        <v>0.2</v>
      </c>
      <c r="D244" s="5">
        <v>0.32</v>
      </c>
      <c r="E244" s="6">
        <v>0.4</v>
      </c>
      <c r="F244" s="6">
        <v>0.5</v>
      </c>
      <c r="G244" s="6">
        <v>0.51</v>
      </c>
      <c r="H244" s="6">
        <v>0.5</v>
      </c>
      <c r="I244" s="7">
        <v>0.43</v>
      </c>
      <c r="J244" s="8" t="s">
        <v>359</v>
      </c>
      <c r="K244" s="9"/>
      <c r="L244" s="9"/>
    </row>
    <row r="245" spans="1:12" ht="15" customHeight="1" x14ac:dyDescent="0.3">
      <c r="A245" s="1" t="s">
        <v>247</v>
      </c>
      <c r="B245" s="4" t="s">
        <v>602</v>
      </c>
      <c r="C245" s="5">
        <v>0.31</v>
      </c>
      <c r="D245" s="5">
        <v>0.41</v>
      </c>
      <c r="E245" s="6">
        <v>0.53</v>
      </c>
      <c r="F245" s="6">
        <v>0.6</v>
      </c>
      <c r="G245" s="6">
        <v>0.63</v>
      </c>
      <c r="H245" s="6">
        <v>0.62</v>
      </c>
      <c r="I245" s="7">
        <v>0.54</v>
      </c>
      <c r="J245" s="8" t="s">
        <v>359</v>
      </c>
      <c r="K245" s="9"/>
      <c r="L245" s="9"/>
    </row>
    <row r="246" spans="1:12" ht="15" customHeight="1" x14ac:dyDescent="0.3">
      <c r="A246" s="1" t="s">
        <v>248</v>
      </c>
      <c r="B246" s="4" t="s">
        <v>603</v>
      </c>
      <c r="C246" s="5">
        <v>0.19</v>
      </c>
      <c r="D246" s="5">
        <v>0.3</v>
      </c>
      <c r="E246" s="6">
        <v>0.38</v>
      </c>
      <c r="F246" s="6">
        <v>0.44</v>
      </c>
      <c r="G246" s="6">
        <v>0.49</v>
      </c>
      <c r="H246" s="6">
        <v>0.48</v>
      </c>
      <c r="I246" s="7">
        <v>0.4</v>
      </c>
      <c r="J246" s="8" t="s">
        <v>359</v>
      </c>
      <c r="K246" s="9"/>
      <c r="L246" s="9"/>
    </row>
    <row r="247" spans="1:12" ht="15" customHeight="1" x14ac:dyDescent="0.3">
      <c r="A247" s="1" t="s">
        <v>249</v>
      </c>
      <c r="B247" s="4" t="s">
        <v>604</v>
      </c>
      <c r="C247" s="5">
        <v>0.21</v>
      </c>
      <c r="D247" s="5">
        <v>0.32</v>
      </c>
      <c r="E247" s="6">
        <v>0.4</v>
      </c>
      <c r="F247" s="6">
        <v>0.48</v>
      </c>
      <c r="G247" s="6">
        <v>0.53</v>
      </c>
      <c r="H247" s="6">
        <v>0.52</v>
      </c>
      <c r="I247" s="7">
        <v>0.43</v>
      </c>
      <c r="J247" s="8" t="s">
        <v>359</v>
      </c>
      <c r="K247" s="9"/>
      <c r="L247" s="9"/>
    </row>
    <row r="248" spans="1:12" ht="15" customHeight="1" x14ac:dyDescent="0.3">
      <c r="A248" s="1" t="s">
        <v>250</v>
      </c>
      <c r="B248" s="4" t="s">
        <v>605</v>
      </c>
      <c r="C248" s="5">
        <v>0.38</v>
      </c>
      <c r="D248" s="5">
        <v>0.59</v>
      </c>
      <c r="E248" s="6">
        <v>0.67</v>
      </c>
      <c r="F248" s="6">
        <v>0.74</v>
      </c>
      <c r="G248" s="6">
        <v>0.71</v>
      </c>
      <c r="H248" s="6">
        <v>0.82</v>
      </c>
      <c r="I248" s="7">
        <v>0.68</v>
      </c>
      <c r="J248" s="8" t="s">
        <v>359</v>
      </c>
      <c r="K248" s="9"/>
      <c r="L248" s="9"/>
    </row>
    <row r="249" spans="1:12" ht="15" customHeight="1" x14ac:dyDescent="0.3">
      <c r="A249" s="1" t="s">
        <v>251</v>
      </c>
      <c r="B249" s="4" t="s">
        <v>606</v>
      </c>
      <c r="C249" s="5">
        <v>0.37</v>
      </c>
      <c r="D249" s="5">
        <v>0.62</v>
      </c>
      <c r="E249" s="6">
        <v>0.72</v>
      </c>
      <c r="F249" s="6">
        <v>0.78</v>
      </c>
      <c r="G249" s="6">
        <v>0.74</v>
      </c>
      <c r="H249" s="6">
        <v>0.85</v>
      </c>
      <c r="I249" s="7">
        <v>0.72</v>
      </c>
      <c r="J249" s="8" t="s">
        <v>359</v>
      </c>
      <c r="K249" s="9"/>
      <c r="L249" s="9"/>
    </row>
    <row r="250" spans="1:12" ht="15" customHeight="1" x14ac:dyDescent="0.3">
      <c r="A250" s="1" t="s">
        <v>252</v>
      </c>
      <c r="B250" s="4" t="s">
        <v>607</v>
      </c>
      <c r="C250" s="5">
        <v>0.54</v>
      </c>
      <c r="D250" s="5">
        <v>0.8</v>
      </c>
      <c r="E250" s="6">
        <v>0.82</v>
      </c>
      <c r="F250" s="6">
        <v>0.79</v>
      </c>
      <c r="G250" s="6">
        <v>0.9</v>
      </c>
      <c r="H250" s="6">
        <v>1.02</v>
      </c>
      <c r="I250" s="7">
        <v>0.83</v>
      </c>
      <c r="J250" s="8" t="s">
        <v>359</v>
      </c>
      <c r="K250" s="9"/>
      <c r="L250" s="9"/>
    </row>
    <row r="251" spans="1:12" ht="15" customHeight="1" x14ac:dyDescent="0.3">
      <c r="A251" s="1" t="s">
        <v>253</v>
      </c>
      <c r="B251" s="4" t="s">
        <v>608</v>
      </c>
      <c r="C251" s="5">
        <v>0.23</v>
      </c>
      <c r="D251" s="5">
        <v>0.5</v>
      </c>
      <c r="E251" s="6">
        <v>0.77</v>
      </c>
      <c r="F251" s="6">
        <v>0.95</v>
      </c>
      <c r="G251" s="6">
        <v>0.99</v>
      </c>
      <c r="H251" s="6">
        <v>1</v>
      </c>
      <c r="I251" s="7">
        <v>0.8</v>
      </c>
      <c r="J251" s="8" t="s">
        <v>353</v>
      </c>
      <c r="K251" s="9"/>
      <c r="L251" s="9"/>
    </row>
    <row r="252" spans="1:12" ht="15" customHeight="1" x14ac:dyDescent="0.3">
      <c r="A252" s="1" t="s">
        <v>254</v>
      </c>
      <c r="B252" s="4" t="s">
        <v>609</v>
      </c>
      <c r="C252" s="5">
        <v>0.48</v>
      </c>
      <c r="D252" s="5">
        <v>0.88</v>
      </c>
      <c r="E252" s="6">
        <v>0.9</v>
      </c>
      <c r="F252" s="6">
        <v>0.9</v>
      </c>
      <c r="G252" s="6">
        <v>0.87</v>
      </c>
      <c r="H252" s="6">
        <v>0.97</v>
      </c>
      <c r="I252" s="7">
        <v>0.89</v>
      </c>
      <c r="J252" s="8" t="s">
        <v>359</v>
      </c>
      <c r="K252" s="9"/>
      <c r="L252" s="9"/>
    </row>
    <row r="253" spans="1:12" ht="15" customHeight="1" x14ac:dyDescent="0.3">
      <c r="A253" s="1" t="s">
        <v>255</v>
      </c>
      <c r="B253" s="4" t="s">
        <v>610</v>
      </c>
      <c r="C253" s="5">
        <v>0.18</v>
      </c>
      <c r="D253" s="5">
        <v>0.28000000000000003</v>
      </c>
      <c r="E253" s="6">
        <v>0.51</v>
      </c>
      <c r="F253" s="6">
        <v>0.69</v>
      </c>
      <c r="G253" s="6">
        <v>0.84</v>
      </c>
      <c r="H253" s="6">
        <v>0.82</v>
      </c>
      <c r="I253" s="7">
        <v>0.57999999999999996</v>
      </c>
      <c r="J253" s="8" t="s">
        <v>359</v>
      </c>
      <c r="K253" s="9"/>
      <c r="L253" s="9"/>
    </row>
    <row r="254" spans="1:12" ht="15" customHeight="1" x14ac:dyDescent="0.3">
      <c r="A254" s="1" t="s">
        <v>256</v>
      </c>
      <c r="B254" s="4" t="s">
        <v>611</v>
      </c>
      <c r="C254" s="5">
        <v>0.08</v>
      </c>
      <c r="D254" s="5">
        <v>0.34</v>
      </c>
      <c r="E254" s="6">
        <v>0.64</v>
      </c>
      <c r="F254" s="6">
        <v>0.84</v>
      </c>
      <c r="G254" s="6">
        <v>0.91</v>
      </c>
      <c r="H254" s="6">
        <v>0.9</v>
      </c>
      <c r="I254" s="7">
        <v>0.68</v>
      </c>
      <c r="J254" s="8" t="s">
        <v>359</v>
      </c>
      <c r="K254" s="9"/>
      <c r="L254" s="9"/>
    </row>
    <row r="255" spans="1:12" ht="15" customHeight="1" x14ac:dyDescent="0.3">
      <c r="A255" s="1" t="s">
        <v>257</v>
      </c>
      <c r="B255" s="4" t="s">
        <v>612</v>
      </c>
      <c r="C255" s="5">
        <v>0.15</v>
      </c>
      <c r="D255" s="5">
        <v>0.25</v>
      </c>
      <c r="E255" s="6">
        <v>0.35</v>
      </c>
      <c r="F255" s="6">
        <v>0.45</v>
      </c>
      <c r="G255" s="6">
        <v>0.45</v>
      </c>
      <c r="H255" s="6">
        <v>0.5</v>
      </c>
      <c r="I255" s="7">
        <v>0.38</v>
      </c>
      <c r="J255" s="8" t="s">
        <v>359</v>
      </c>
      <c r="K255" s="9"/>
      <c r="L255" s="9"/>
    </row>
    <row r="256" spans="1:12" ht="15" customHeight="1" x14ac:dyDescent="0.3">
      <c r="A256" s="1" t="s">
        <v>258</v>
      </c>
      <c r="B256" s="4" t="s">
        <v>613</v>
      </c>
      <c r="C256" s="5">
        <v>0.35</v>
      </c>
      <c r="D256" s="5">
        <v>0.5</v>
      </c>
      <c r="E256" s="6">
        <v>0.65</v>
      </c>
      <c r="F256" s="6">
        <v>0.7</v>
      </c>
      <c r="G256" s="6">
        <v>0.7</v>
      </c>
      <c r="H256" s="6">
        <v>0.7</v>
      </c>
      <c r="I256" s="7">
        <v>0.64</v>
      </c>
      <c r="J256" s="8" t="s">
        <v>359</v>
      </c>
      <c r="K256" s="9"/>
      <c r="L256" s="9"/>
    </row>
    <row r="257" spans="1:12" ht="15" customHeight="1" x14ac:dyDescent="0.3">
      <c r="A257" s="1" t="s">
        <v>259</v>
      </c>
      <c r="B257" s="4" t="s">
        <v>614</v>
      </c>
      <c r="C257" s="5">
        <v>0.2</v>
      </c>
      <c r="D257" s="5">
        <v>0.35</v>
      </c>
      <c r="E257" s="6">
        <v>0.45</v>
      </c>
      <c r="F257" s="6">
        <v>0.55000000000000004</v>
      </c>
      <c r="G257" s="6">
        <v>0.6</v>
      </c>
      <c r="H257" s="6">
        <v>0.65</v>
      </c>
      <c r="I257" s="7">
        <v>0.49</v>
      </c>
      <c r="J257" s="8" t="s">
        <v>359</v>
      </c>
      <c r="K257" s="9"/>
      <c r="L257" s="9"/>
    </row>
    <row r="258" spans="1:12" ht="15" customHeight="1" x14ac:dyDescent="0.3">
      <c r="A258" s="1" t="s">
        <v>260</v>
      </c>
      <c r="B258" s="4" t="s">
        <v>615</v>
      </c>
      <c r="C258" s="5">
        <v>0.25</v>
      </c>
      <c r="D258" s="5">
        <v>0.5</v>
      </c>
      <c r="E258" s="6">
        <v>0.7</v>
      </c>
      <c r="F258" s="6">
        <v>0.8</v>
      </c>
      <c r="G258" s="6">
        <v>0.8</v>
      </c>
      <c r="H258" s="6">
        <v>0.8</v>
      </c>
      <c r="I258" s="7">
        <v>0.7</v>
      </c>
      <c r="J258" s="8" t="s">
        <v>359</v>
      </c>
      <c r="K258" s="9"/>
      <c r="L258" s="9"/>
    </row>
    <row r="259" spans="1:12" ht="15" customHeight="1" x14ac:dyDescent="0.3">
      <c r="A259" s="1" t="s">
        <v>261</v>
      </c>
      <c r="B259" s="4" t="s">
        <v>616</v>
      </c>
      <c r="C259" s="5">
        <v>0.35</v>
      </c>
      <c r="D259" s="5">
        <v>0.6</v>
      </c>
      <c r="E259" s="6">
        <v>0.85</v>
      </c>
      <c r="F259" s="6">
        <v>0.95</v>
      </c>
      <c r="G259" s="6">
        <v>0.9</v>
      </c>
      <c r="H259" s="6">
        <v>0.95</v>
      </c>
      <c r="I259" s="7">
        <v>0.83</v>
      </c>
      <c r="J259" s="8" t="s">
        <v>359</v>
      </c>
      <c r="K259" s="9"/>
      <c r="L259" s="9"/>
    </row>
    <row r="260" spans="1:12" ht="15" customHeight="1" x14ac:dyDescent="0.3">
      <c r="A260" s="1" t="s">
        <v>262</v>
      </c>
      <c r="B260" s="4" t="s">
        <v>617</v>
      </c>
      <c r="C260" s="5">
        <v>0.5</v>
      </c>
      <c r="D260" s="5">
        <v>0.85</v>
      </c>
      <c r="E260" s="6">
        <v>1</v>
      </c>
      <c r="F260" s="6">
        <v>0.95</v>
      </c>
      <c r="G260" s="6">
        <v>0.95</v>
      </c>
      <c r="H260" s="6">
        <v>1</v>
      </c>
      <c r="I260" s="7">
        <v>0.94</v>
      </c>
      <c r="J260" s="8" t="s">
        <v>359</v>
      </c>
      <c r="K260" s="9"/>
      <c r="L260" s="9"/>
    </row>
    <row r="261" spans="1:12" ht="15" customHeight="1" x14ac:dyDescent="0.3">
      <c r="A261" s="1" t="s">
        <v>263</v>
      </c>
      <c r="B261" s="4" t="s">
        <v>618</v>
      </c>
      <c r="C261" s="5">
        <v>0.15</v>
      </c>
      <c r="D261" s="5">
        <v>0.3</v>
      </c>
      <c r="E261" s="6">
        <v>0.5</v>
      </c>
      <c r="F261" s="6">
        <v>0.65</v>
      </c>
      <c r="G261" s="6">
        <v>0.75</v>
      </c>
      <c r="H261" s="6">
        <v>0.75</v>
      </c>
      <c r="I261" s="7">
        <v>0.55000000000000004</v>
      </c>
      <c r="J261" s="8" t="s">
        <v>359</v>
      </c>
      <c r="K261" s="9"/>
      <c r="L261" s="9"/>
    </row>
    <row r="262" spans="1:12" ht="15" customHeight="1" x14ac:dyDescent="0.3">
      <c r="A262" s="1" t="s">
        <v>264</v>
      </c>
      <c r="B262" s="4" t="s">
        <v>619</v>
      </c>
      <c r="C262" s="5">
        <v>0.25</v>
      </c>
      <c r="D262" s="5">
        <v>0.5</v>
      </c>
      <c r="E262" s="6">
        <v>0.7</v>
      </c>
      <c r="F262" s="6">
        <v>0.8</v>
      </c>
      <c r="G262" s="6">
        <v>0.8</v>
      </c>
      <c r="H262" s="6">
        <v>0.8</v>
      </c>
      <c r="I262" s="7">
        <v>0.7</v>
      </c>
      <c r="J262" s="8" t="s">
        <v>359</v>
      </c>
      <c r="K262" s="9"/>
      <c r="L262" s="9"/>
    </row>
    <row r="263" spans="1:12" ht="15" customHeight="1" x14ac:dyDescent="0.3">
      <c r="A263" s="1" t="s">
        <v>265</v>
      </c>
      <c r="B263" s="4" t="s">
        <v>620</v>
      </c>
      <c r="C263" s="5">
        <v>0.4</v>
      </c>
      <c r="D263" s="5">
        <v>0.65</v>
      </c>
      <c r="E263" s="6">
        <v>0.9</v>
      </c>
      <c r="F263" s="6">
        <v>1</v>
      </c>
      <c r="G263" s="6">
        <v>0.95</v>
      </c>
      <c r="H263" s="6">
        <v>1</v>
      </c>
      <c r="I263" s="7">
        <v>0.88</v>
      </c>
      <c r="J263" s="8" t="s">
        <v>359</v>
      </c>
      <c r="K263" s="9"/>
      <c r="L263" s="9"/>
    </row>
    <row r="264" spans="1:12" ht="15" customHeight="1" x14ac:dyDescent="0.3">
      <c r="A264" s="1" t="s">
        <v>266</v>
      </c>
      <c r="B264" s="4" t="s">
        <v>621</v>
      </c>
      <c r="C264" s="5">
        <v>0.5</v>
      </c>
      <c r="D264" s="5">
        <v>1</v>
      </c>
      <c r="E264" s="6">
        <v>1.1000000000000001</v>
      </c>
      <c r="F264" s="6">
        <v>1.05</v>
      </c>
      <c r="G264" s="6">
        <v>1.05</v>
      </c>
      <c r="H264" s="6">
        <v>1.05</v>
      </c>
      <c r="I264" s="7">
        <v>1.05</v>
      </c>
      <c r="J264" s="8" t="s">
        <v>359</v>
      </c>
      <c r="K264" s="9"/>
      <c r="L264" s="9"/>
    </row>
    <row r="265" spans="1:12" ht="15" customHeight="1" x14ac:dyDescent="0.3">
      <c r="A265" s="1" t="s">
        <v>267</v>
      </c>
      <c r="B265" s="4" t="s">
        <v>622</v>
      </c>
      <c r="C265" s="5">
        <v>0.15</v>
      </c>
      <c r="D265" s="5">
        <v>0.25</v>
      </c>
      <c r="E265" s="6">
        <v>0.5</v>
      </c>
      <c r="F265" s="6">
        <v>0.65</v>
      </c>
      <c r="G265" s="6">
        <v>0.8</v>
      </c>
      <c r="H265" s="6">
        <v>0.8</v>
      </c>
      <c r="I265" s="7">
        <v>0.55000000000000004</v>
      </c>
      <c r="J265" s="8" t="s">
        <v>359</v>
      </c>
      <c r="K265" s="9"/>
      <c r="L265" s="9"/>
    </row>
    <row r="266" spans="1:12" ht="15" customHeight="1" x14ac:dyDescent="0.3">
      <c r="A266" s="1" t="s">
        <v>268</v>
      </c>
      <c r="B266" s="4" t="s">
        <v>623</v>
      </c>
      <c r="C266" s="5">
        <v>0.3</v>
      </c>
      <c r="D266" s="5">
        <v>0.5</v>
      </c>
      <c r="E266" s="6">
        <v>0.8</v>
      </c>
      <c r="F266" s="6">
        <v>0.95</v>
      </c>
      <c r="G266" s="6">
        <v>0.9</v>
      </c>
      <c r="H266" s="6">
        <v>0.9</v>
      </c>
      <c r="I266" s="7">
        <v>0.79</v>
      </c>
      <c r="J266" s="8" t="s">
        <v>359</v>
      </c>
      <c r="K266" s="9"/>
      <c r="L266" s="9"/>
    </row>
    <row r="267" spans="1:12" ht="15" customHeight="1" x14ac:dyDescent="0.3">
      <c r="A267" s="1" t="s">
        <v>269</v>
      </c>
      <c r="B267" s="4" t="s">
        <v>624</v>
      </c>
      <c r="C267" s="5">
        <v>0.2</v>
      </c>
      <c r="D267" s="5">
        <v>0.55000000000000004</v>
      </c>
      <c r="E267" s="6">
        <v>0.6</v>
      </c>
      <c r="F267" s="6">
        <v>1</v>
      </c>
      <c r="G267" s="6">
        <v>1</v>
      </c>
      <c r="H267" s="6">
        <v>1</v>
      </c>
      <c r="I267" s="7">
        <v>0.79</v>
      </c>
      <c r="J267" s="8" t="s">
        <v>359</v>
      </c>
      <c r="K267" s="9"/>
      <c r="L267" s="9"/>
    </row>
    <row r="268" spans="1:12" ht="15" customHeight="1" x14ac:dyDescent="0.3">
      <c r="A268" s="1" t="s">
        <v>270</v>
      </c>
      <c r="B268" s="4" t="s">
        <v>625</v>
      </c>
      <c r="C268" s="5">
        <v>0.5</v>
      </c>
      <c r="D268" s="5">
        <v>1</v>
      </c>
      <c r="E268" s="6">
        <v>1.1000000000000001</v>
      </c>
      <c r="F268" s="6">
        <v>1.05</v>
      </c>
      <c r="G268" s="6">
        <v>1.05</v>
      </c>
      <c r="H268" s="6">
        <v>1.05</v>
      </c>
      <c r="I268" s="7">
        <v>1.05</v>
      </c>
      <c r="J268" s="8" t="s">
        <v>359</v>
      </c>
      <c r="K268" s="9"/>
      <c r="L268" s="9"/>
    </row>
    <row r="269" spans="1:12" ht="15" customHeight="1" x14ac:dyDescent="0.3">
      <c r="A269" s="1" t="s">
        <v>271</v>
      </c>
      <c r="B269" s="4" t="s">
        <v>626</v>
      </c>
      <c r="C269" s="5">
        <v>0.08</v>
      </c>
      <c r="D269" s="5">
        <v>0.34</v>
      </c>
      <c r="E269" s="6">
        <v>0.64</v>
      </c>
      <c r="F269" s="6">
        <v>0.81</v>
      </c>
      <c r="G269" s="6">
        <v>0.91</v>
      </c>
      <c r="H269" s="6">
        <v>0.9</v>
      </c>
      <c r="I269" s="7">
        <v>0.68</v>
      </c>
      <c r="J269" s="8" t="s">
        <v>359</v>
      </c>
      <c r="K269" s="9"/>
      <c r="L269" s="9"/>
    </row>
    <row r="270" spans="1:12" ht="15" customHeight="1" x14ac:dyDescent="0.3">
      <c r="A270" s="1" t="s">
        <v>272</v>
      </c>
      <c r="B270" s="4" t="s">
        <v>627</v>
      </c>
      <c r="C270" s="5">
        <v>0.25</v>
      </c>
      <c r="D270" s="5">
        <v>0.55000000000000004</v>
      </c>
      <c r="E270" s="6">
        <v>0.9</v>
      </c>
      <c r="F270" s="6">
        <v>1</v>
      </c>
      <c r="G270" s="6">
        <v>0.95</v>
      </c>
      <c r="H270" s="6">
        <v>0.95</v>
      </c>
      <c r="I270" s="7">
        <v>0.85</v>
      </c>
      <c r="J270" s="8" t="s">
        <v>359</v>
      </c>
      <c r="K270" s="9"/>
      <c r="L270" s="9"/>
    </row>
    <row r="271" spans="1:12" ht="15" customHeight="1" x14ac:dyDescent="0.3">
      <c r="A271" s="1" t="s">
        <v>273</v>
      </c>
      <c r="B271" s="4" t="s">
        <v>628</v>
      </c>
      <c r="C271" s="5">
        <v>0.1</v>
      </c>
      <c r="D271" s="5">
        <v>0.2</v>
      </c>
      <c r="E271" s="6">
        <v>0.45</v>
      </c>
      <c r="F271" s="6">
        <v>0.65</v>
      </c>
      <c r="G271" s="6">
        <v>0.8</v>
      </c>
      <c r="H271" s="6">
        <v>0.8</v>
      </c>
      <c r="I271" s="7">
        <v>0.53</v>
      </c>
      <c r="J271" s="8" t="s">
        <v>359</v>
      </c>
      <c r="K271" s="9"/>
      <c r="L271" s="9"/>
    </row>
    <row r="272" spans="1:12" ht="15" customHeight="1" x14ac:dyDescent="0.3">
      <c r="A272" s="1" t="s">
        <v>274</v>
      </c>
      <c r="B272" s="4" t="s">
        <v>629</v>
      </c>
      <c r="C272" s="5">
        <v>0.3</v>
      </c>
      <c r="D272" s="5">
        <v>0.55000000000000004</v>
      </c>
      <c r="E272" s="6">
        <v>0.9</v>
      </c>
      <c r="F272" s="6">
        <v>0.95</v>
      </c>
      <c r="G272" s="6">
        <v>0.95</v>
      </c>
      <c r="H272" s="6">
        <v>0.95</v>
      </c>
      <c r="I272" s="7">
        <v>0.84</v>
      </c>
      <c r="J272" s="8" t="s">
        <v>359</v>
      </c>
      <c r="K272" s="9"/>
      <c r="L272" s="9"/>
    </row>
    <row r="273" spans="1:12" ht="15" customHeight="1" x14ac:dyDescent="0.3">
      <c r="A273" s="1" t="s">
        <v>275</v>
      </c>
      <c r="B273" s="4" t="s">
        <v>630</v>
      </c>
      <c r="C273" s="5">
        <v>0.25</v>
      </c>
      <c r="D273" s="5">
        <v>0.6</v>
      </c>
      <c r="E273" s="6">
        <v>0.95</v>
      </c>
      <c r="F273" s="6">
        <v>1.05</v>
      </c>
      <c r="G273" s="6">
        <v>1.05</v>
      </c>
      <c r="H273" s="6">
        <v>1</v>
      </c>
      <c r="I273" s="7">
        <v>0.91</v>
      </c>
      <c r="J273" s="8" t="s">
        <v>359</v>
      </c>
      <c r="K273" s="9"/>
      <c r="L273" s="9"/>
    </row>
    <row r="274" spans="1:12" ht="15" customHeight="1" x14ac:dyDescent="0.3">
      <c r="A274" s="1" t="s">
        <v>276</v>
      </c>
      <c r="B274" s="4" t="s">
        <v>631</v>
      </c>
      <c r="C274" s="5">
        <v>0.45</v>
      </c>
      <c r="D274" s="5">
        <v>1.05</v>
      </c>
      <c r="E274" s="6">
        <v>1.1499999999999999</v>
      </c>
      <c r="F274" s="6">
        <v>1.05</v>
      </c>
      <c r="G274" s="6">
        <v>1.05</v>
      </c>
      <c r="H274" s="6">
        <v>1.05</v>
      </c>
      <c r="I274" s="7">
        <v>1.08</v>
      </c>
      <c r="J274" s="8" t="s">
        <v>359</v>
      </c>
      <c r="K274" s="9"/>
      <c r="L274" s="9"/>
    </row>
    <row r="275" spans="1:12" ht="15" customHeight="1" x14ac:dyDescent="0.3">
      <c r="A275" s="1" t="s">
        <v>277</v>
      </c>
      <c r="B275" s="4" t="s">
        <v>632</v>
      </c>
      <c r="C275" s="5">
        <v>0.15</v>
      </c>
      <c r="D275" s="5">
        <v>0.35</v>
      </c>
      <c r="E275" s="6">
        <v>0.6</v>
      </c>
      <c r="F275" s="6">
        <v>0.75</v>
      </c>
      <c r="G275" s="6">
        <v>0.85</v>
      </c>
      <c r="H275" s="6">
        <v>0.95</v>
      </c>
      <c r="I275" s="7">
        <v>0.64</v>
      </c>
      <c r="J275" s="8" t="s">
        <v>359</v>
      </c>
      <c r="K275" s="9"/>
      <c r="L275" s="9"/>
    </row>
    <row r="276" spans="1:12" ht="15" customHeight="1" x14ac:dyDescent="0.3">
      <c r="A276" s="1" t="s">
        <v>278</v>
      </c>
      <c r="B276" s="4" t="s">
        <v>633</v>
      </c>
      <c r="C276" s="5">
        <v>0.3</v>
      </c>
      <c r="D276" s="5">
        <v>0.55000000000000004</v>
      </c>
      <c r="E276" s="6">
        <v>0.9</v>
      </c>
      <c r="F276" s="6">
        <v>0.95</v>
      </c>
      <c r="G276" s="6">
        <v>0.95</v>
      </c>
      <c r="H276" s="6">
        <v>0.95</v>
      </c>
      <c r="I276" s="7">
        <v>0.84</v>
      </c>
      <c r="J276" s="8" t="s">
        <v>359</v>
      </c>
      <c r="K276" s="9"/>
      <c r="L276" s="9"/>
    </row>
    <row r="277" spans="1:12" ht="15" customHeight="1" x14ac:dyDescent="0.3">
      <c r="A277" s="1" t="s">
        <v>279</v>
      </c>
      <c r="B277" s="4" t="s">
        <v>634</v>
      </c>
      <c r="C277" s="5">
        <v>0.4</v>
      </c>
      <c r="D277" s="5">
        <v>0.8</v>
      </c>
      <c r="E277" s="6">
        <v>1.1499999999999999</v>
      </c>
      <c r="F277" s="6">
        <v>1.1000000000000001</v>
      </c>
      <c r="G277" s="6">
        <v>1.05</v>
      </c>
      <c r="H277" s="6">
        <v>1.05</v>
      </c>
      <c r="I277" s="7">
        <v>1.03</v>
      </c>
      <c r="J277" s="8" t="s">
        <v>359</v>
      </c>
      <c r="K277" s="9"/>
      <c r="L277" s="9"/>
    </row>
    <row r="278" spans="1:12" ht="15" customHeight="1" x14ac:dyDescent="0.3">
      <c r="A278" s="1" t="s">
        <v>280</v>
      </c>
      <c r="B278" s="4" t="s">
        <v>635</v>
      </c>
      <c r="C278" s="5">
        <v>0.5</v>
      </c>
      <c r="D278" s="5">
        <v>1.1000000000000001</v>
      </c>
      <c r="E278" s="6">
        <v>1.1499999999999999</v>
      </c>
      <c r="F278" s="6">
        <v>1.1000000000000001</v>
      </c>
      <c r="G278" s="6">
        <v>1.1000000000000001</v>
      </c>
      <c r="H278" s="6">
        <v>1.05</v>
      </c>
      <c r="I278" s="7">
        <v>1.1100000000000001</v>
      </c>
      <c r="J278" s="8" t="s">
        <v>359</v>
      </c>
      <c r="K278" s="9"/>
      <c r="L278" s="9"/>
    </row>
    <row r="279" spans="1:12" ht="15" customHeight="1" x14ac:dyDescent="0.3">
      <c r="A279" s="1" t="s">
        <v>281</v>
      </c>
      <c r="B279" s="4" t="s">
        <v>636</v>
      </c>
      <c r="C279" s="5">
        <v>0.05</v>
      </c>
      <c r="D279" s="5">
        <v>0.05</v>
      </c>
      <c r="E279" s="6">
        <v>0.2</v>
      </c>
      <c r="F279" s="6">
        <v>0.4</v>
      </c>
      <c r="G279" s="6">
        <v>0.65</v>
      </c>
      <c r="H279" s="6">
        <v>0.85</v>
      </c>
      <c r="I279" s="7">
        <v>0.33</v>
      </c>
      <c r="J279" s="8" t="s">
        <v>637</v>
      </c>
      <c r="K279" s="9"/>
      <c r="L279" s="9"/>
    </row>
    <row r="280" spans="1:12" ht="15" customHeight="1" x14ac:dyDescent="0.3">
      <c r="A280" s="1" t="s">
        <v>282</v>
      </c>
      <c r="B280" s="11"/>
      <c r="C280" s="11"/>
      <c r="D280" s="11"/>
      <c r="E280" s="11"/>
      <c r="F280" s="11"/>
      <c r="G280" s="11"/>
      <c r="H280" s="11"/>
      <c r="I280" s="11"/>
      <c r="J280" s="11"/>
      <c r="K280" s="9"/>
      <c r="L280" s="9"/>
    </row>
    <row r="281" spans="1:12" ht="15" customHeight="1" x14ac:dyDescent="0.3">
      <c r="A281" s="1" t="s">
        <v>283</v>
      </c>
      <c r="B281" s="29" t="s">
        <v>638</v>
      </c>
      <c r="C281" s="11"/>
      <c r="D281" s="11"/>
      <c r="E281" s="11"/>
      <c r="F281" s="11"/>
      <c r="G281" s="11"/>
      <c r="H281" s="11"/>
      <c r="I281" s="11"/>
      <c r="J281" s="11"/>
      <c r="K281" s="9"/>
      <c r="L281" s="9"/>
    </row>
    <row r="282" spans="1:12" ht="15" customHeight="1" x14ac:dyDescent="0.3">
      <c r="A282" s="1" t="s">
        <v>284</v>
      </c>
      <c r="B282" s="4" t="s">
        <v>639</v>
      </c>
      <c r="C282" s="5">
        <v>0.22</v>
      </c>
      <c r="D282" s="5">
        <v>0.71</v>
      </c>
      <c r="E282" s="6">
        <v>1.1000000000000001</v>
      </c>
      <c r="F282" s="6">
        <v>0.81</v>
      </c>
      <c r="G282" s="6">
        <v>0.64</v>
      </c>
      <c r="H282" s="6">
        <v>0.63</v>
      </c>
      <c r="I282" s="7">
        <v>0.82</v>
      </c>
      <c r="J282" s="8" t="s">
        <v>370</v>
      </c>
      <c r="K282" s="9"/>
      <c r="L282" s="9"/>
    </row>
    <row r="283" spans="1:12" ht="15" customHeight="1" x14ac:dyDescent="0.3">
      <c r="A283" s="1" t="s">
        <v>285</v>
      </c>
      <c r="B283" s="4" t="s">
        <v>640</v>
      </c>
      <c r="C283" s="5">
        <v>0.11</v>
      </c>
      <c r="D283" s="5">
        <v>0.39</v>
      </c>
      <c r="E283" s="6">
        <v>0.82</v>
      </c>
      <c r="F283" s="6">
        <v>0.98</v>
      </c>
      <c r="G283" s="6">
        <v>0.59</v>
      </c>
      <c r="H283" s="6">
        <v>0.6</v>
      </c>
      <c r="I283" s="7">
        <v>0.7</v>
      </c>
      <c r="J283" s="8" t="s">
        <v>370</v>
      </c>
      <c r="K283" s="9"/>
      <c r="L283" s="9"/>
    </row>
    <row r="284" spans="1:12" ht="15" customHeight="1" x14ac:dyDescent="0.3">
      <c r="A284" s="1" t="s">
        <v>286</v>
      </c>
      <c r="B284" s="4" t="s">
        <v>641</v>
      </c>
      <c r="C284" s="5">
        <v>0.27</v>
      </c>
      <c r="D284" s="5">
        <v>0.66</v>
      </c>
      <c r="E284" s="6">
        <v>1.07</v>
      </c>
      <c r="F284" s="6">
        <v>0.93</v>
      </c>
      <c r="G284" s="6">
        <v>0.82</v>
      </c>
      <c r="H284" s="6">
        <v>0.6</v>
      </c>
      <c r="I284" s="7">
        <v>0.87</v>
      </c>
      <c r="J284" s="8" t="s">
        <v>370</v>
      </c>
      <c r="K284" s="9"/>
      <c r="L284" s="9"/>
    </row>
    <row r="285" spans="1:12" ht="15" customHeight="1" x14ac:dyDescent="0.3">
      <c r="A285" s="1" t="s">
        <v>287</v>
      </c>
      <c r="B285" s="4" t="s">
        <v>642</v>
      </c>
      <c r="C285" s="5">
        <v>0.08</v>
      </c>
      <c r="D285" s="5">
        <v>0.36</v>
      </c>
      <c r="E285" s="6">
        <v>0.72</v>
      </c>
      <c r="F285" s="6">
        <v>1</v>
      </c>
      <c r="G285" s="6">
        <v>0.75</v>
      </c>
      <c r="H285" s="6">
        <v>0.53</v>
      </c>
      <c r="I285" s="7">
        <v>0.71</v>
      </c>
      <c r="J285" s="8" t="s">
        <v>370</v>
      </c>
      <c r="K285" s="9"/>
      <c r="L285" s="9"/>
    </row>
    <row r="286" spans="1:12" ht="15" customHeight="1" x14ac:dyDescent="0.3">
      <c r="A286" s="1" t="s">
        <v>288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9"/>
      <c r="L286" s="9"/>
    </row>
    <row r="287" spans="1:12" ht="15" customHeight="1" x14ac:dyDescent="0.3">
      <c r="A287" s="1" t="s">
        <v>289</v>
      </c>
      <c r="B287" s="4" t="s">
        <v>643</v>
      </c>
      <c r="C287" s="5">
        <v>0.72</v>
      </c>
      <c r="D287" s="5">
        <v>0.63</v>
      </c>
      <c r="E287" s="6">
        <v>0.48</v>
      </c>
      <c r="F287" s="6">
        <v>0.33</v>
      </c>
      <c r="G287" s="6">
        <v>0.2</v>
      </c>
      <c r="H287" s="6">
        <v>0.15</v>
      </c>
      <c r="I287" s="7">
        <v>0.41</v>
      </c>
      <c r="J287" s="8" t="s">
        <v>359</v>
      </c>
      <c r="K287" s="9"/>
      <c r="L287" s="9"/>
    </row>
    <row r="288" spans="1:12" ht="15" customHeight="1" x14ac:dyDescent="0.3">
      <c r="A288" s="1" t="s">
        <v>290</v>
      </c>
      <c r="B288" s="4" t="s">
        <v>644</v>
      </c>
      <c r="C288" s="5">
        <v>0.6</v>
      </c>
      <c r="D288" s="5">
        <v>0.78</v>
      </c>
      <c r="E288" s="6">
        <v>0.46</v>
      </c>
      <c r="F288" s="6">
        <v>0.25</v>
      </c>
      <c r="G288" s="6">
        <v>0.17</v>
      </c>
      <c r="H288" s="6">
        <v>0.2</v>
      </c>
      <c r="I288" s="7">
        <v>0.42</v>
      </c>
      <c r="J288" s="8" t="s">
        <v>359</v>
      </c>
      <c r="K288" s="9"/>
      <c r="L288" s="9"/>
    </row>
    <row r="289" spans="1:12" ht="15" customHeight="1" x14ac:dyDescent="0.3">
      <c r="A289" s="1" t="s">
        <v>291</v>
      </c>
      <c r="B289" s="4" t="s">
        <v>645</v>
      </c>
      <c r="C289" s="5">
        <v>0.36</v>
      </c>
      <c r="D289" s="5">
        <v>0.8</v>
      </c>
      <c r="E289" s="6">
        <v>0.35</v>
      </c>
      <c r="F289" s="6">
        <v>0.16</v>
      </c>
      <c r="G289" s="6">
        <v>0.1</v>
      </c>
      <c r="H289" s="6">
        <v>0.1</v>
      </c>
      <c r="I289" s="7">
        <v>0.35</v>
      </c>
      <c r="J289" s="8" t="s">
        <v>359</v>
      </c>
      <c r="K289" s="9"/>
      <c r="L289" s="9"/>
    </row>
    <row r="290" spans="1:12" ht="15" customHeight="1" x14ac:dyDescent="0.3">
      <c r="A290" s="1" t="s">
        <v>292</v>
      </c>
      <c r="B290" s="4" t="s">
        <v>646</v>
      </c>
      <c r="C290" s="5">
        <v>0.47</v>
      </c>
      <c r="D290" s="5">
        <v>0.9</v>
      </c>
      <c r="E290" s="6">
        <v>0.83</v>
      </c>
      <c r="F290" s="6">
        <v>0.54</v>
      </c>
      <c r="G290" s="6">
        <v>0.3</v>
      </c>
      <c r="H290" s="6">
        <v>0.2</v>
      </c>
      <c r="I290" s="7">
        <v>0.64</v>
      </c>
      <c r="J290" s="8" t="s">
        <v>359</v>
      </c>
      <c r="K290" s="9"/>
      <c r="L290" s="9"/>
    </row>
    <row r="291" spans="1:12" ht="15" customHeight="1" x14ac:dyDescent="0.3">
      <c r="A291" s="1" t="s">
        <v>293</v>
      </c>
      <c r="B291" s="4" t="s">
        <v>647</v>
      </c>
      <c r="C291" s="5">
        <v>0.16</v>
      </c>
      <c r="D291" s="5">
        <v>0.12</v>
      </c>
      <c r="E291" s="6">
        <v>0.28000000000000003</v>
      </c>
      <c r="F291" s="6">
        <v>0.27</v>
      </c>
      <c r="G291" s="6">
        <v>0.14000000000000001</v>
      </c>
      <c r="H291" s="6">
        <v>0.05</v>
      </c>
      <c r="I291" s="7">
        <v>0.2</v>
      </c>
      <c r="J291" s="8" t="s">
        <v>359</v>
      </c>
      <c r="K291" s="9"/>
      <c r="L291" s="9"/>
    </row>
    <row r="292" spans="1:12" ht="15" customHeight="1" x14ac:dyDescent="0.3">
      <c r="A292" s="1" t="s">
        <v>294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9"/>
      <c r="L292" s="9"/>
    </row>
    <row r="293" spans="1:12" ht="15" customHeight="1" x14ac:dyDescent="0.3">
      <c r="A293" s="1" t="s">
        <v>295</v>
      </c>
      <c r="B293" s="4" t="s">
        <v>648</v>
      </c>
      <c r="C293" s="5">
        <v>0.19</v>
      </c>
      <c r="D293" s="5">
        <v>0.69</v>
      </c>
      <c r="E293" s="6">
        <v>1.04</v>
      </c>
      <c r="F293" s="6">
        <v>0.87</v>
      </c>
      <c r="G293" s="6">
        <v>0.63</v>
      </c>
      <c r="H293" s="6">
        <v>0.39</v>
      </c>
      <c r="I293" s="7">
        <v>0.81</v>
      </c>
      <c r="J293" s="8" t="s">
        <v>370</v>
      </c>
      <c r="K293" s="9"/>
      <c r="L293" s="9"/>
    </row>
    <row r="294" spans="1:12" ht="15" customHeight="1" x14ac:dyDescent="0.3">
      <c r="A294" s="1" t="s">
        <v>296</v>
      </c>
      <c r="B294" s="4" t="s">
        <v>649</v>
      </c>
      <c r="C294" s="5">
        <v>0.2</v>
      </c>
      <c r="D294" s="5">
        <v>0.75</v>
      </c>
      <c r="E294" s="6">
        <v>1.0900000000000001</v>
      </c>
      <c r="F294" s="6">
        <v>0.65</v>
      </c>
      <c r="G294" s="6">
        <v>0.38</v>
      </c>
      <c r="H294" s="6">
        <v>0.21</v>
      </c>
      <c r="I294" s="7">
        <v>0.72</v>
      </c>
      <c r="J294" s="8" t="s">
        <v>370</v>
      </c>
      <c r="K294" s="9"/>
      <c r="L294" s="9"/>
    </row>
    <row r="295" spans="1:12" ht="15" customHeight="1" x14ac:dyDescent="0.3">
      <c r="A295" s="1" t="s">
        <v>297</v>
      </c>
      <c r="B295" s="4" t="s">
        <v>650</v>
      </c>
      <c r="C295" s="5">
        <v>0.05</v>
      </c>
      <c r="D295" s="5">
        <v>0.28000000000000003</v>
      </c>
      <c r="E295" s="6">
        <v>0.63</v>
      </c>
      <c r="F295" s="6">
        <v>0.95</v>
      </c>
      <c r="G295" s="6">
        <v>0.55000000000000004</v>
      </c>
      <c r="H295" s="6">
        <v>0.31</v>
      </c>
      <c r="I295" s="7">
        <v>0.6</v>
      </c>
      <c r="J295" s="8" t="s">
        <v>370</v>
      </c>
      <c r="K295" s="9"/>
      <c r="L295" s="9"/>
    </row>
    <row r="296" spans="1:12" ht="15" customHeight="1" x14ac:dyDescent="0.3">
      <c r="A296" s="1" t="s">
        <v>298</v>
      </c>
      <c r="B296" s="4" t="s">
        <v>651</v>
      </c>
      <c r="C296" s="5">
        <v>0.1</v>
      </c>
      <c r="D296" s="5">
        <v>0.32</v>
      </c>
      <c r="E296" s="6">
        <v>0.78</v>
      </c>
      <c r="F296" s="6">
        <v>0.89</v>
      </c>
      <c r="G296" s="6">
        <v>0.31</v>
      </c>
      <c r="H296" s="6">
        <v>0.22</v>
      </c>
      <c r="I296" s="7">
        <v>0.57999999999999996</v>
      </c>
      <c r="J296" s="8" t="s">
        <v>370</v>
      </c>
      <c r="K296" s="9"/>
      <c r="L296" s="9"/>
    </row>
    <row r="297" spans="1:12" ht="15" customHeight="1" x14ac:dyDescent="0.3">
      <c r="A297" s="1" t="s">
        <v>299</v>
      </c>
      <c r="B297" s="4" t="s">
        <v>652</v>
      </c>
      <c r="C297" s="5">
        <v>0.47</v>
      </c>
      <c r="D297" s="5">
        <v>0.87</v>
      </c>
      <c r="E297" s="6">
        <v>0.7</v>
      </c>
      <c r="F297" s="6">
        <v>0.42</v>
      </c>
      <c r="G297" s="6">
        <v>0.43</v>
      </c>
      <c r="H297" s="6">
        <v>0.26</v>
      </c>
      <c r="I297" s="7">
        <v>0.61</v>
      </c>
      <c r="J297" s="8" t="s">
        <v>370</v>
      </c>
      <c r="K297" s="9"/>
      <c r="L297" s="9"/>
    </row>
    <row r="298" spans="1:12" ht="15" customHeight="1" x14ac:dyDescent="0.3">
      <c r="A298" s="1" t="s">
        <v>300</v>
      </c>
      <c r="B298" s="4" t="s">
        <v>653</v>
      </c>
      <c r="C298" s="5">
        <v>0.52</v>
      </c>
      <c r="D298" s="5">
        <v>0.98</v>
      </c>
      <c r="E298" s="6">
        <v>0.76</v>
      </c>
      <c r="F298" s="6">
        <v>0.57999999999999996</v>
      </c>
      <c r="G298" s="6">
        <v>0.47</v>
      </c>
      <c r="H298" s="6">
        <v>0.32</v>
      </c>
      <c r="I298" s="7">
        <v>0.7</v>
      </c>
      <c r="J298" s="8" t="s">
        <v>370</v>
      </c>
      <c r="K298" s="9"/>
      <c r="L298" s="9"/>
    </row>
    <row r="299" spans="1:12" ht="15" customHeight="1" x14ac:dyDescent="0.3">
      <c r="A299" s="1" t="s">
        <v>301</v>
      </c>
      <c r="B299" s="4" t="s">
        <v>654</v>
      </c>
      <c r="C299" s="5">
        <v>0.08</v>
      </c>
      <c r="D299" s="5">
        <v>0.06</v>
      </c>
      <c r="E299" s="6">
        <v>0.06</v>
      </c>
      <c r="F299" s="6">
        <v>7.0000000000000007E-2</v>
      </c>
      <c r="G299" s="6">
        <v>7.0000000000000007E-2</v>
      </c>
      <c r="H299" s="6">
        <v>0.03</v>
      </c>
      <c r="I299" s="7">
        <v>7.0000000000000007E-2</v>
      </c>
      <c r="J299" s="8" t="s">
        <v>370</v>
      </c>
      <c r="K299" s="9"/>
      <c r="L299" s="9"/>
    </row>
    <row r="300" spans="1:12" ht="15" customHeight="1" x14ac:dyDescent="0.3">
      <c r="A300" s="1" t="s">
        <v>302</v>
      </c>
      <c r="B300" s="4" t="s">
        <v>655</v>
      </c>
      <c r="C300" s="5">
        <v>7.0000000000000007E-2</v>
      </c>
      <c r="D300" s="5">
        <v>0.05</v>
      </c>
      <c r="E300" s="6">
        <v>0.05</v>
      </c>
      <c r="F300" s="6">
        <v>0.06</v>
      </c>
      <c r="G300" s="6">
        <v>0.05</v>
      </c>
      <c r="H300" s="6">
        <v>0.03</v>
      </c>
      <c r="I300" s="7">
        <v>0.05</v>
      </c>
      <c r="J300" s="8" t="s">
        <v>370</v>
      </c>
      <c r="K300" s="9"/>
      <c r="L300" s="9"/>
    </row>
    <row r="301" spans="1:12" ht="15" customHeight="1" x14ac:dyDescent="0.3">
      <c r="A301" s="1" t="s">
        <v>303</v>
      </c>
      <c r="B301" s="11"/>
      <c r="C301" s="11"/>
      <c r="D301" s="11"/>
      <c r="E301" s="11"/>
      <c r="F301" s="11"/>
      <c r="G301" s="11"/>
      <c r="H301" s="11"/>
      <c r="I301" s="11"/>
      <c r="J301" s="11"/>
      <c r="K301" s="9"/>
      <c r="L301" s="9"/>
    </row>
    <row r="302" spans="1:12" ht="15" customHeight="1" x14ac:dyDescent="0.3">
      <c r="A302" s="1" t="s">
        <v>304</v>
      </c>
      <c r="B302" s="29" t="s">
        <v>656</v>
      </c>
      <c r="C302" s="11"/>
      <c r="D302" s="11"/>
      <c r="E302" s="11"/>
      <c r="F302" s="11"/>
      <c r="G302" s="11"/>
      <c r="H302" s="11"/>
      <c r="I302" s="11"/>
      <c r="J302" s="11"/>
      <c r="K302" s="9"/>
      <c r="L302" s="9"/>
    </row>
    <row r="303" spans="1:12" ht="15" customHeight="1" x14ac:dyDescent="0.3">
      <c r="A303" s="1" t="s">
        <v>305</v>
      </c>
      <c r="B303" s="4" t="s">
        <v>657</v>
      </c>
      <c r="C303" s="5">
        <v>0.05</v>
      </c>
      <c r="D303" s="5">
        <v>0.1</v>
      </c>
      <c r="E303" s="6">
        <v>0.1</v>
      </c>
      <c r="F303" s="6">
        <v>0.1</v>
      </c>
      <c r="G303" s="6">
        <v>0.1</v>
      </c>
      <c r="H303" s="6">
        <v>0.15</v>
      </c>
      <c r="I303" s="7">
        <v>0.1</v>
      </c>
      <c r="J303" s="8" t="s">
        <v>658</v>
      </c>
      <c r="K303" s="9"/>
      <c r="L303" s="9"/>
    </row>
    <row r="304" spans="1:12" ht="15" customHeight="1" x14ac:dyDescent="0.3">
      <c r="A304" s="1" t="s">
        <v>306</v>
      </c>
      <c r="B304" s="4" t="s">
        <v>659</v>
      </c>
      <c r="C304" s="5">
        <v>0.3</v>
      </c>
      <c r="D304" s="5">
        <v>0.22</v>
      </c>
      <c r="E304" s="6">
        <v>0.15</v>
      </c>
      <c r="F304" s="6">
        <v>0.13</v>
      </c>
      <c r="G304" s="6">
        <v>0.1</v>
      </c>
      <c r="H304" s="6">
        <v>0.15</v>
      </c>
      <c r="I304" s="7">
        <v>0.15</v>
      </c>
      <c r="J304" s="8" t="s">
        <v>518</v>
      </c>
      <c r="K304" s="9"/>
      <c r="L304" s="9"/>
    </row>
    <row r="305" spans="1:12" ht="15" customHeight="1" x14ac:dyDescent="0.3">
      <c r="A305" s="1" t="s">
        <v>307</v>
      </c>
      <c r="B305" s="4" t="s">
        <v>660</v>
      </c>
      <c r="C305" s="5">
        <v>0.28000000000000003</v>
      </c>
      <c r="D305" s="5">
        <v>0.15</v>
      </c>
      <c r="E305" s="6">
        <v>0.09</v>
      </c>
      <c r="F305" s="6">
        <v>0.1</v>
      </c>
      <c r="G305" s="6">
        <v>0.16</v>
      </c>
      <c r="H305" s="6">
        <v>0.12</v>
      </c>
      <c r="I305" s="7">
        <v>0.13</v>
      </c>
      <c r="J305" s="8" t="s">
        <v>370</v>
      </c>
      <c r="K305" s="9"/>
      <c r="L305" s="9"/>
    </row>
    <row r="306" spans="1:12" ht="15" customHeight="1" x14ac:dyDescent="0.3">
      <c r="A306" s="1" t="s">
        <v>308</v>
      </c>
      <c r="B306" s="11"/>
      <c r="C306" s="11"/>
      <c r="D306" s="11"/>
      <c r="E306" s="11"/>
      <c r="F306" s="11"/>
      <c r="G306" s="11"/>
      <c r="H306" s="11"/>
      <c r="I306" s="11"/>
      <c r="J306" s="11"/>
      <c r="K306" s="9"/>
      <c r="L306" s="9"/>
    </row>
    <row r="307" spans="1:12" ht="15" customHeight="1" x14ac:dyDescent="0.3">
      <c r="A307" s="1" t="s">
        <v>309</v>
      </c>
      <c r="B307" s="29" t="s">
        <v>661</v>
      </c>
      <c r="C307" s="11"/>
      <c r="D307" s="11"/>
      <c r="E307" s="11"/>
      <c r="F307" s="11"/>
      <c r="G307" s="11"/>
      <c r="H307" s="11"/>
      <c r="I307" s="11"/>
      <c r="J307" s="11"/>
      <c r="K307" s="9"/>
      <c r="L307" s="9"/>
    </row>
    <row r="308" spans="1:12" ht="15" customHeight="1" x14ac:dyDescent="0.3">
      <c r="A308" s="1" t="s">
        <v>310</v>
      </c>
      <c r="B308" s="4" t="s">
        <v>662</v>
      </c>
      <c r="C308" s="11"/>
      <c r="D308" s="11"/>
      <c r="E308" s="6">
        <v>0.3</v>
      </c>
      <c r="F308" s="6">
        <v>0.56000000000000005</v>
      </c>
      <c r="G308" s="6">
        <v>0.59</v>
      </c>
      <c r="H308" s="6">
        <v>0.57999999999999996</v>
      </c>
      <c r="I308" s="11"/>
      <c r="J308" s="11"/>
      <c r="K308" s="9"/>
      <c r="L308" s="9"/>
    </row>
    <row r="309" spans="1:12" ht="15" customHeight="1" x14ac:dyDescent="0.3">
      <c r="A309" s="1" t="s">
        <v>311</v>
      </c>
      <c r="B309" s="4" t="s">
        <v>663</v>
      </c>
      <c r="C309" s="11"/>
      <c r="D309" s="5">
        <v>0.06</v>
      </c>
      <c r="E309" s="6">
        <v>0.4</v>
      </c>
      <c r="F309" s="6">
        <v>0.4</v>
      </c>
      <c r="G309" s="6">
        <v>0.47</v>
      </c>
      <c r="H309" s="6">
        <v>0.56000000000000005</v>
      </c>
      <c r="I309" s="7">
        <v>0.33</v>
      </c>
      <c r="J309" s="11"/>
      <c r="K309" s="9"/>
      <c r="L309" s="9"/>
    </row>
    <row r="310" spans="1:12" ht="15" customHeight="1" x14ac:dyDescent="0.3">
      <c r="A310" s="1" t="s">
        <v>312</v>
      </c>
      <c r="B310" s="4" t="s">
        <v>664</v>
      </c>
      <c r="C310" s="11"/>
      <c r="D310" s="5">
        <v>0.02</v>
      </c>
      <c r="E310" s="6">
        <v>0.39</v>
      </c>
      <c r="F310" s="6">
        <v>0.46</v>
      </c>
      <c r="G310" s="6">
        <v>0.57999999999999996</v>
      </c>
      <c r="H310" s="6">
        <v>0.68</v>
      </c>
      <c r="I310" s="7">
        <v>0.36</v>
      </c>
      <c r="J310" s="11"/>
      <c r="K310" s="9"/>
      <c r="L310" s="9"/>
    </row>
    <row r="311" spans="1:12" ht="15" customHeight="1" x14ac:dyDescent="0.3">
      <c r="A311" s="1" t="s">
        <v>313</v>
      </c>
      <c r="B311" s="4" t="s">
        <v>665</v>
      </c>
      <c r="C311" s="5">
        <v>0.09</v>
      </c>
      <c r="D311" s="5">
        <v>0.18</v>
      </c>
      <c r="E311" s="6">
        <v>0.61</v>
      </c>
      <c r="F311" s="6">
        <v>0.92</v>
      </c>
      <c r="G311" s="6">
        <v>0.93</v>
      </c>
      <c r="H311" s="6">
        <v>0.97</v>
      </c>
      <c r="I311" s="7">
        <v>0.66</v>
      </c>
      <c r="J311" s="8" t="s">
        <v>370</v>
      </c>
      <c r="K311" s="9"/>
      <c r="L311" s="9"/>
    </row>
    <row r="312" spans="1:12" ht="15" customHeight="1" x14ac:dyDescent="0.3">
      <c r="A312" s="1" t="s">
        <v>314</v>
      </c>
      <c r="B312" s="4" t="s">
        <v>666</v>
      </c>
      <c r="C312" s="5">
        <v>0.24</v>
      </c>
      <c r="D312" s="5">
        <v>0.32</v>
      </c>
      <c r="E312" s="6">
        <v>0.82</v>
      </c>
      <c r="F312" s="6">
        <v>1.01</v>
      </c>
      <c r="G312" s="6">
        <v>0.97</v>
      </c>
      <c r="H312" s="6">
        <v>0.9</v>
      </c>
      <c r="I312" s="7">
        <v>0.78</v>
      </c>
      <c r="J312" s="8" t="s">
        <v>370</v>
      </c>
      <c r="K312" s="9"/>
      <c r="L312" s="9"/>
    </row>
    <row r="313" spans="1:12" ht="15" customHeight="1" x14ac:dyDescent="0.3">
      <c r="A313" s="1" t="s">
        <v>315</v>
      </c>
      <c r="B313" s="4" t="s">
        <v>667</v>
      </c>
      <c r="C313" s="5">
        <v>0.14000000000000001</v>
      </c>
      <c r="D313" s="5">
        <v>0.48</v>
      </c>
      <c r="E313" s="6">
        <v>0.73</v>
      </c>
      <c r="F313" s="6">
        <v>0.92</v>
      </c>
      <c r="G313" s="6">
        <v>1.02</v>
      </c>
      <c r="H313" s="6">
        <v>0.98</v>
      </c>
      <c r="I313" s="7">
        <v>0.79</v>
      </c>
      <c r="J313" s="8" t="s">
        <v>359</v>
      </c>
      <c r="K313" s="9"/>
      <c r="L313" s="9"/>
    </row>
    <row r="314" spans="1:12" ht="15" customHeight="1" x14ac:dyDescent="0.3">
      <c r="A314" s="1" t="s">
        <v>316</v>
      </c>
      <c r="B314" s="4" t="s">
        <v>668</v>
      </c>
      <c r="C314" s="5">
        <v>0.31</v>
      </c>
      <c r="D314" s="5">
        <v>0.77</v>
      </c>
      <c r="E314" s="6">
        <v>0.93</v>
      </c>
      <c r="F314" s="6">
        <v>1.0900000000000001</v>
      </c>
      <c r="G314" s="6">
        <v>1.18</v>
      </c>
      <c r="H314" s="6">
        <v>1.06</v>
      </c>
      <c r="I314" s="7">
        <v>0.99</v>
      </c>
      <c r="J314" s="8" t="s">
        <v>359</v>
      </c>
      <c r="K314" s="9"/>
      <c r="L314" s="9"/>
    </row>
    <row r="315" spans="1:12" ht="15" customHeight="1" x14ac:dyDescent="0.3">
      <c r="A315" s="1" t="s">
        <v>317</v>
      </c>
      <c r="B315" s="4" t="s">
        <v>669</v>
      </c>
      <c r="C315" s="5">
        <v>0.39</v>
      </c>
      <c r="D315" s="5">
        <v>0.88</v>
      </c>
      <c r="E315" s="6">
        <v>1.07</v>
      </c>
      <c r="F315" s="6">
        <v>1.07</v>
      </c>
      <c r="G315" s="6">
        <v>1.22</v>
      </c>
      <c r="H315" s="6">
        <v>1.03</v>
      </c>
      <c r="I315" s="7">
        <v>1.06</v>
      </c>
      <c r="J315" s="8" t="s">
        <v>359</v>
      </c>
      <c r="K315" s="9"/>
      <c r="L315" s="9"/>
    </row>
    <row r="316" spans="1:12" ht="15" customHeight="1" x14ac:dyDescent="0.3">
      <c r="A316" s="1" t="s">
        <v>318</v>
      </c>
      <c r="B316" s="11"/>
      <c r="C316" s="11"/>
      <c r="D316" s="11"/>
      <c r="E316" s="11"/>
      <c r="F316" s="11"/>
      <c r="G316" s="11"/>
      <c r="H316" s="11"/>
      <c r="I316" s="11"/>
      <c r="J316" s="11"/>
      <c r="K316" s="9"/>
      <c r="L316" s="9"/>
    </row>
    <row r="317" spans="1:12" ht="15" customHeight="1" x14ac:dyDescent="0.3">
      <c r="A317" s="1" t="s">
        <v>319</v>
      </c>
      <c r="B317" s="29" t="s">
        <v>670</v>
      </c>
      <c r="C317" s="11"/>
      <c r="D317" s="11"/>
      <c r="E317" s="11"/>
      <c r="F317" s="11"/>
      <c r="G317" s="11"/>
      <c r="H317" s="11"/>
      <c r="I317" s="11"/>
      <c r="J317" s="11"/>
      <c r="K317" s="9"/>
      <c r="L317" s="9"/>
    </row>
    <row r="318" spans="1:12" ht="15" customHeight="1" x14ac:dyDescent="0.3">
      <c r="A318" s="1" t="s">
        <v>320</v>
      </c>
      <c r="B318" s="4" t="s">
        <v>671</v>
      </c>
      <c r="C318" s="5">
        <v>0.05</v>
      </c>
      <c r="D318" s="5">
        <v>0.14000000000000001</v>
      </c>
      <c r="E318" s="6">
        <v>0.38</v>
      </c>
      <c r="F318" s="6">
        <v>0.76</v>
      </c>
      <c r="G318" s="6">
        <v>0.98</v>
      </c>
      <c r="H318" s="6">
        <v>0.9</v>
      </c>
      <c r="I318" s="7">
        <v>0.56000000000000005</v>
      </c>
      <c r="J318" s="8" t="s">
        <v>672</v>
      </c>
      <c r="K318" s="9"/>
      <c r="L318" s="9"/>
    </row>
    <row r="319" spans="1:12" ht="15" customHeight="1" x14ac:dyDescent="0.3">
      <c r="A319" s="1" t="s">
        <v>321</v>
      </c>
      <c r="B319" s="4" t="s">
        <v>673</v>
      </c>
      <c r="C319" s="5">
        <v>0.13</v>
      </c>
      <c r="D319" s="5">
        <v>0.48</v>
      </c>
      <c r="E319" s="6">
        <v>0.83</v>
      </c>
      <c r="F319" s="6">
        <v>0.9</v>
      </c>
      <c r="G319" s="6">
        <v>0.88</v>
      </c>
      <c r="H319" s="6">
        <v>1.08</v>
      </c>
      <c r="I319" s="7">
        <v>0.77</v>
      </c>
      <c r="J319" s="8" t="s">
        <v>672</v>
      </c>
      <c r="K319" s="9"/>
      <c r="L319" s="9"/>
    </row>
    <row r="320" spans="1:12" ht="15" customHeight="1" x14ac:dyDescent="0.3">
      <c r="A320" s="1" t="s">
        <v>322</v>
      </c>
      <c r="B320" s="4" t="s">
        <v>674</v>
      </c>
      <c r="C320" s="5">
        <v>0.35</v>
      </c>
      <c r="D320" s="5">
        <v>0.76</v>
      </c>
      <c r="E320" s="6">
        <v>0.91</v>
      </c>
      <c r="F320" s="6">
        <v>0.78</v>
      </c>
      <c r="G320" s="6">
        <v>0.83</v>
      </c>
      <c r="H320" s="6">
        <v>1.05</v>
      </c>
      <c r="I320" s="7">
        <v>0.82</v>
      </c>
      <c r="J320" s="8" t="s">
        <v>672</v>
      </c>
      <c r="K320" s="9"/>
      <c r="L320" s="9"/>
    </row>
    <row r="321" spans="1:12" ht="15" customHeight="1" x14ac:dyDescent="0.3">
      <c r="A321" s="1" t="s">
        <v>323</v>
      </c>
      <c r="B321" s="11"/>
      <c r="C321" s="11"/>
      <c r="D321" s="11"/>
      <c r="E321" s="11"/>
      <c r="F321" s="11"/>
      <c r="G321" s="11"/>
      <c r="H321" s="11"/>
      <c r="I321" s="11"/>
      <c r="J321" s="11"/>
      <c r="K321" s="9"/>
      <c r="L321" s="9"/>
    </row>
    <row r="322" spans="1:12" ht="15" customHeight="1" x14ac:dyDescent="0.3">
      <c r="A322" s="1" t="s">
        <v>324</v>
      </c>
      <c r="B322" s="29" t="s">
        <v>675</v>
      </c>
      <c r="C322" s="11"/>
      <c r="D322" s="11"/>
      <c r="E322" s="11"/>
      <c r="F322" s="11"/>
      <c r="G322" s="11"/>
      <c r="H322" s="11"/>
      <c r="I322" s="11"/>
      <c r="J322" s="11"/>
      <c r="K322" s="9"/>
      <c r="L322" s="9"/>
    </row>
    <row r="323" spans="1:12" ht="15" customHeight="1" x14ac:dyDescent="0.3">
      <c r="A323" s="1" t="s">
        <v>325</v>
      </c>
      <c r="B323" s="4" t="s">
        <v>676</v>
      </c>
      <c r="C323" s="5">
        <v>0.3</v>
      </c>
      <c r="D323" s="5">
        <v>0.05</v>
      </c>
      <c r="E323" s="6">
        <v>0.05</v>
      </c>
      <c r="F323" s="6">
        <v>0.05</v>
      </c>
      <c r="G323" s="6">
        <v>0.05</v>
      </c>
      <c r="H323" s="6">
        <v>0.05</v>
      </c>
      <c r="I323" s="7">
        <v>0.05</v>
      </c>
      <c r="J323" s="8" t="s">
        <v>353</v>
      </c>
      <c r="K323" s="9"/>
      <c r="L323" s="9"/>
    </row>
    <row r="324" spans="1:12" ht="15" customHeight="1" x14ac:dyDescent="0.3">
      <c r="A324" s="1" t="s">
        <v>326</v>
      </c>
      <c r="B324" s="4" t="s">
        <v>677</v>
      </c>
      <c r="C324" s="5">
        <v>0.4</v>
      </c>
      <c r="D324" s="5">
        <v>0.25</v>
      </c>
      <c r="E324" s="6">
        <v>0.15</v>
      </c>
      <c r="F324" s="6">
        <v>0.1</v>
      </c>
      <c r="G324" s="6">
        <v>0.1</v>
      </c>
      <c r="H324" s="6">
        <v>0.05</v>
      </c>
      <c r="I324" s="7">
        <v>0.15</v>
      </c>
      <c r="J324" s="8" t="s">
        <v>492</v>
      </c>
      <c r="K324" s="9"/>
      <c r="L324" s="9"/>
    </row>
    <row r="325" spans="1:12" ht="15" customHeight="1" x14ac:dyDescent="0.3">
      <c r="A325" s="1" t="s">
        <v>327</v>
      </c>
      <c r="B325" s="4" t="s">
        <v>678</v>
      </c>
      <c r="C325" s="5">
        <v>0.14000000000000001</v>
      </c>
      <c r="D325" s="5">
        <v>7.0000000000000007E-2</v>
      </c>
      <c r="E325" s="6">
        <v>0.05</v>
      </c>
      <c r="F325" s="6">
        <v>0.05</v>
      </c>
      <c r="G325" s="6">
        <v>0.05</v>
      </c>
      <c r="H325" s="6">
        <v>0.05</v>
      </c>
      <c r="I325" s="7">
        <v>0.06</v>
      </c>
      <c r="J325" s="8" t="s">
        <v>353</v>
      </c>
      <c r="K325" s="9"/>
      <c r="L325" s="9"/>
    </row>
    <row r="326" spans="1:12" ht="15" customHeight="1" x14ac:dyDescent="0.3">
      <c r="A326" s="1" t="s">
        <v>328</v>
      </c>
      <c r="B326" s="4" t="s">
        <v>679</v>
      </c>
      <c r="C326" s="5">
        <v>0.05</v>
      </c>
      <c r="D326" s="5">
        <v>0.3</v>
      </c>
      <c r="E326" s="6">
        <v>0.08</v>
      </c>
      <c r="F326" s="6">
        <v>0.05</v>
      </c>
      <c r="G326" s="6">
        <v>0.05</v>
      </c>
      <c r="H326" s="6">
        <v>0.05</v>
      </c>
      <c r="I326" s="7">
        <v>0.12</v>
      </c>
      <c r="J326" s="8" t="s">
        <v>353</v>
      </c>
      <c r="K326" s="9"/>
      <c r="L326" s="9"/>
    </row>
    <row r="327" spans="1:12" ht="15" customHeight="1" x14ac:dyDescent="0.3">
      <c r="A327" s="1" t="s">
        <v>329</v>
      </c>
      <c r="B327" s="4" t="s">
        <v>680</v>
      </c>
      <c r="C327" s="5">
        <v>0.3</v>
      </c>
      <c r="D327" s="5">
        <v>0.08</v>
      </c>
      <c r="E327" s="6">
        <v>0.05</v>
      </c>
      <c r="F327" s="6">
        <v>0.05</v>
      </c>
      <c r="G327" s="6">
        <v>0.05</v>
      </c>
      <c r="H327" s="6">
        <v>0.05</v>
      </c>
      <c r="I327" s="7">
        <v>0.06</v>
      </c>
      <c r="J327" s="8" t="s">
        <v>353</v>
      </c>
      <c r="K327" s="9"/>
      <c r="L327" s="9"/>
    </row>
    <row r="328" spans="1:12" ht="15" customHeight="1" x14ac:dyDescent="0.3">
      <c r="A328" s="1" t="s">
        <v>330</v>
      </c>
      <c r="B328" s="4" t="s">
        <v>681</v>
      </c>
      <c r="C328" s="5">
        <v>0.5</v>
      </c>
      <c r="D328" s="5">
        <v>0.2</v>
      </c>
      <c r="E328" s="6">
        <v>0.08</v>
      </c>
      <c r="F328" s="6">
        <v>0.05</v>
      </c>
      <c r="G328" s="6">
        <v>0.05</v>
      </c>
      <c r="H328" s="6">
        <v>0.04</v>
      </c>
      <c r="I328" s="7">
        <v>0.1</v>
      </c>
      <c r="J328" s="8" t="s">
        <v>353</v>
      </c>
      <c r="K328" s="9"/>
      <c r="L328" s="9"/>
    </row>
    <row r="329" spans="1:12" ht="15" customHeight="1" x14ac:dyDescent="0.3">
      <c r="A329" s="1" t="s">
        <v>331</v>
      </c>
      <c r="B329" s="4" t="s">
        <v>682</v>
      </c>
      <c r="C329" s="5">
        <v>0.06</v>
      </c>
      <c r="D329" s="5">
        <v>7.0000000000000007E-2</v>
      </c>
      <c r="E329" s="6">
        <v>0.09</v>
      </c>
      <c r="F329" s="6">
        <v>0.1</v>
      </c>
      <c r="G329" s="6">
        <v>0.1</v>
      </c>
      <c r="H329" s="6">
        <v>0.12</v>
      </c>
      <c r="I329" s="7">
        <v>0.09</v>
      </c>
      <c r="J329" s="8" t="s">
        <v>683</v>
      </c>
      <c r="K329" s="9"/>
      <c r="L329" s="9"/>
    </row>
    <row r="330" spans="1:12" ht="15" customHeight="1" x14ac:dyDescent="0.3">
      <c r="A330" s="1" t="s">
        <v>332</v>
      </c>
      <c r="B330" s="4" t="s">
        <v>684</v>
      </c>
      <c r="C330" s="5">
        <v>0.51</v>
      </c>
      <c r="D330" s="5">
        <v>0.17</v>
      </c>
      <c r="E330" s="6">
        <v>0.05</v>
      </c>
      <c r="F330" s="6">
        <v>0.04</v>
      </c>
      <c r="G330" s="6">
        <v>0.05</v>
      </c>
      <c r="H330" s="6">
        <v>7.0000000000000007E-2</v>
      </c>
      <c r="I330" s="7">
        <v>0.08</v>
      </c>
      <c r="J330" s="8" t="s">
        <v>353</v>
      </c>
      <c r="K330" s="9"/>
      <c r="L330" s="9"/>
    </row>
    <row r="331" spans="1:12" ht="15" customHeight="1" x14ac:dyDescent="0.3">
      <c r="A331" s="1" t="s">
        <v>333</v>
      </c>
      <c r="B331" s="4" t="s">
        <v>685</v>
      </c>
      <c r="C331" s="5">
        <v>0.24</v>
      </c>
      <c r="D331" s="5">
        <v>0.35</v>
      </c>
      <c r="E331" s="6">
        <v>0.24</v>
      </c>
      <c r="F331" s="6">
        <v>0.28999999999999998</v>
      </c>
      <c r="G331" s="6">
        <v>0.16</v>
      </c>
      <c r="H331" s="6">
        <v>0.08</v>
      </c>
      <c r="I331" s="7">
        <v>0.26</v>
      </c>
      <c r="J331" s="8" t="s">
        <v>370</v>
      </c>
      <c r="K331" s="9"/>
      <c r="L331" s="9"/>
    </row>
    <row r="332" spans="1:12" ht="15" customHeight="1" x14ac:dyDescent="0.3">
      <c r="A332" s="1" t="s">
        <v>334</v>
      </c>
      <c r="B332" s="11"/>
      <c r="C332" s="11"/>
      <c r="D332" s="11"/>
      <c r="E332" s="11"/>
      <c r="F332" s="11"/>
      <c r="G332" s="11"/>
      <c r="H332" s="11"/>
      <c r="I332" s="11"/>
      <c r="J332" s="11"/>
      <c r="K332" s="9"/>
      <c r="L332" s="9"/>
    </row>
    <row r="333" spans="1:12" ht="15" customHeight="1" x14ac:dyDescent="0.3">
      <c r="A333" s="1" t="s">
        <v>334</v>
      </c>
      <c r="B333" s="29" t="s">
        <v>686</v>
      </c>
      <c r="C333" s="11"/>
      <c r="D333" s="11"/>
      <c r="E333" s="11"/>
      <c r="F333" s="11"/>
      <c r="G333" s="11"/>
      <c r="H333" s="11"/>
      <c r="I333" s="11"/>
      <c r="J333" s="11"/>
      <c r="K333" s="9"/>
      <c r="L333" s="9"/>
    </row>
    <row r="334" spans="1:12" ht="15" customHeight="1" x14ac:dyDescent="0.3">
      <c r="A334" s="1" t="s">
        <v>335</v>
      </c>
      <c r="B334" s="4" t="s">
        <v>687</v>
      </c>
      <c r="C334" s="5">
        <v>0.23</v>
      </c>
      <c r="D334" s="5">
        <v>0.78</v>
      </c>
      <c r="E334" s="6">
        <v>0.94</v>
      </c>
      <c r="F334" s="6">
        <v>0.95</v>
      </c>
      <c r="G334" s="6">
        <v>0.9</v>
      </c>
      <c r="H334" s="6">
        <v>0.83</v>
      </c>
      <c r="I334" s="7">
        <v>0.89</v>
      </c>
      <c r="J334" s="8" t="s">
        <v>688</v>
      </c>
      <c r="K334" s="9"/>
      <c r="L334" s="9"/>
    </row>
    <row r="335" spans="1:12" ht="15" customHeight="1" x14ac:dyDescent="0.3">
      <c r="A335" s="1" t="s">
        <v>336</v>
      </c>
      <c r="B335" s="4" t="s">
        <v>689</v>
      </c>
      <c r="C335" s="5">
        <v>0.73</v>
      </c>
      <c r="D335" s="5">
        <v>0.84</v>
      </c>
      <c r="E335" s="6">
        <v>0.94</v>
      </c>
      <c r="F335" s="6">
        <v>0.95</v>
      </c>
      <c r="G335" s="6">
        <v>0.9</v>
      </c>
      <c r="H335" s="6">
        <v>0.83</v>
      </c>
      <c r="I335" s="7">
        <v>0.91</v>
      </c>
      <c r="J335" s="8" t="s">
        <v>353</v>
      </c>
      <c r="K335" s="9"/>
      <c r="L335" s="9"/>
    </row>
    <row r="336" spans="1:12" ht="15" customHeight="1" x14ac:dyDescent="0.3">
      <c r="A336" s="1" t="s">
        <v>337</v>
      </c>
      <c r="B336" s="4" t="s">
        <v>690</v>
      </c>
      <c r="C336" s="5">
        <v>0.15</v>
      </c>
      <c r="D336" s="5">
        <v>0.35</v>
      </c>
      <c r="E336" s="6">
        <v>0.85</v>
      </c>
      <c r="F336" s="6">
        <v>1</v>
      </c>
      <c r="G336" s="6">
        <v>1.1000000000000001</v>
      </c>
      <c r="H336" s="6">
        <v>1.05</v>
      </c>
      <c r="I336" s="7">
        <v>0.83</v>
      </c>
      <c r="J336" s="8" t="s">
        <v>691</v>
      </c>
      <c r="K336" s="9"/>
      <c r="L336" s="9"/>
    </row>
    <row r="337" spans="1:12" ht="15" customHeight="1" x14ac:dyDescent="0.3">
      <c r="A337" s="1" t="s">
        <v>338</v>
      </c>
      <c r="B337" s="4" t="s">
        <v>692</v>
      </c>
      <c r="C337" s="5">
        <v>0.35</v>
      </c>
      <c r="D337" s="5">
        <v>0.65</v>
      </c>
      <c r="E337" s="6">
        <v>1.2</v>
      </c>
      <c r="F337" s="6">
        <v>1.2</v>
      </c>
      <c r="G337" s="6">
        <v>1.1000000000000001</v>
      </c>
      <c r="H337" s="6">
        <v>0.92</v>
      </c>
      <c r="I337" s="7">
        <v>1.04</v>
      </c>
      <c r="J337" s="11"/>
      <c r="K337" s="9"/>
      <c r="L337" s="9"/>
    </row>
    <row r="338" spans="1:12" ht="15" customHeight="1" x14ac:dyDescent="0.3">
      <c r="A338" s="1" t="s">
        <v>339</v>
      </c>
      <c r="B338" s="4" t="s">
        <v>693</v>
      </c>
      <c r="C338" s="5">
        <v>0.97</v>
      </c>
      <c r="D338" s="5">
        <v>1.4</v>
      </c>
      <c r="E338" s="6">
        <v>1.3</v>
      </c>
      <c r="F338" s="6">
        <v>1.3</v>
      </c>
      <c r="G338" s="6">
        <v>1.2</v>
      </c>
      <c r="H338" s="6">
        <v>1</v>
      </c>
      <c r="I338" s="7">
        <v>1.3</v>
      </c>
      <c r="J338" s="11"/>
      <c r="K338" s="9"/>
      <c r="L338" s="9"/>
    </row>
    <row r="339" spans="1:12" ht="15" customHeight="1" x14ac:dyDescent="0.3">
      <c r="A339" s="1" t="s">
        <v>340</v>
      </c>
      <c r="B339" s="4" t="s">
        <v>694</v>
      </c>
      <c r="C339" s="5">
        <v>0.01</v>
      </c>
      <c r="D339" s="5">
        <v>7.0000000000000007E-2</v>
      </c>
      <c r="E339" s="6">
        <v>0.44</v>
      </c>
      <c r="F339" s="6">
        <v>0.61</v>
      </c>
      <c r="G339" s="6">
        <v>0.48</v>
      </c>
      <c r="H339" s="6">
        <v>0.69</v>
      </c>
      <c r="I339" s="7">
        <v>0.4</v>
      </c>
      <c r="J339" s="8" t="s">
        <v>695</v>
      </c>
      <c r="K339" s="9"/>
      <c r="L33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392</vt:i4>
      </vt:variant>
    </vt:vector>
  </HeadingPairs>
  <TitlesOfParts>
    <vt:vector size="396" baseType="lpstr">
      <vt:lpstr>Inputs</vt:lpstr>
      <vt:lpstr>Results</vt:lpstr>
      <vt:lpstr>Calculations</vt:lpstr>
      <vt:lpstr>Absorption Coefficients</vt:lpstr>
      <vt:lpstr>absorbancy_125Hz</vt:lpstr>
      <vt:lpstr>absorbancy_1kHz</vt:lpstr>
      <vt:lpstr>absorbancy_250Hz</vt:lpstr>
      <vt:lpstr>absorbancy_2kHz</vt:lpstr>
      <vt:lpstr>absorbancy_4kHz</vt:lpstr>
      <vt:lpstr>absorbancy_500Hz</vt:lpstr>
      <vt:lpstr>Absorption_Coefficient_125Hz</vt:lpstr>
      <vt:lpstr>Absorption_Coefficient_1kHz</vt:lpstr>
      <vt:lpstr>Absorption_Coefficient_250Hz</vt:lpstr>
      <vt:lpstr>Absorption_Coefficient_2kHz</vt:lpstr>
      <vt:lpstr>Absorption_Coefficient_4kHz</vt:lpstr>
      <vt:lpstr>Absorption_Coefficient_500Hz</vt:lpstr>
      <vt:lpstr>Absorption_Coefficient_Surface1_125Hz</vt:lpstr>
      <vt:lpstr>Absorption_Coefficient_Surface1_1kHz</vt:lpstr>
      <vt:lpstr>Absorption_Coefficient_Surface1_250Hz</vt:lpstr>
      <vt:lpstr>Absorption_Coefficient_Surface1_2kHz</vt:lpstr>
      <vt:lpstr>Absorption_Coefficient_Surface1_4kHz</vt:lpstr>
      <vt:lpstr>Absorption_Coefficient_Surface1_500Hz</vt:lpstr>
      <vt:lpstr>Absorption_Coefficient_Surface10_125Hz</vt:lpstr>
      <vt:lpstr>Absorption_Coefficient_Surface10_1kHz</vt:lpstr>
      <vt:lpstr>Absorption_Coefficient_Surface10_250Hz</vt:lpstr>
      <vt:lpstr>Absorption_Coefficient_Surface10_2kHz</vt:lpstr>
      <vt:lpstr>Absorption_Coefficient_Surface10_4kHz</vt:lpstr>
      <vt:lpstr>Absorption_Coefficient_Surface10_500Hz</vt:lpstr>
      <vt:lpstr>Absorption_Coefficient_Surface11_125Hz</vt:lpstr>
      <vt:lpstr>Absorption_Coefficient_Surface11_1kHz</vt:lpstr>
      <vt:lpstr>Absorption_Coefficient_Surface11_250Hz</vt:lpstr>
      <vt:lpstr>Absorption_Coefficient_Surface11_2kHz</vt:lpstr>
      <vt:lpstr>Absorption_Coefficient_Surface11_4kHz</vt:lpstr>
      <vt:lpstr>Absorption_Coefficient_Surface11_500Hz</vt:lpstr>
      <vt:lpstr>Absorption_Coefficient_Surface12_125Hz</vt:lpstr>
      <vt:lpstr>Absorption_Coefficient_Surface12_1kHz</vt:lpstr>
      <vt:lpstr>Absorption_Coefficient_Surface12_250Hz</vt:lpstr>
      <vt:lpstr>Absorption_Coefficient_Surface12_2kHz</vt:lpstr>
      <vt:lpstr>Absorption_Coefficient_Surface12_4kHz</vt:lpstr>
      <vt:lpstr>Absorption_Coefficient_Surface12_500Hz</vt:lpstr>
      <vt:lpstr>Absorption_Coefficient_Surface13_125Hz</vt:lpstr>
      <vt:lpstr>Absorption_Coefficient_Surface13_1kHz</vt:lpstr>
      <vt:lpstr>Absorption_Coefficient_Surface13_250Hz</vt:lpstr>
      <vt:lpstr>Absorption_Coefficient_Surface13_2kHz</vt:lpstr>
      <vt:lpstr>Absorption_Coefficient_Surface13_4kHz</vt:lpstr>
      <vt:lpstr>Absorption_Coefficient_Surface13_500Hz</vt:lpstr>
      <vt:lpstr>Absorption_Coefficient_Surface14_125Hz</vt:lpstr>
      <vt:lpstr>Absorption_Coefficient_Surface14_1kHz</vt:lpstr>
      <vt:lpstr>Absorption_Coefficient_Surface14_250Hz</vt:lpstr>
      <vt:lpstr>Absorption_Coefficient_Surface14_2kHz</vt:lpstr>
      <vt:lpstr>Absorption_Coefficient_Surface14_4kHz</vt:lpstr>
      <vt:lpstr>Absorption_Coefficient_Surface14_500Hz</vt:lpstr>
      <vt:lpstr>Absorption_Coefficient_Surface15_125Hz</vt:lpstr>
      <vt:lpstr>Absorption_Coefficient_Surface15_1kHz</vt:lpstr>
      <vt:lpstr>Absorption_Coefficient_Surface15_250Hz</vt:lpstr>
      <vt:lpstr>Absorption_Coefficient_Surface15_2kHz</vt:lpstr>
      <vt:lpstr>Absorption_Coefficient_Surface15_4kHz</vt:lpstr>
      <vt:lpstr>Absorption_Coefficient_Surface15_500Hz</vt:lpstr>
      <vt:lpstr>Absorption_Coefficient_Surface16_125Hz</vt:lpstr>
      <vt:lpstr>Absorption_Coefficient_Surface16_1kHz</vt:lpstr>
      <vt:lpstr>Absorption_Coefficient_Surface16_250Hz</vt:lpstr>
      <vt:lpstr>Absorption_Coefficient_Surface16_2kHz</vt:lpstr>
      <vt:lpstr>Absorption_Coefficient_Surface16_4kHz</vt:lpstr>
      <vt:lpstr>Absorption_Coefficient_Surface16_500Hz</vt:lpstr>
      <vt:lpstr>Absorption_Coefficient_Surface17_125Hz</vt:lpstr>
      <vt:lpstr>Absorption_Coefficient_Surface17_1kHz</vt:lpstr>
      <vt:lpstr>Absorption_Coefficient_Surface17_250Hz</vt:lpstr>
      <vt:lpstr>Absorption_Coefficient_Surface17_2kHz</vt:lpstr>
      <vt:lpstr>Absorption_Coefficient_Surface17_4kHz</vt:lpstr>
      <vt:lpstr>Absorption_Coefficient_Surface17_500Hz</vt:lpstr>
      <vt:lpstr>Absorption_Coefficient_Surface18_125Hz</vt:lpstr>
      <vt:lpstr>Absorption_Coefficient_Surface18_1kHz</vt:lpstr>
      <vt:lpstr>Absorption_Coefficient_Surface18_250Hz</vt:lpstr>
      <vt:lpstr>Absorption_Coefficient_Surface18_2kHz</vt:lpstr>
      <vt:lpstr>Absorption_Coefficient_Surface18_4kHz</vt:lpstr>
      <vt:lpstr>Absorption_Coefficient_Surface18_500Hz</vt:lpstr>
      <vt:lpstr>Absorption_Coefficient_Surface19_125Hz</vt:lpstr>
      <vt:lpstr>Absorption_Coefficient_Surface19_1kHz</vt:lpstr>
      <vt:lpstr>Absorption_Coefficient_Surface19_250Hz</vt:lpstr>
      <vt:lpstr>Absorption_Coefficient_Surface19_2kHz</vt:lpstr>
      <vt:lpstr>Absorption_Coefficient_Surface19_4kHz</vt:lpstr>
      <vt:lpstr>Absorption_Coefficient_Surface19_500Hz</vt:lpstr>
      <vt:lpstr>Absorption_Coefficient_Surface2_125Hz</vt:lpstr>
      <vt:lpstr>Absorption_Coefficient_Surface2_1kHz</vt:lpstr>
      <vt:lpstr>Absorption_Coefficient_Surface2_250Hz</vt:lpstr>
      <vt:lpstr>Absorption_Coefficient_Surface2_2kHz</vt:lpstr>
      <vt:lpstr>Absorption_Coefficient_Surface2_4kHz</vt:lpstr>
      <vt:lpstr>Absorption_Coefficient_Surface2_500Hz</vt:lpstr>
      <vt:lpstr>Absorption_Coefficient_Surface20_125Hz</vt:lpstr>
      <vt:lpstr>Absorption_Coefficient_Surface20_1kHz</vt:lpstr>
      <vt:lpstr>Absorption_Coefficient_Surface20_250Hz</vt:lpstr>
      <vt:lpstr>Absorption_Coefficient_Surface20_2kHz</vt:lpstr>
      <vt:lpstr>Absorption_Coefficient_Surface20_4kHz</vt:lpstr>
      <vt:lpstr>Absorption_Coefficient_Surface20_500Hz</vt:lpstr>
      <vt:lpstr>Absorption_Coefficient_Surface3_125Hz</vt:lpstr>
      <vt:lpstr>Absorption_Coefficient_Surface3_1kHz</vt:lpstr>
      <vt:lpstr>Absorption_Coefficient_Surface3_250Hz</vt:lpstr>
      <vt:lpstr>Absorption_Coefficient_Surface3_2kHz</vt:lpstr>
      <vt:lpstr>Absorption_Coefficient_Surface3_4kHz</vt:lpstr>
      <vt:lpstr>Absorption_Coefficient_Surface3_500Hz</vt:lpstr>
      <vt:lpstr>Absorption_Coefficient_Surface4_125Hz</vt:lpstr>
      <vt:lpstr>Absorption_Coefficient_Surface4_1kHz</vt:lpstr>
      <vt:lpstr>Absorption_Coefficient_Surface4_250Hz</vt:lpstr>
      <vt:lpstr>Absorption_Coefficient_Surface4_2kHz</vt:lpstr>
      <vt:lpstr>Absorption_Coefficient_Surface4_4kHz</vt:lpstr>
      <vt:lpstr>Absorption_Coefficient_Surface4_500Hz</vt:lpstr>
      <vt:lpstr>Absorption_Coefficient_Surface5_125Hz</vt:lpstr>
      <vt:lpstr>Absorption_Coefficient_Surface5_1kHz</vt:lpstr>
      <vt:lpstr>Absorption_Coefficient_Surface5_250Hz</vt:lpstr>
      <vt:lpstr>Absorption_Coefficient_Surface5_2kHz</vt:lpstr>
      <vt:lpstr>Absorption_Coefficient_Surface5_4kHz</vt:lpstr>
      <vt:lpstr>Absorption_Coefficient_Surface5_500Hz</vt:lpstr>
      <vt:lpstr>Absorption_Coefficient_Surface6_125Hz</vt:lpstr>
      <vt:lpstr>Absorption_Coefficient_Surface6_1kHz</vt:lpstr>
      <vt:lpstr>Absorption_Coefficient_Surface6_250Hz</vt:lpstr>
      <vt:lpstr>Absorption_Coefficient_Surface6_2kHz</vt:lpstr>
      <vt:lpstr>Absorption_Coefficient_Surface6_4kHz</vt:lpstr>
      <vt:lpstr>Absorption_Coefficient_Surface6_500Hz</vt:lpstr>
      <vt:lpstr>Absorption_Coefficient_Surface7_125Hz</vt:lpstr>
      <vt:lpstr>Absorption_Coefficient_Surface7_1kHz</vt:lpstr>
      <vt:lpstr>Absorption_Coefficient_Surface7_250Hz</vt:lpstr>
      <vt:lpstr>Absorption_Coefficient_Surface7_2kHz</vt:lpstr>
      <vt:lpstr>Absorption_Coefficient_Surface7_4kHz</vt:lpstr>
      <vt:lpstr>Absorption_Coefficient_Surface7_500Hz</vt:lpstr>
      <vt:lpstr>Absorption_Coefficient_Surface8_125Hz</vt:lpstr>
      <vt:lpstr>Absorption_Coefficient_Surface8_1kHz</vt:lpstr>
      <vt:lpstr>Absorption_Coefficient_Surface8_250Hz</vt:lpstr>
      <vt:lpstr>Absorption_Coefficient_Surface8_2kHz</vt:lpstr>
      <vt:lpstr>Absorption_Coefficient_Surface8_4kHz</vt:lpstr>
      <vt:lpstr>Absorption_Coefficient_Surface8_500Hz</vt:lpstr>
      <vt:lpstr>Absorption_Coefficient_Surface9_125Hz</vt:lpstr>
      <vt:lpstr>Absorption_Coefficient_Surface9_1kHz</vt:lpstr>
      <vt:lpstr>Absorption_Coefficient_Surface9_250Hz</vt:lpstr>
      <vt:lpstr>Absorption_Coefficient_Surface9_2kHz</vt:lpstr>
      <vt:lpstr>Absorption_Coefficient_Surface9_4kHz</vt:lpstr>
      <vt:lpstr>Absorption_Coefficient_Surface9_500Hz</vt:lpstr>
      <vt:lpstr>Additional_Volume</vt:lpstr>
      <vt:lpstr>arau_x_125Hz</vt:lpstr>
      <vt:lpstr>arau_x_1kHz</vt:lpstr>
      <vt:lpstr>arau_x_250Hz</vt:lpstr>
      <vt:lpstr>arau_x_2kHz</vt:lpstr>
      <vt:lpstr>arau_x_4kHz</vt:lpstr>
      <vt:lpstr>arau_x_500Hz</vt:lpstr>
      <vt:lpstr>arau_y_125Hz</vt:lpstr>
      <vt:lpstr>arau_y_1kHz</vt:lpstr>
      <vt:lpstr>arau_y_250Hz</vt:lpstr>
      <vt:lpstr>arau_y_2kHz</vt:lpstr>
      <vt:lpstr>arau_y_4kHz</vt:lpstr>
      <vt:lpstr>arau_y_500Hz</vt:lpstr>
      <vt:lpstr>arau_z_125Hz</vt:lpstr>
      <vt:lpstr>arau_z_1kHz</vt:lpstr>
      <vt:lpstr>arau_z_250Hz</vt:lpstr>
      <vt:lpstr>arau_z_2kHz</vt:lpstr>
      <vt:lpstr>arau_z_4kHz</vt:lpstr>
      <vt:lpstr>arau_z_500Hz</vt:lpstr>
      <vt:lpstr>Axis</vt:lpstr>
      <vt:lpstr>Axis_Input</vt:lpstr>
      <vt:lpstr>K_Value</vt:lpstr>
      <vt:lpstr>Material_Code</vt:lpstr>
      <vt:lpstr>Material_Description</vt:lpstr>
      <vt:lpstr>Millington_σ_125Hz</vt:lpstr>
      <vt:lpstr>Millington_σ_1kHz</vt:lpstr>
      <vt:lpstr>Millington_σ_250Hz</vt:lpstr>
      <vt:lpstr>Millington_σ_2kHz</vt:lpstr>
      <vt:lpstr>Millington_σ_4kHz</vt:lpstr>
      <vt:lpstr>Millington_σ_500Hz</vt:lpstr>
      <vt:lpstr>reflectivity_125Hz</vt:lpstr>
      <vt:lpstr>reflectivity_1kHz</vt:lpstr>
      <vt:lpstr>reflectivity_250Hz</vt:lpstr>
      <vt:lpstr>reflectivity_2kHz</vt:lpstr>
      <vt:lpstr>reflectivity_4kHz</vt:lpstr>
      <vt:lpstr>reflectivity_500Hz</vt:lpstr>
      <vt:lpstr>Reflectivity_X_Y_125Hz</vt:lpstr>
      <vt:lpstr>Reflectivity_X_Y_1kHz</vt:lpstr>
      <vt:lpstr>Reflectivity_X_Y_250Hz</vt:lpstr>
      <vt:lpstr>Reflectivity_X_Y_2kHz</vt:lpstr>
      <vt:lpstr>Reflectivity_X_Y_4kHz</vt:lpstr>
      <vt:lpstr>Reflectivity_X_Y_500Hz</vt:lpstr>
      <vt:lpstr>Reflectivity_Z_125Hz</vt:lpstr>
      <vt:lpstr>Reflectivity_Z_1kHz</vt:lpstr>
      <vt:lpstr>Reflectivity_Z_250Hz</vt:lpstr>
      <vt:lpstr>Reflectivity_Z_2kHz</vt:lpstr>
      <vt:lpstr>Reflectivity_Z_4kHz</vt:lpstr>
      <vt:lpstr>Reflectivity_Z_500Hz</vt:lpstr>
      <vt:lpstr>Room_Height</vt:lpstr>
      <vt:lpstr>Room_Lenght</vt:lpstr>
      <vt:lpstr>Room_Width</vt:lpstr>
      <vt:lpstr>RT60_Fitzroy</vt:lpstr>
      <vt:lpstr>RT60_Fitzroy_X</vt:lpstr>
      <vt:lpstr>RT60_Fitzroy_Y</vt:lpstr>
      <vt:lpstr>RT60_Fitzroy_Z</vt:lpstr>
      <vt:lpstr>Sum_S_α</vt:lpstr>
      <vt:lpstr>Sum_Sα_125Hz</vt:lpstr>
      <vt:lpstr>Sum_Sα_1kHz</vt:lpstr>
      <vt:lpstr>Sum_Sα_250Hz</vt:lpstr>
      <vt:lpstr>Sum_Sα_2kHz</vt:lpstr>
      <vt:lpstr>Sum_Sα_4kHz</vt:lpstr>
      <vt:lpstr>Sum_Sα_500Hz</vt:lpstr>
      <vt:lpstr>Sum_Sα_Surface1_125Hz</vt:lpstr>
      <vt:lpstr>Sum_Sα_Surface1_1kHz</vt:lpstr>
      <vt:lpstr>Sum_Sα_Surface1_250Hz</vt:lpstr>
      <vt:lpstr>Sum_Sα_Surface1_2kHz</vt:lpstr>
      <vt:lpstr>Sum_Sα_Surface1_4kHz</vt:lpstr>
      <vt:lpstr>Sum_Sα_Surface1_500Hz</vt:lpstr>
      <vt:lpstr>Sum_Sα_Surface10_125Hz</vt:lpstr>
      <vt:lpstr>Sum_Sα_Surface10_1kHz</vt:lpstr>
      <vt:lpstr>Sum_Sα_Surface10_250Hz</vt:lpstr>
      <vt:lpstr>Sum_Sα_Surface10_2kHz</vt:lpstr>
      <vt:lpstr>Sum_Sα_Surface10_4kHz</vt:lpstr>
      <vt:lpstr>Sum_Sα_Surface10_500Hz</vt:lpstr>
      <vt:lpstr>Sum_Sα_Surface11_125Hz</vt:lpstr>
      <vt:lpstr>Sum_Sα_Surface11_1kHz</vt:lpstr>
      <vt:lpstr>Sum_Sα_Surface11_250Hz</vt:lpstr>
      <vt:lpstr>Sum_Sα_Surface11_2kHz</vt:lpstr>
      <vt:lpstr>Sum_Sα_Surface11_4kHz</vt:lpstr>
      <vt:lpstr>Sum_Sα_Surface11_500Hz</vt:lpstr>
      <vt:lpstr>Sum_Sα_Surface12_125Hz</vt:lpstr>
      <vt:lpstr>Sum_Sα_Surface12_1kHz</vt:lpstr>
      <vt:lpstr>Sum_Sα_Surface12_250Hz</vt:lpstr>
      <vt:lpstr>Sum_Sα_Surface12_2kHz</vt:lpstr>
      <vt:lpstr>Sum_Sα_Surface12_4kHz</vt:lpstr>
      <vt:lpstr>Sum_Sα_Surface12_500Hz</vt:lpstr>
      <vt:lpstr>Sum_Sα_Surface13_125Hz</vt:lpstr>
      <vt:lpstr>Sum_Sα_Surface13_1kHz</vt:lpstr>
      <vt:lpstr>Sum_Sα_Surface13_250Hz</vt:lpstr>
      <vt:lpstr>Sum_Sα_Surface13_2kHz</vt:lpstr>
      <vt:lpstr>Sum_Sα_Surface13_4kHz</vt:lpstr>
      <vt:lpstr>Sum_Sα_Surface13_500Hz</vt:lpstr>
      <vt:lpstr>Sum_Sα_Surface14_125Hz</vt:lpstr>
      <vt:lpstr>Sum_Sα_Surface14_1kHz</vt:lpstr>
      <vt:lpstr>Sum_Sα_Surface14_250Hz</vt:lpstr>
      <vt:lpstr>Sum_Sα_Surface14_2kHz</vt:lpstr>
      <vt:lpstr>Sum_Sα_Surface14_4kHz</vt:lpstr>
      <vt:lpstr>Sum_Sα_Surface14_500Hz</vt:lpstr>
      <vt:lpstr>Sum_Sα_Surface15_125Hz</vt:lpstr>
      <vt:lpstr>Sum_Sα_Surface15_1kHz</vt:lpstr>
      <vt:lpstr>Sum_Sα_Surface15_250Hz</vt:lpstr>
      <vt:lpstr>Sum_Sα_Surface15_2kHz</vt:lpstr>
      <vt:lpstr>Sum_Sα_Surface15_4kHz</vt:lpstr>
      <vt:lpstr>Sum_Sα_Surface15_500Hz</vt:lpstr>
      <vt:lpstr>Sum_Sα_Surface16_125Hz</vt:lpstr>
      <vt:lpstr>Sum_Sα_Surface16_1kHz</vt:lpstr>
      <vt:lpstr>Sum_Sα_Surface16_250Hz</vt:lpstr>
      <vt:lpstr>Sum_Sα_Surface16_2kHz</vt:lpstr>
      <vt:lpstr>Sum_Sα_Surface16_4kHz</vt:lpstr>
      <vt:lpstr>Sum_Sα_Surface16_500Hz</vt:lpstr>
      <vt:lpstr>Sum_Sα_Surface17_125Hz</vt:lpstr>
      <vt:lpstr>Sum_Sα_Surface17_1kHz</vt:lpstr>
      <vt:lpstr>Sum_Sα_Surface17_250Hz</vt:lpstr>
      <vt:lpstr>Sum_Sα_Surface17_2kHz</vt:lpstr>
      <vt:lpstr>Sum_Sα_Surface17_4kHz</vt:lpstr>
      <vt:lpstr>Sum_Sα_Surface17_500Hz</vt:lpstr>
      <vt:lpstr>Sum_Sα_Surface18_125Hz</vt:lpstr>
      <vt:lpstr>Sum_Sα_Surface18_1kHz</vt:lpstr>
      <vt:lpstr>Sum_Sα_Surface18_250Hz</vt:lpstr>
      <vt:lpstr>Sum_Sα_Surface18_2kHz</vt:lpstr>
      <vt:lpstr>Sum_Sα_Surface18_4kHz</vt:lpstr>
      <vt:lpstr>Sum_Sα_Surface18_500Hz</vt:lpstr>
      <vt:lpstr>Sum_Sα_Surface19_125Hz</vt:lpstr>
      <vt:lpstr>Sum_Sα_Surface19_1kHz</vt:lpstr>
      <vt:lpstr>Sum_Sα_Surface19_250Hz</vt:lpstr>
      <vt:lpstr>Sum_Sα_Surface19_2kHz</vt:lpstr>
      <vt:lpstr>Sum_Sα_Surface19_4kHz</vt:lpstr>
      <vt:lpstr>Sum_Sα_Surface19_500Hz</vt:lpstr>
      <vt:lpstr>Sum_Sα_Surface2_125Hz</vt:lpstr>
      <vt:lpstr>Sum_Sα_Surface2_1kHz</vt:lpstr>
      <vt:lpstr>Sum_Sα_Surface2_250Hz</vt:lpstr>
      <vt:lpstr>Sum_Sα_Surface2_2kHz</vt:lpstr>
      <vt:lpstr>Sum_Sα_Surface2_4kHz</vt:lpstr>
      <vt:lpstr>Sum_Sα_Surface2_500Hz</vt:lpstr>
      <vt:lpstr>Sum_Sα_Surface20_125Hz</vt:lpstr>
      <vt:lpstr>Sum_Sα_Surface20_1kHz</vt:lpstr>
      <vt:lpstr>Sum_Sα_Surface20_250Hz</vt:lpstr>
      <vt:lpstr>Sum_Sα_Surface20_2kHz</vt:lpstr>
      <vt:lpstr>Sum_Sα_Surface20_4kHz</vt:lpstr>
      <vt:lpstr>Sum_Sα_Surface20_500Hz</vt:lpstr>
      <vt:lpstr>Sum_Sα_Surface3_125Hz</vt:lpstr>
      <vt:lpstr>Sum_Sα_Surface3_1kHz</vt:lpstr>
      <vt:lpstr>Sum_Sα_Surface3_250Hz</vt:lpstr>
      <vt:lpstr>Sum_Sα_Surface3_2kHz</vt:lpstr>
      <vt:lpstr>Sum_Sα_Surface3_4kHz</vt:lpstr>
      <vt:lpstr>Sum_Sα_Surface3_500Hz</vt:lpstr>
      <vt:lpstr>Sum_Sα_Surface4_125Hz</vt:lpstr>
      <vt:lpstr>Sum_Sα_Surface4_1kHz</vt:lpstr>
      <vt:lpstr>Sum_Sα_Surface4_250Hz</vt:lpstr>
      <vt:lpstr>Sum_Sα_Surface4_2kHz</vt:lpstr>
      <vt:lpstr>Sum_Sα_Surface4_4kHz</vt:lpstr>
      <vt:lpstr>Sum_Sα_Surface4_500Hz</vt:lpstr>
      <vt:lpstr>Sum_Sα_Surface5_125Hz</vt:lpstr>
      <vt:lpstr>Sum_Sα_Surface5_1kHz</vt:lpstr>
      <vt:lpstr>Sum_Sα_Surface5_250Hz</vt:lpstr>
      <vt:lpstr>Sum_Sα_Surface5_2kHz</vt:lpstr>
      <vt:lpstr>Sum_Sα_Surface5_4kHz</vt:lpstr>
      <vt:lpstr>Sum_Sα_Surface5_500Hz</vt:lpstr>
      <vt:lpstr>Sum_Sα_Surface6_125Hz</vt:lpstr>
      <vt:lpstr>Sum_Sα_Surface6_1kHz</vt:lpstr>
      <vt:lpstr>Sum_Sα_Surface6_250Hz</vt:lpstr>
      <vt:lpstr>Sum_Sα_Surface6_2kHz</vt:lpstr>
      <vt:lpstr>Sum_Sα_Surface6_4kHz</vt:lpstr>
      <vt:lpstr>Sum_Sα_Surface6_500Hz</vt:lpstr>
      <vt:lpstr>Sum_Sα_Surface7_125Hz</vt:lpstr>
      <vt:lpstr>Sum_Sα_Surface7_1kHz</vt:lpstr>
      <vt:lpstr>Sum_Sα_Surface7_250Hz</vt:lpstr>
      <vt:lpstr>Sum_Sα_Surface7_2kHz</vt:lpstr>
      <vt:lpstr>Sum_Sα_Surface7_4kHz</vt:lpstr>
      <vt:lpstr>Sum_Sα_Surface7_500Hz</vt:lpstr>
      <vt:lpstr>Sum_Sα_Surface8_125Hz</vt:lpstr>
      <vt:lpstr>Sum_Sα_Surface8_1kHz</vt:lpstr>
      <vt:lpstr>Sum_Sα_Surface8_250Hz</vt:lpstr>
      <vt:lpstr>Sum_Sα_Surface8_2kHz</vt:lpstr>
      <vt:lpstr>Sum_Sα_Surface8_4kHz</vt:lpstr>
      <vt:lpstr>Sum_Sα_Surface8_500Hz</vt:lpstr>
      <vt:lpstr>Sum_Sα_Surface9_125Hz</vt:lpstr>
      <vt:lpstr>Sum_Sα_Surface9_1kHz</vt:lpstr>
      <vt:lpstr>Sum_Sα_Surface9_250Hz</vt:lpstr>
      <vt:lpstr>Sum_Sα_Surface9_2kHz</vt:lpstr>
      <vt:lpstr>Sum_Sα_Surface9_4kHz</vt:lpstr>
      <vt:lpstr>Sum_Sα_Surface9_500Hz</vt:lpstr>
      <vt:lpstr>Surface_Area__m2</vt:lpstr>
      <vt:lpstr>Surface_Area_1</vt:lpstr>
      <vt:lpstr>Surface_Area_10</vt:lpstr>
      <vt:lpstr>Surface_Area_11</vt:lpstr>
      <vt:lpstr>Surface_Area_12</vt:lpstr>
      <vt:lpstr>Surface_Area_13</vt:lpstr>
      <vt:lpstr>Surface_Area_14</vt:lpstr>
      <vt:lpstr>Surface_Area_15</vt:lpstr>
      <vt:lpstr>Surface_Area_16</vt:lpstr>
      <vt:lpstr>Surface_Area_17</vt:lpstr>
      <vt:lpstr>Surface_Area_18</vt:lpstr>
      <vt:lpstr>Surface_Area_19</vt:lpstr>
      <vt:lpstr>Surface_Area_2</vt:lpstr>
      <vt:lpstr>Surface_Area_20</vt:lpstr>
      <vt:lpstr>Surface_Area_3</vt:lpstr>
      <vt:lpstr>Surface_Area_4</vt:lpstr>
      <vt:lpstr>Surface_Area_5</vt:lpstr>
      <vt:lpstr>Surface_Area_6</vt:lpstr>
      <vt:lpstr>Surface_Area_7</vt:lpstr>
      <vt:lpstr>Surface_Area_8</vt:lpstr>
      <vt:lpstr>Surface_Area_9</vt:lpstr>
      <vt:lpstr>Surface_Description</vt:lpstr>
      <vt:lpstr>Sα_125Hz</vt:lpstr>
      <vt:lpstr>Sα_1kHz</vt:lpstr>
      <vt:lpstr>Sα_250Hz</vt:lpstr>
      <vt:lpstr>Sα_2kHz</vt:lpstr>
      <vt:lpstr>Sα_4kHz</vt:lpstr>
      <vt:lpstr>Sα_500Hz</vt:lpstr>
      <vt:lpstr>T60_Arau</vt:lpstr>
      <vt:lpstr>T60_Eyring</vt:lpstr>
      <vt:lpstr>T60_Millington</vt:lpstr>
      <vt:lpstr>T60_Neubauer</vt:lpstr>
      <vt:lpstr>T60_Sabine</vt:lpstr>
      <vt:lpstr>Total_Surface_Area</vt:lpstr>
      <vt:lpstr>Total_Volume</vt:lpstr>
      <vt:lpstr>X_Surface_Area</vt:lpstr>
      <vt:lpstr>x_α_Bar</vt:lpstr>
      <vt:lpstr>x_α_Bar_125Hz</vt:lpstr>
      <vt:lpstr>x_α_Bar_1kHz</vt:lpstr>
      <vt:lpstr>x_α_Bar_250Hz</vt:lpstr>
      <vt:lpstr>x_α_Bar_2kHz</vt:lpstr>
      <vt:lpstr>x_α_Bar_4kHz</vt:lpstr>
      <vt:lpstr>x_α_Bar_500Hz</vt:lpstr>
      <vt:lpstr>Y_Surface_Area</vt:lpstr>
      <vt:lpstr>y_α_Bar</vt:lpstr>
      <vt:lpstr>y_α_Bar_125Hz</vt:lpstr>
      <vt:lpstr>y_α_Bar_1kHz</vt:lpstr>
      <vt:lpstr>y_α_Bar_250Hz</vt:lpstr>
      <vt:lpstr>y_α_Bar_2kHz</vt:lpstr>
      <vt:lpstr>y_α_Bar_4kHz</vt:lpstr>
      <vt:lpstr>y_α_Bar_500Hz</vt:lpstr>
      <vt:lpstr>Z_Surface_Area</vt:lpstr>
      <vt:lpstr>z_α_Bar</vt:lpstr>
      <vt:lpstr>z_α_Bar_125Hz</vt:lpstr>
      <vt:lpstr>z_α_Bar_1kHz</vt:lpstr>
      <vt:lpstr>z_α_Bar_250Hz</vt:lpstr>
      <vt:lpstr>z_α_Bar_2kHz</vt:lpstr>
      <vt:lpstr>z_α_Bar_4kHz</vt:lpstr>
      <vt:lpstr>z_α_Bar_500Hz</vt:lpstr>
      <vt:lpstr>α_Bar</vt:lpstr>
      <vt:lpstr>α_Bar_125Hz</vt:lpstr>
      <vt:lpstr>α_Bar_1kHz</vt:lpstr>
      <vt:lpstr>α_Bar_250Hz</vt:lpstr>
      <vt:lpstr>α_Bar_2kHz</vt:lpstr>
      <vt:lpstr>α_Bar_4kHz</vt:lpstr>
      <vt:lpstr>α_Bar_500Hz</vt:lpstr>
      <vt:lpstr>α_Star_X_Y_125Hz</vt:lpstr>
      <vt:lpstr>α_Star_X_Y_1kHz</vt:lpstr>
      <vt:lpstr>α_Star_X_Y_250Hz</vt:lpstr>
      <vt:lpstr>α_Star_X_Y_2kHz</vt:lpstr>
      <vt:lpstr>α_Star_X_Y_4kHz</vt:lpstr>
      <vt:lpstr>α_Star_X_Y_500Hz</vt:lpstr>
      <vt:lpstr>α_Star_Z_125Hz</vt:lpstr>
      <vt:lpstr>α_Star_Z_1kHz</vt:lpstr>
      <vt:lpstr>α_Star_Z_250Hz</vt:lpstr>
      <vt:lpstr>α_Star_Z_2kHz</vt:lpstr>
      <vt:lpstr>α_Star_Z_4kHz</vt:lpstr>
      <vt:lpstr>α_Star_Z_500Hz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</dc:creator>
  <cp:lastModifiedBy>Stuart</cp:lastModifiedBy>
  <cp:lastPrinted>2020-03-05T04:28:04Z</cp:lastPrinted>
  <dcterms:created xsi:type="dcterms:W3CDTF">2015-06-05T18:17:20Z</dcterms:created>
  <dcterms:modified xsi:type="dcterms:W3CDTF">2020-03-17T02:31:50Z</dcterms:modified>
</cp:coreProperties>
</file>