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tkinson\Documents\!_Placement Research\Data\"/>
    </mc:Choice>
  </mc:AlternateContent>
  <xr:revisionPtr revIDLastSave="0" documentId="13_ncr:1_{905C00B7-3CE3-4BE7-8AF8-5C1A1127BBB2}" xr6:coauthVersionLast="36" xr6:coauthVersionMax="36" xr10:uidLastSave="{00000000-0000-0000-0000-000000000000}"/>
  <bookViews>
    <workbookView xWindow="0" yWindow="0" windowWidth="11630" windowHeight="4855" xr2:uid="{42B0FF0D-977D-4CC2-B4EA-461964134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E31" i="1"/>
  <c r="F31" i="1"/>
  <c r="G31" i="1"/>
  <c r="H31" i="1"/>
  <c r="I31" i="1"/>
  <c r="J31" i="1"/>
  <c r="K31" i="1"/>
  <c r="K32" i="1" s="1"/>
  <c r="L31" i="1"/>
  <c r="L32" i="1" s="1"/>
  <c r="D32" i="1"/>
  <c r="E32" i="1"/>
  <c r="F32" i="1"/>
  <c r="G32" i="1"/>
  <c r="H32" i="1"/>
  <c r="I32" i="1"/>
  <c r="J32" i="1"/>
  <c r="D33" i="1"/>
  <c r="E33" i="1"/>
  <c r="F33" i="1"/>
  <c r="G33" i="1"/>
  <c r="H33" i="1"/>
  <c r="I33" i="1"/>
  <c r="J33" i="1"/>
  <c r="D34" i="1"/>
  <c r="E34" i="1"/>
  <c r="F34" i="1"/>
  <c r="G34" i="1"/>
  <c r="H34" i="1"/>
  <c r="I34" i="1"/>
  <c r="J34" i="1"/>
  <c r="J30" i="1"/>
  <c r="I30" i="1"/>
  <c r="H30" i="1"/>
  <c r="G30" i="1"/>
  <c r="F30" i="1"/>
  <c r="E30" i="1"/>
  <c r="D30" i="1"/>
  <c r="J29" i="1"/>
  <c r="I29" i="1"/>
  <c r="H29" i="1"/>
  <c r="G29" i="1"/>
  <c r="F29" i="1"/>
  <c r="E29" i="1"/>
  <c r="D29" i="1"/>
  <c r="J28" i="1"/>
  <c r="I28" i="1"/>
  <c r="H28" i="1"/>
  <c r="G28" i="1"/>
  <c r="F28" i="1"/>
  <c r="E28" i="1"/>
  <c r="D28" i="1"/>
  <c r="J27" i="1"/>
  <c r="I27" i="1"/>
  <c r="H27" i="1"/>
  <c r="G27" i="1"/>
  <c r="F27" i="1"/>
  <c r="E27" i="1"/>
  <c r="D27" i="1"/>
  <c r="K26" i="1"/>
  <c r="J26" i="1"/>
  <c r="I26" i="1"/>
  <c r="H26" i="1"/>
  <c r="G26" i="1"/>
  <c r="F26" i="1"/>
  <c r="E26" i="1"/>
  <c r="D26" i="1"/>
  <c r="K25" i="1"/>
  <c r="K27" i="1" s="1"/>
  <c r="J25" i="1"/>
  <c r="I25" i="1"/>
  <c r="H25" i="1"/>
  <c r="G25" i="1"/>
  <c r="F25" i="1"/>
  <c r="E25" i="1"/>
  <c r="D25" i="1"/>
  <c r="J24" i="1"/>
  <c r="I24" i="1"/>
  <c r="H24" i="1"/>
  <c r="G24" i="1"/>
  <c r="F24" i="1"/>
  <c r="E24" i="1"/>
  <c r="D24" i="1"/>
  <c r="L24" i="1" s="1"/>
  <c r="J23" i="1"/>
  <c r="I23" i="1"/>
  <c r="H23" i="1"/>
  <c r="G23" i="1"/>
  <c r="F23" i="1"/>
  <c r="E23" i="1"/>
  <c r="D23" i="1"/>
  <c r="L23" i="1" s="1"/>
  <c r="J22" i="1"/>
  <c r="I22" i="1"/>
  <c r="H22" i="1"/>
  <c r="G22" i="1"/>
  <c r="F22" i="1"/>
  <c r="E22" i="1"/>
  <c r="D22" i="1"/>
  <c r="L22" i="1" s="1"/>
  <c r="J21" i="1"/>
  <c r="I21" i="1"/>
  <c r="H21" i="1"/>
  <c r="G21" i="1"/>
  <c r="F21" i="1"/>
  <c r="E21" i="1"/>
  <c r="D21" i="1"/>
  <c r="L21" i="1" s="1"/>
  <c r="J20" i="1"/>
  <c r="I20" i="1"/>
  <c r="H20" i="1"/>
  <c r="G20" i="1"/>
  <c r="F20" i="1"/>
  <c r="E20" i="1"/>
  <c r="D20" i="1"/>
  <c r="L20" i="1" s="1"/>
  <c r="J19" i="1"/>
  <c r="I19" i="1"/>
  <c r="H19" i="1"/>
  <c r="G19" i="1"/>
  <c r="F19" i="1"/>
  <c r="E19" i="1"/>
  <c r="D19" i="1"/>
  <c r="L19" i="1" s="1"/>
  <c r="J18" i="1"/>
  <c r="I18" i="1"/>
  <c r="H18" i="1"/>
  <c r="G18" i="1"/>
  <c r="F18" i="1"/>
  <c r="E18" i="1"/>
  <c r="D18" i="1"/>
  <c r="L18" i="1" s="1"/>
  <c r="J17" i="1"/>
  <c r="I17" i="1"/>
  <c r="H17" i="1"/>
  <c r="G17" i="1"/>
  <c r="F17" i="1"/>
  <c r="E17" i="1"/>
  <c r="D17" i="1"/>
  <c r="L17" i="1" s="1"/>
  <c r="J16" i="1"/>
  <c r="I16" i="1"/>
  <c r="H16" i="1"/>
  <c r="G16" i="1"/>
  <c r="F16" i="1"/>
  <c r="E16" i="1"/>
  <c r="D16" i="1"/>
  <c r="L16" i="1" s="1"/>
  <c r="J15" i="1"/>
  <c r="I15" i="1"/>
  <c r="H15" i="1"/>
  <c r="G15" i="1"/>
  <c r="F15" i="1"/>
  <c r="E15" i="1"/>
  <c r="D15" i="1"/>
  <c r="L15" i="1" s="1"/>
  <c r="J14" i="1"/>
  <c r="I14" i="1"/>
  <c r="H14" i="1"/>
  <c r="G14" i="1"/>
  <c r="F14" i="1"/>
  <c r="E14" i="1"/>
  <c r="D14" i="1"/>
  <c r="L14" i="1" s="1"/>
  <c r="J13" i="1"/>
  <c r="I13" i="1"/>
  <c r="H13" i="1"/>
  <c r="G13" i="1"/>
  <c r="F13" i="1"/>
  <c r="E13" i="1"/>
  <c r="D13" i="1"/>
  <c r="L13" i="1" s="1"/>
  <c r="J12" i="1"/>
  <c r="I12" i="1"/>
  <c r="H12" i="1"/>
  <c r="G12" i="1"/>
  <c r="F12" i="1"/>
  <c r="E12" i="1"/>
  <c r="D12" i="1"/>
  <c r="L12" i="1" s="1"/>
  <c r="J11" i="1"/>
  <c r="I11" i="1"/>
  <c r="H11" i="1"/>
  <c r="G11" i="1"/>
  <c r="F11" i="1"/>
  <c r="E11" i="1"/>
  <c r="D11" i="1"/>
  <c r="L11" i="1" s="1"/>
  <c r="J10" i="1"/>
  <c r="I10" i="1"/>
  <c r="H10" i="1"/>
  <c r="G10" i="1"/>
  <c r="F10" i="1"/>
  <c r="E10" i="1"/>
  <c r="D10" i="1"/>
  <c r="L10" i="1" s="1"/>
  <c r="J9" i="1"/>
  <c r="I9" i="1"/>
  <c r="H9" i="1"/>
  <c r="G9" i="1"/>
  <c r="F9" i="1"/>
  <c r="E9" i="1"/>
  <c r="D9" i="1"/>
  <c r="L9" i="1" s="1"/>
  <c r="J8" i="1"/>
  <c r="I8" i="1"/>
  <c r="H8" i="1"/>
  <c r="G8" i="1"/>
  <c r="F8" i="1"/>
  <c r="E8" i="1"/>
  <c r="D8" i="1"/>
  <c r="L8" i="1" s="1"/>
  <c r="J7" i="1"/>
  <c r="I7" i="1"/>
  <c r="H7" i="1"/>
  <c r="G7" i="1"/>
  <c r="F7" i="1"/>
  <c r="E7" i="1"/>
  <c r="D7" i="1"/>
  <c r="L7" i="1" s="1"/>
  <c r="J6" i="1"/>
  <c r="I6" i="1"/>
  <c r="H6" i="1"/>
  <c r="G6" i="1"/>
  <c r="F6" i="1"/>
  <c r="E6" i="1"/>
  <c r="D6" i="1"/>
  <c r="L6" i="1" s="1"/>
  <c r="J5" i="1"/>
  <c r="I5" i="1"/>
  <c r="H5" i="1"/>
  <c r="G5" i="1"/>
  <c r="F5" i="1"/>
  <c r="E5" i="1"/>
  <c r="D5" i="1"/>
  <c r="L5" i="1" s="1"/>
  <c r="J4" i="1"/>
  <c r="I4" i="1"/>
  <c r="H4" i="1"/>
  <c r="G4" i="1"/>
  <c r="F4" i="1"/>
  <c r="E4" i="1"/>
  <c r="D4" i="1"/>
  <c r="L4" i="1" s="1"/>
  <c r="J3" i="1"/>
  <c r="I3" i="1"/>
  <c r="H3" i="1"/>
  <c r="G3" i="1"/>
  <c r="F3" i="1"/>
  <c r="E3" i="1"/>
  <c r="D3" i="1"/>
  <c r="L3" i="1" s="1"/>
  <c r="J2" i="1"/>
  <c r="I2" i="1"/>
  <c r="H2" i="1"/>
  <c r="G2" i="1"/>
  <c r="F2" i="1"/>
  <c r="E2" i="1"/>
  <c r="D2" i="1"/>
  <c r="L2" i="1" s="1"/>
  <c r="L33" i="1" l="1"/>
  <c r="L34" i="1"/>
  <c r="K33" i="1"/>
  <c r="K34" i="1" s="1"/>
  <c r="K28" i="1"/>
  <c r="K29" i="1" s="1"/>
  <c r="L25" i="1"/>
  <c r="K30" i="1" l="1"/>
  <c r="L26" i="1"/>
  <c r="L27" i="1" s="1"/>
  <c r="L28" i="1" l="1"/>
  <c r="L29" i="1" l="1"/>
  <c r="L30" i="1" s="1"/>
</calcChain>
</file>

<file path=xl/sharedStrings.xml><?xml version="1.0" encoding="utf-8"?>
<sst xmlns="http://schemas.openxmlformats.org/spreadsheetml/2006/main" count="15" uniqueCount="15">
  <si>
    <t>year</t>
  </si>
  <si>
    <t>time</t>
  </si>
  <si>
    <t>population (ven)</t>
  </si>
  <si>
    <t>population (sucre)</t>
  </si>
  <si>
    <t>population (bolivar)</t>
  </si>
  <si>
    <t>population (amazonas)</t>
  </si>
  <si>
    <t>birth rate</t>
  </si>
  <si>
    <t>death rate</t>
  </si>
  <si>
    <t>alternative death rate (1/life expectancy at birth * 365)</t>
  </si>
  <si>
    <t>net migration</t>
  </si>
  <si>
    <t>LLIN delivered</t>
  </si>
  <si>
    <t>LLIN_sucre</t>
  </si>
  <si>
    <t>% LLIN coverage</t>
  </si>
  <si>
    <t>IRS (no. people protected)</t>
  </si>
  <si>
    <t>% IRS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</si>
</sst>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wrapText="1"/>
    </xf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7250-B87F-454B-BD04-13AB46340991}">
  <dimension ref="A1:O34"/>
  <sheetViews>
    <sheetView tabSelected="1" topLeftCell="I1" workbookViewId="0">
      <selection activeCell="K2" sqref="K2"/>
    </sheetView>
  </sheetViews>
  <sheetFormatPr defaultRowHeight="14.75" x14ac:dyDescent="0.75"/>
  <cols>
    <col min="1" max="1" width="4.6796875" bestFit="1" customWidth="1"/>
    <col min="2" max="2" width="4.6796875" customWidth="1"/>
    <col min="3" max="3" width="14.1328125" bestFit="1" customWidth="1"/>
    <col min="4" max="4" width="15.54296875" bestFit="1" customWidth="1"/>
    <col min="5" max="5" width="16.76953125" bestFit="1" customWidth="1"/>
    <col min="6" max="6" width="19.31640625" bestFit="1" customWidth="1"/>
    <col min="7" max="9" width="16.76953125" style="1" customWidth="1"/>
    <col min="10" max="10" width="16.76953125" style="2" customWidth="1"/>
    <col min="11" max="11" width="12.2265625" style="7" bestFit="1" customWidth="1"/>
    <col min="12" max="12" width="19.90625" bestFit="1" customWidth="1"/>
    <col min="13" max="13" width="17.5" bestFit="1" customWidth="1"/>
    <col min="14" max="14" width="21.5" bestFit="1" customWidth="1"/>
    <col min="15" max="15" width="12.953125" bestFit="1" customWidth="1"/>
  </cols>
  <sheetData>
    <row r="1" spans="1:1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7" t="s">
        <v>10</v>
      </c>
      <c r="L1" s="3" t="s">
        <v>11</v>
      </c>
      <c r="M1" t="s">
        <v>12</v>
      </c>
      <c r="N1" t="s">
        <v>13</v>
      </c>
      <c r="O1" t="s">
        <v>14</v>
      </c>
    </row>
    <row r="2" spans="1:15" s="4" customFormat="1" x14ac:dyDescent="0.75">
      <c r="A2" s="4">
        <v>1998</v>
      </c>
      <c r="B2" s="4">
        <v>0</v>
      </c>
      <c r="C2" s="4">
        <v>23289000</v>
      </c>
      <c r="D2" s="4">
        <f t="shared" ref="D2:D30" si="0">0.034458*C2</f>
        <v>802492.36200000008</v>
      </c>
      <c r="E2" s="4">
        <f t="shared" ref="E2:E30" si="1">0.060478*C2</f>
        <v>1408472.142</v>
      </c>
      <c r="F2" s="4">
        <f t="shared" ref="F2:F11" si="2">0.00632911*C2</f>
        <v>147398.64278999998</v>
      </c>
      <c r="G2" s="5">
        <f>24.7/1000</f>
        <v>2.47E-2</v>
      </c>
      <c r="H2" s="5">
        <f t="shared" ref="H2:H7" si="3">5.1/1000</f>
        <v>5.0999999999999995E-3</v>
      </c>
      <c r="I2" s="5">
        <f>1/(71.63*365)</f>
        <v>3.8248304165814054E-5</v>
      </c>
      <c r="J2" s="6">
        <f t="shared" ref="J2:J11" si="4">-1.5/1000</f>
        <v>-1.5E-3</v>
      </c>
      <c r="K2" s="8">
        <v>6000</v>
      </c>
      <c r="L2" s="4">
        <f t="shared" ref="L2:L11" si="5">K2*(D2/(D2+E2+F2))</f>
        <v>2041.6508706700661</v>
      </c>
      <c r="M2" s="4">
        <v>1</v>
      </c>
      <c r="N2" s="4">
        <v>5377610</v>
      </c>
      <c r="O2" s="4">
        <v>70.8</v>
      </c>
    </row>
    <row r="3" spans="1:15" s="4" customFormat="1" x14ac:dyDescent="0.75">
      <c r="A3" s="4">
        <v>1999</v>
      </c>
      <c r="B3" s="4">
        <v>52</v>
      </c>
      <c r="C3" s="4">
        <v>23740000</v>
      </c>
      <c r="D3" s="4">
        <f t="shared" si="0"/>
        <v>818032.92</v>
      </c>
      <c r="E3" s="4">
        <f t="shared" si="1"/>
        <v>1435747.72</v>
      </c>
      <c r="F3" s="4">
        <f t="shared" si="2"/>
        <v>150253.07139999999</v>
      </c>
      <c r="G3" s="5">
        <f>24.7/1000</f>
        <v>2.47E-2</v>
      </c>
      <c r="H3" s="5">
        <f>5.1/1000</f>
        <v>5.0999999999999995E-3</v>
      </c>
      <c r="I3" s="5">
        <f>1/(71.63*365)</f>
        <v>3.8248304165814054E-5</v>
      </c>
      <c r="J3" s="6">
        <f t="shared" si="4"/>
        <v>-1.5E-3</v>
      </c>
      <c r="K3" s="8">
        <v>6000</v>
      </c>
      <c r="L3" s="4">
        <f t="shared" si="5"/>
        <v>2041.6508706700661</v>
      </c>
      <c r="M3" s="4">
        <v>1</v>
      </c>
      <c r="N3" s="4">
        <v>5377610</v>
      </c>
      <c r="O3" s="4">
        <v>70.8</v>
      </c>
    </row>
    <row r="4" spans="1:15" s="4" customFormat="1" x14ac:dyDescent="0.75">
      <c r="A4" s="4">
        <v>2000</v>
      </c>
      <c r="B4" s="4">
        <v>104</v>
      </c>
      <c r="C4" s="4">
        <v>24192000</v>
      </c>
      <c r="D4" s="4">
        <f t="shared" si="0"/>
        <v>833607.9360000001</v>
      </c>
      <c r="E4" s="4">
        <f t="shared" si="1"/>
        <v>1463083.7759999998</v>
      </c>
      <c r="F4" s="4">
        <f t="shared" si="2"/>
        <v>153113.82911999998</v>
      </c>
      <c r="G4" s="5">
        <f t="shared" ref="G4:G7" si="6">23/1000</f>
        <v>2.3E-2</v>
      </c>
      <c r="H4" s="5">
        <f t="shared" si="3"/>
        <v>5.0999999999999995E-3</v>
      </c>
      <c r="I4" s="5">
        <f t="shared" ref="I4:I7" si="7">1/(72.57*365)</f>
        <v>3.775287346558165E-5</v>
      </c>
      <c r="J4" s="6">
        <f t="shared" si="4"/>
        <v>-1.5E-3</v>
      </c>
      <c r="K4" s="8">
        <v>6000</v>
      </c>
      <c r="L4" s="4">
        <f t="shared" si="5"/>
        <v>2041.6508706700663</v>
      </c>
      <c r="M4" s="4">
        <v>1</v>
      </c>
      <c r="N4" s="4">
        <v>5377610</v>
      </c>
      <c r="O4" s="4">
        <v>70.8</v>
      </c>
    </row>
    <row r="5" spans="1:15" s="4" customFormat="1" x14ac:dyDescent="0.75">
      <c r="A5" s="4">
        <v>2001</v>
      </c>
      <c r="B5" s="4">
        <v>156</v>
      </c>
      <c r="C5" s="4">
        <v>24646000</v>
      </c>
      <c r="D5" s="4">
        <f t="shared" si="0"/>
        <v>849251.86800000002</v>
      </c>
      <c r="E5" s="4">
        <f t="shared" si="1"/>
        <v>1490540.7879999999</v>
      </c>
      <c r="F5" s="4">
        <f t="shared" si="2"/>
        <v>155987.24505999999</v>
      </c>
      <c r="G5" s="5">
        <f t="shared" si="6"/>
        <v>2.3E-2</v>
      </c>
      <c r="H5" s="5">
        <f t="shared" si="3"/>
        <v>5.0999999999999995E-3</v>
      </c>
      <c r="I5" s="5">
        <f t="shared" si="7"/>
        <v>3.775287346558165E-5</v>
      </c>
      <c r="J5" s="6">
        <f t="shared" si="4"/>
        <v>-1.5E-3</v>
      </c>
      <c r="K5" s="8">
        <v>6000</v>
      </c>
      <c r="L5" s="4">
        <f t="shared" si="5"/>
        <v>2041.6508706700661</v>
      </c>
      <c r="M5" s="4">
        <v>1</v>
      </c>
      <c r="N5" s="4">
        <v>5377610</v>
      </c>
      <c r="O5" s="4">
        <v>70.8</v>
      </c>
    </row>
    <row r="6" spans="1:15" s="4" customFormat="1" x14ac:dyDescent="0.75">
      <c r="A6" s="4">
        <v>2002</v>
      </c>
      <c r="B6" s="4">
        <v>208</v>
      </c>
      <c r="C6" s="4">
        <v>25100000</v>
      </c>
      <c r="D6" s="4">
        <f t="shared" si="0"/>
        <v>864895.8</v>
      </c>
      <c r="E6" s="4">
        <f t="shared" si="1"/>
        <v>1517997.7999999998</v>
      </c>
      <c r="F6" s="4">
        <f t="shared" si="2"/>
        <v>158860.66099999999</v>
      </c>
      <c r="G6" s="5">
        <f t="shared" si="6"/>
        <v>2.3E-2</v>
      </c>
      <c r="H6" s="5">
        <f t="shared" si="3"/>
        <v>5.0999999999999995E-3</v>
      </c>
      <c r="I6" s="5">
        <f t="shared" si="7"/>
        <v>3.775287346558165E-5</v>
      </c>
      <c r="J6" s="6">
        <f t="shared" si="4"/>
        <v>-1.5E-3</v>
      </c>
      <c r="K6" s="8">
        <v>6000</v>
      </c>
      <c r="L6" s="4">
        <f t="shared" si="5"/>
        <v>2041.6508706700663</v>
      </c>
      <c r="M6" s="4">
        <v>1</v>
      </c>
      <c r="N6" s="4">
        <v>5377610</v>
      </c>
      <c r="O6" s="4">
        <v>70.8</v>
      </c>
    </row>
    <row r="7" spans="1:15" s="4" customFormat="1" x14ac:dyDescent="0.75">
      <c r="A7" s="4">
        <v>2003</v>
      </c>
      <c r="B7" s="4">
        <v>260</v>
      </c>
      <c r="C7" s="4">
        <v>25552000</v>
      </c>
      <c r="D7" s="4">
        <f t="shared" si="0"/>
        <v>880470.81600000011</v>
      </c>
      <c r="E7" s="4">
        <f t="shared" si="1"/>
        <v>1545333.8559999999</v>
      </c>
      <c r="F7" s="4">
        <f t="shared" si="2"/>
        <v>161721.41871999999</v>
      </c>
      <c r="G7" s="5">
        <f t="shared" si="6"/>
        <v>2.3E-2</v>
      </c>
      <c r="H7" s="5">
        <f t="shared" si="3"/>
        <v>5.0999999999999995E-3</v>
      </c>
      <c r="I7" s="5">
        <f t="shared" si="7"/>
        <v>3.775287346558165E-5</v>
      </c>
      <c r="J7" s="6">
        <f t="shared" si="4"/>
        <v>-1.5E-3</v>
      </c>
      <c r="K7" s="8">
        <v>6000</v>
      </c>
      <c r="L7" s="4">
        <f t="shared" si="5"/>
        <v>2041.6508706700661</v>
      </c>
      <c r="M7" s="4">
        <v>1</v>
      </c>
      <c r="N7" s="4">
        <v>5377610</v>
      </c>
      <c r="O7" s="4">
        <v>70.8</v>
      </c>
    </row>
    <row r="8" spans="1:15" s="4" customFormat="1" x14ac:dyDescent="0.75">
      <c r="A8" s="4">
        <v>2004</v>
      </c>
      <c r="B8" s="4">
        <v>312</v>
      </c>
      <c r="C8" s="4">
        <v>25997000</v>
      </c>
      <c r="D8" s="4">
        <f t="shared" si="0"/>
        <v>895804.62600000005</v>
      </c>
      <c r="E8" s="4">
        <f t="shared" si="1"/>
        <v>1572246.5659999999</v>
      </c>
      <c r="F8" s="4">
        <f t="shared" si="2"/>
        <v>164537.87266999998</v>
      </c>
      <c r="G8" s="5">
        <f>23/1000</f>
        <v>2.3E-2</v>
      </c>
      <c r="H8" s="5">
        <f>5.1/1000</f>
        <v>5.0999999999999995E-3</v>
      </c>
      <c r="I8" s="5">
        <f>1/(72.57*365)</f>
        <v>3.775287346558165E-5</v>
      </c>
      <c r="J8" s="6">
        <f t="shared" si="4"/>
        <v>-1.5E-3</v>
      </c>
      <c r="K8" s="8">
        <v>6000</v>
      </c>
      <c r="L8" s="4">
        <f t="shared" si="5"/>
        <v>2041.6508706700663</v>
      </c>
      <c r="M8" s="4">
        <v>1</v>
      </c>
      <c r="N8" s="4">
        <v>5377610</v>
      </c>
      <c r="O8" s="4">
        <v>70.8</v>
      </c>
    </row>
    <row r="9" spans="1:15" s="4" customFormat="1" x14ac:dyDescent="0.75">
      <c r="A9" s="4">
        <v>2005</v>
      </c>
      <c r="B9" s="4">
        <v>364</v>
      </c>
      <c r="C9" s="4">
        <v>26432000</v>
      </c>
      <c r="D9" s="4">
        <f t="shared" si="0"/>
        <v>910793.85600000003</v>
      </c>
      <c r="E9" s="4">
        <f t="shared" si="1"/>
        <v>1598554.4959999998</v>
      </c>
      <c r="F9" s="4">
        <f t="shared" si="2"/>
        <v>167291.03552</v>
      </c>
      <c r="G9" s="1">
        <f t="shared" ref="G9:G11" si="8">21.5/1000</f>
        <v>2.1499999999999998E-2</v>
      </c>
      <c r="H9" s="1">
        <f t="shared" ref="H9:H11" si="9">5.4/1000</f>
        <v>5.4000000000000003E-3</v>
      </c>
      <c r="I9" s="5">
        <f t="shared" ref="I9:I10" si="10">1/(73*365)</f>
        <v>3.7530493525989866E-5</v>
      </c>
      <c r="J9" s="6">
        <f t="shared" si="4"/>
        <v>-1.5E-3</v>
      </c>
      <c r="K9" s="8">
        <v>6000</v>
      </c>
      <c r="L9" s="4">
        <f t="shared" si="5"/>
        <v>2041.6508706700661</v>
      </c>
      <c r="M9" s="4">
        <v>1</v>
      </c>
      <c r="N9" s="4">
        <v>5377610</v>
      </c>
      <c r="O9" s="4">
        <v>70.8</v>
      </c>
    </row>
    <row r="10" spans="1:15" s="4" customFormat="1" x14ac:dyDescent="0.75">
      <c r="A10" s="4">
        <v>2006</v>
      </c>
      <c r="B10" s="4">
        <v>416</v>
      </c>
      <c r="C10" s="4">
        <v>26850000</v>
      </c>
      <c r="D10" s="4">
        <f t="shared" si="0"/>
        <v>925197.3</v>
      </c>
      <c r="E10" s="4">
        <f t="shared" si="1"/>
        <v>1623834.2999999998</v>
      </c>
      <c r="F10" s="4">
        <f t="shared" si="2"/>
        <v>169936.6035</v>
      </c>
      <c r="G10" s="1">
        <f t="shared" si="8"/>
        <v>2.1499999999999998E-2</v>
      </c>
      <c r="H10" s="1">
        <f t="shared" si="9"/>
        <v>5.4000000000000003E-3</v>
      </c>
      <c r="I10" s="5">
        <f t="shared" si="10"/>
        <v>3.7530493525989866E-5</v>
      </c>
      <c r="J10" s="6">
        <f t="shared" si="4"/>
        <v>-1.5E-3</v>
      </c>
      <c r="K10" s="8">
        <v>6000</v>
      </c>
      <c r="L10" s="4">
        <f t="shared" si="5"/>
        <v>2041.6508706700661</v>
      </c>
      <c r="M10" s="4">
        <v>1</v>
      </c>
      <c r="N10" s="4">
        <v>5377610</v>
      </c>
      <c r="O10" s="4">
        <v>70.8</v>
      </c>
    </row>
    <row r="11" spans="1:15" s="4" customFormat="1" x14ac:dyDescent="0.75">
      <c r="A11" s="4">
        <v>2007</v>
      </c>
      <c r="B11" s="4">
        <v>468</v>
      </c>
      <c r="C11" s="4">
        <v>27248000</v>
      </c>
      <c r="D11" s="4">
        <f t="shared" si="0"/>
        <v>938911.58400000003</v>
      </c>
      <c r="E11" s="4">
        <f t="shared" si="1"/>
        <v>1647904.544</v>
      </c>
      <c r="F11" s="4">
        <f t="shared" si="2"/>
        <v>172455.58927999999</v>
      </c>
      <c r="G11" s="1">
        <f t="shared" si="8"/>
        <v>2.1499999999999998E-2</v>
      </c>
      <c r="H11" s="1">
        <f t="shared" si="9"/>
        <v>5.4000000000000003E-3</v>
      </c>
      <c r="I11" s="5">
        <f>1/(73*365)</f>
        <v>3.7530493525989866E-5</v>
      </c>
      <c r="J11" s="6">
        <f t="shared" si="4"/>
        <v>-1.5E-3</v>
      </c>
      <c r="K11" s="8">
        <v>6000</v>
      </c>
      <c r="L11" s="4">
        <f t="shared" si="5"/>
        <v>2041.6508706700661</v>
      </c>
      <c r="M11" s="4">
        <v>1</v>
      </c>
      <c r="N11" s="4">
        <v>5377610</v>
      </c>
      <c r="O11" s="4">
        <v>70.8</v>
      </c>
    </row>
    <row r="12" spans="1:15" x14ac:dyDescent="0.75">
      <c r="A12">
        <v>2008</v>
      </c>
      <c r="B12" s="4">
        <v>520</v>
      </c>
      <c r="C12">
        <v>27636000</v>
      </c>
      <c r="D12">
        <f t="shared" si="0"/>
        <v>952281.28800000006</v>
      </c>
      <c r="E12">
        <f t="shared" si="1"/>
        <v>1671370.0079999999</v>
      </c>
      <c r="F12">
        <f>0.00632911*C12</f>
        <v>174911.28396</v>
      </c>
      <c r="G12" s="1">
        <f>21.5/1000</f>
        <v>2.1499999999999998E-2</v>
      </c>
      <c r="H12" s="1">
        <f>5.4/1000</f>
        <v>5.4000000000000003E-3</v>
      </c>
      <c r="I12" s="1">
        <f>1/(73*365)</f>
        <v>3.7530493525989866E-5</v>
      </c>
      <c r="J12" s="2">
        <f>-1.5/1000</f>
        <v>-1.5E-3</v>
      </c>
      <c r="K12" s="7">
        <v>6000</v>
      </c>
      <c r="L12">
        <f>K12*(D12/(D12+E12+F12))</f>
        <v>2041.6508706700661</v>
      </c>
      <c r="M12">
        <v>1</v>
      </c>
      <c r="N12">
        <v>5377610</v>
      </c>
      <c r="O12">
        <v>70.8</v>
      </c>
    </row>
    <row r="13" spans="1:15" x14ac:dyDescent="0.75">
      <c r="A13">
        <v>2009</v>
      </c>
      <c r="B13" s="4">
        <v>572</v>
      </c>
      <c r="C13">
        <v>28031000</v>
      </c>
      <c r="D13">
        <f t="shared" si="0"/>
        <v>965892.19800000009</v>
      </c>
      <c r="E13">
        <f t="shared" si="1"/>
        <v>1695258.818</v>
      </c>
      <c r="F13">
        <f t="shared" ref="F13:F30" si="11">0.00632911*C13</f>
        <v>177411.28240999999</v>
      </c>
      <c r="G13" s="1">
        <f t="shared" ref="G13" si="12">21.5/1000</f>
        <v>2.1499999999999998E-2</v>
      </c>
      <c r="H13" s="1">
        <f>5.4/1000</f>
        <v>5.4000000000000003E-3</v>
      </c>
      <c r="I13" s="1">
        <f>1/(73*365)</f>
        <v>3.7530493525989866E-5</v>
      </c>
      <c r="J13" s="2">
        <f>-1.5/1000</f>
        <v>-1.5E-3</v>
      </c>
      <c r="K13" s="7">
        <v>8004</v>
      </c>
      <c r="L13">
        <f t="shared" ref="L13:L24" si="13">K13*(D13/(D13+E13+F13))</f>
        <v>2723.5622614738686</v>
      </c>
      <c r="M13">
        <v>1</v>
      </c>
      <c r="N13">
        <v>5950904</v>
      </c>
      <c r="O13">
        <v>77.099999999999994</v>
      </c>
    </row>
    <row r="14" spans="1:15" x14ac:dyDescent="0.75">
      <c r="A14">
        <v>2010</v>
      </c>
      <c r="B14" s="4">
        <v>624</v>
      </c>
      <c r="C14">
        <v>28440000</v>
      </c>
      <c r="D14">
        <f t="shared" si="0"/>
        <v>979985.52</v>
      </c>
      <c r="E14">
        <f t="shared" si="1"/>
        <v>1719994.3199999998</v>
      </c>
      <c r="F14">
        <f t="shared" si="11"/>
        <v>179999.8884</v>
      </c>
      <c r="G14" s="1">
        <f>20/1000</f>
        <v>0.02</v>
      </c>
      <c r="H14" s="1">
        <f>5.9/1000</f>
        <v>5.9000000000000007E-3</v>
      </c>
      <c r="I14" s="1">
        <f>1/(73.07*365)</f>
        <v>3.7494539857633231E-5</v>
      </c>
      <c r="J14" s="2">
        <f>-2.9/1000</f>
        <v>-2.8999999999999998E-3</v>
      </c>
      <c r="K14" s="7">
        <v>9267</v>
      </c>
      <c r="L14">
        <f t="shared" si="13"/>
        <v>3153.329769749917</v>
      </c>
      <c r="M14">
        <v>1</v>
      </c>
      <c r="N14">
        <v>5244247</v>
      </c>
      <c r="O14">
        <v>67</v>
      </c>
    </row>
    <row r="15" spans="1:15" x14ac:dyDescent="0.75">
      <c r="A15">
        <v>2011</v>
      </c>
      <c r="B15" s="4">
        <v>676</v>
      </c>
      <c r="C15">
        <v>28888000</v>
      </c>
      <c r="D15">
        <f t="shared" si="0"/>
        <v>995422.70400000003</v>
      </c>
      <c r="E15">
        <f t="shared" si="1"/>
        <v>1747088.4639999999</v>
      </c>
      <c r="F15">
        <f t="shared" si="11"/>
        <v>182835.32968</v>
      </c>
      <c r="G15" s="1">
        <f t="shared" ref="G15:G18" si="14">20/1000</f>
        <v>0.02</v>
      </c>
      <c r="H15" s="1">
        <f t="shared" ref="H15:H18" si="15">5.9/1000</f>
        <v>5.9000000000000007E-3</v>
      </c>
      <c r="I15" s="1">
        <f t="shared" ref="I15:I18" si="16">1/(73.07*365)</f>
        <v>3.7494539857633231E-5</v>
      </c>
      <c r="J15" s="2">
        <f t="shared" ref="J15:J18" si="17">-2.9/1000</f>
        <v>-2.8999999999999998E-3</v>
      </c>
      <c r="K15" s="7">
        <v>1665</v>
      </c>
      <c r="L15">
        <f t="shared" si="13"/>
        <v>566.55811661094333</v>
      </c>
      <c r="M15">
        <v>1</v>
      </c>
      <c r="N15">
        <v>3589089</v>
      </c>
      <c r="O15">
        <v>65</v>
      </c>
    </row>
    <row r="16" spans="1:15" x14ac:dyDescent="0.75">
      <c r="A16">
        <v>2012</v>
      </c>
      <c r="B16" s="4">
        <v>728</v>
      </c>
      <c r="C16">
        <v>29361000</v>
      </c>
      <c r="D16">
        <f t="shared" si="0"/>
        <v>1011721.3380000001</v>
      </c>
      <c r="E16">
        <f t="shared" si="1"/>
        <v>1775694.558</v>
      </c>
      <c r="F16">
        <f t="shared" si="11"/>
        <v>185828.99870999999</v>
      </c>
      <c r="G16" s="1">
        <f t="shared" si="14"/>
        <v>0.02</v>
      </c>
      <c r="H16" s="1">
        <f t="shared" si="15"/>
        <v>5.9000000000000007E-3</v>
      </c>
      <c r="I16" s="1">
        <f t="shared" si="16"/>
        <v>3.7494539857633231E-5</v>
      </c>
      <c r="J16" s="2">
        <f t="shared" si="17"/>
        <v>-2.8999999999999998E-3</v>
      </c>
      <c r="K16" s="7">
        <v>515</v>
      </c>
      <c r="L16">
        <f t="shared" si="13"/>
        <v>175.24169973251401</v>
      </c>
      <c r="M16">
        <v>3</v>
      </c>
      <c r="N16">
        <v>3637795</v>
      </c>
      <c r="O16">
        <v>100</v>
      </c>
    </row>
    <row r="17" spans="1:15" x14ac:dyDescent="0.75">
      <c r="A17">
        <v>2013</v>
      </c>
      <c r="B17" s="4">
        <v>780</v>
      </c>
      <c r="C17">
        <v>29781000</v>
      </c>
      <c r="D17">
        <f t="shared" si="0"/>
        <v>1026193.6980000001</v>
      </c>
      <c r="E17">
        <f t="shared" si="1"/>
        <v>1801095.318</v>
      </c>
      <c r="F17">
        <f t="shared" si="11"/>
        <v>188487.22490999999</v>
      </c>
      <c r="G17" s="1">
        <f>20/1000</f>
        <v>0.02</v>
      </c>
      <c r="H17" s="1">
        <f t="shared" si="15"/>
        <v>5.9000000000000007E-3</v>
      </c>
      <c r="I17" s="1">
        <f t="shared" si="16"/>
        <v>3.7494539857633231E-5</v>
      </c>
      <c r="J17" s="2">
        <f t="shared" si="17"/>
        <v>-2.8999999999999998E-3</v>
      </c>
      <c r="K17" s="7">
        <v>467</v>
      </c>
      <c r="L17">
        <f t="shared" si="13"/>
        <v>158.90849276715349</v>
      </c>
      <c r="M17">
        <v>0</v>
      </c>
      <c r="N17">
        <v>4369755</v>
      </c>
      <c r="O17">
        <v>76</v>
      </c>
    </row>
    <row r="18" spans="1:15" x14ac:dyDescent="0.75">
      <c r="A18">
        <v>2014</v>
      </c>
      <c r="B18" s="4">
        <v>832</v>
      </c>
      <c r="C18">
        <v>30043000</v>
      </c>
      <c r="D18">
        <f t="shared" si="0"/>
        <v>1035221.694</v>
      </c>
      <c r="E18">
        <f t="shared" si="1"/>
        <v>1816940.554</v>
      </c>
      <c r="F18">
        <f t="shared" si="11"/>
        <v>190145.45173</v>
      </c>
      <c r="G18" s="1">
        <f t="shared" si="14"/>
        <v>0.02</v>
      </c>
      <c r="H18" s="1">
        <f t="shared" si="15"/>
        <v>5.9000000000000007E-3</v>
      </c>
      <c r="I18" s="1">
        <f t="shared" si="16"/>
        <v>3.7494539857633231E-5</v>
      </c>
      <c r="J18" s="2">
        <f t="shared" si="17"/>
        <v>-2.8999999999999998E-3</v>
      </c>
      <c r="K18" s="7">
        <v>2666</v>
      </c>
      <c r="L18">
        <f t="shared" si="13"/>
        <v>907.17353686773265</v>
      </c>
      <c r="M18">
        <v>0</v>
      </c>
      <c r="N18">
        <v>4189850</v>
      </c>
      <c r="O18">
        <v>73</v>
      </c>
    </row>
    <row r="19" spans="1:15" x14ac:dyDescent="0.75">
      <c r="A19">
        <v>2015</v>
      </c>
      <c r="B19" s="4">
        <v>884</v>
      </c>
      <c r="C19">
        <v>30082000</v>
      </c>
      <c r="D19">
        <f t="shared" si="0"/>
        <v>1036565.5560000001</v>
      </c>
      <c r="E19">
        <f t="shared" si="1"/>
        <v>1819299.196</v>
      </c>
      <c r="F19">
        <f t="shared" si="11"/>
        <v>190392.28701999999</v>
      </c>
      <c r="G19" s="1">
        <f>18/1000</f>
        <v>1.7999999999999999E-2</v>
      </c>
      <c r="H19" s="1">
        <f>7/1000</f>
        <v>7.0000000000000001E-3</v>
      </c>
      <c r="I19" s="1">
        <f>1/(72.14*365)</f>
        <v>3.7977904455187976E-5</v>
      </c>
      <c r="J19" s="2">
        <f>-22.3/1000</f>
        <v>-2.23E-2</v>
      </c>
      <c r="K19" s="7">
        <v>1041</v>
      </c>
      <c r="L19">
        <f t="shared" si="13"/>
        <v>354.2264260612564</v>
      </c>
      <c r="N19">
        <v>2739290</v>
      </c>
      <c r="O19">
        <v>26</v>
      </c>
    </row>
    <row r="20" spans="1:15" x14ac:dyDescent="0.75">
      <c r="A20">
        <v>2016</v>
      </c>
      <c r="B20" s="4">
        <v>936</v>
      </c>
      <c r="C20">
        <v>29851000</v>
      </c>
      <c r="D20">
        <f t="shared" si="0"/>
        <v>1028605.758</v>
      </c>
      <c r="E20">
        <f t="shared" si="1"/>
        <v>1805328.7779999999</v>
      </c>
      <c r="F20">
        <f t="shared" si="11"/>
        <v>188930.26261000001</v>
      </c>
      <c r="G20" s="1">
        <f t="shared" ref="G20:G23" si="18">18/1000</f>
        <v>1.7999999999999999E-2</v>
      </c>
      <c r="H20" s="1">
        <f t="shared" ref="H20:H23" si="19">7/1000</f>
        <v>7.0000000000000001E-3</v>
      </c>
      <c r="I20" s="1">
        <f t="shared" ref="I20:I23" si="20">1/(72.14*365)</f>
        <v>3.7977904455187976E-5</v>
      </c>
      <c r="J20" s="2">
        <f t="shared" ref="J20:J23" si="21">-22.3/1000</f>
        <v>-2.23E-2</v>
      </c>
      <c r="K20" s="7">
        <v>30000</v>
      </c>
      <c r="L20">
        <f t="shared" si="13"/>
        <v>10208.25435335033</v>
      </c>
      <c r="N20">
        <v>29232</v>
      </c>
      <c r="O20">
        <v>1</v>
      </c>
    </row>
    <row r="21" spans="1:15" x14ac:dyDescent="0.75">
      <c r="A21">
        <v>2017</v>
      </c>
      <c r="B21" s="4">
        <v>988</v>
      </c>
      <c r="C21">
        <v>29402000</v>
      </c>
      <c r="D21">
        <f t="shared" si="0"/>
        <v>1013134.116</v>
      </c>
      <c r="E21">
        <f t="shared" si="1"/>
        <v>1778174.156</v>
      </c>
      <c r="F21">
        <f t="shared" si="11"/>
        <v>186088.49221999999</v>
      </c>
      <c r="G21" s="1">
        <f t="shared" si="18"/>
        <v>1.7999999999999999E-2</v>
      </c>
      <c r="H21" s="1">
        <f t="shared" si="19"/>
        <v>7.0000000000000001E-3</v>
      </c>
      <c r="I21" s="1">
        <f t="shared" si="20"/>
        <v>3.7977904455187976E-5</v>
      </c>
      <c r="J21" s="2">
        <f t="shared" si="21"/>
        <v>-2.23E-2</v>
      </c>
      <c r="K21" s="7">
        <v>5000</v>
      </c>
      <c r="L21">
        <f t="shared" si="13"/>
        <v>1701.3757255583882</v>
      </c>
      <c r="N21">
        <v>3900</v>
      </c>
      <c r="O21">
        <v>0</v>
      </c>
    </row>
    <row r="22" spans="1:15" x14ac:dyDescent="0.75">
      <c r="A22">
        <v>2018</v>
      </c>
      <c r="B22" s="4">
        <v>1040</v>
      </c>
      <c r="C22">
        <v>28887000</v>
      </c>
      <c r="D22">
        <f t="shared" si="0"/>
        <v>995388.24600000004</v>
      </c>
      <c r="E22">
        <f t="shared" si="1"/>
        <v>1747027.9859999998</v>
      </c>
      <c r="F22">
        <f t="shared" si="11"/>
        <v>182829.00057</v>
      </c>
      <c r="G22" s="1">
        <f t="shared" si="18"/>
        <v>1.7999999999999999E-2</v>
      </c>
      <c r="H22" s="1">
        <f t="shared" si="19"/>
        <v>7.0000000000000001E-3</v>
      </c>
      <c r="I22" s="1">
        <f t="shared" si="20"/>
        <v>3.7977904455187976E-5</v>
      </c>
      <c r="J22" s="2">
        <f t="shared" si="21"/>
        <v>-2.23E-2</v>
      </c>
      <c r="K22" s="7">
        <v>81402</v>
      </c>
      <c r="L22">
        <f t="shared" si="13"/>
        <v>27699.077362380787</v>
      </c>
    </row>
    <row r="23" spans="1:15" x14ac:dyDescent="0.75">
      <c r="A23">
        <v>2019</v>
      </c>
      <c r="B23" s="4">
        <v>1092</v>
      </c>
      <c r="C23">
        <v>28516000</v>
      </c>
      <c r="D23">
        <f t="shared" si="0"/>
        <v>982604.3280000001</v>
      </c>
      <c r="E23">
        <f t="shared" si="1"/>
        <v>1724590.6479999998</v>
      </c>
      <c r="F23">
        <f t="shared" si="11"/>
        <v>180480.90075999999</v>
      </c>
      <c r="G23" s="1">
        <f t="shared" si="18"/>
        <v>1.7999999999999999E-2</v>
      </c>
      <c r="H23" s="1">
        <f t="shared" si="19"/>
        <v>7.0000000000000001E-3</v>
      </c>
      <c r="I23" s="1">
        <f t="shared" si="20"/>
        <v>3.7977904455187976E-5</v>
      </c>
      <c r="J23" s="2">
        <f t="shared" si="21"/>
        <v>-2.23E-2</v>
      </c>
      <c r="K23" s="7">
        <v>256311</v>
      </c>
      <c r="L23">
        <f t="shared" si="13"/>
        <v>87216.262718719227</v>
      </c>
    </row>
    <row r="24" spans="1:15" x14ac:dyDescent="0.75">
      <c r="A24">
        <v>2020</v>
      </c>
      <c r="B24" s="4">
        <v>1144</v>
      </c>
      <c r="C24">
        <v>28436000</v>
      </c>
      <c r="D24">
        <f t="shared" si="0"/>
        <v>979847.68800000008</v>
      </c>
      <c r="E24">
        <f t="shared" si="1"/>
        <v>1719752.4079999998</v>
      </c>
      <c r="F24">
        <f t="shared" si="11"/>
        <v>179974.57196</v>
      </c>
      <c r="G24" s="1">
        <f>16.8/1000</f>
        <v>1.6800000000000002E-2</v>
      </c>
      <c r="H24" s="1">
        <f>7.3/1000</f>
        <v>7.3000000000000001E-3</v>
      </c>
      <c r="I24" s="1">
        <f>1/(72.33*365)</f>
        <v>3.7878142228636257E-5</v>
      </c>
      <c r="J24" s="2">
        <f>-10.9/1000</f>
        <v>-1.09E-2</v>
      </c>
      <c r="K24" s="7">
        <v>73605</v>
      </c>
      <c r="L24">
        <f t="shared" si="13"/>
        <v>25045.952055945039</v>
      </c>
    </row>
    <row r="25" spans="1:15" x14ac:dyDescent="0.75">
      <c r="A25">
        <v>2021</v>
      </c>
      <c r="B25" s="4">
        <v>1196</v>
      </c>
      <c r="C25">
        <v>28705000</v>
      </c>
      <c r="D25">
        <f t="shared" si="0"/>
        <v>989116.89000000013</v>
      </c>
      <c r="E25">
        <f t="shared" si="1"/>
        <v>1736020.99</v>
      </c>
      <c r="F25">
        <f t="shared" si="11"/>
        <v>181677.10254999998</v>
      </c>
      <c r="G25" s="1">
        <f t="shared" ref="G25:G27" si="22">16.8/1000</f>
        <v>1.6800000000000002E-2</v>
      </c>
      <c r="H25" s="1">
        <f t="shared" ref="H25:H28" si="23">7.3/1000</f>
        <v>7.3000000000000001E-3</v>
      </c>
      <c r="I25" s="1">
        <f t="shared" ref="I25:I28" si="24">1/(72.33*365)</f>
        <v>3.7878142228636257E-5</v>
      </c>
      <c r="J25" s="2">
        <f t="shared" ref="J25:J28" si="25">-10.9/1000</f>
        <v>-1.09E-2</v>
      </c>
      <c r="K25" s="7">
        <f>AVERAGE(K22:K24)</f>
        <v>137106</v>
      </c>
      <c r="L25">
        <f>AVERAGE(L22:L24)</f>
        <v>46653.764045681688</v>
      </c>
    </row>
    <row r="26" spans="1:15" x14ac:dyDescent="0.75">
      <c r="A26">
        <v>2022</v>
      </c>
      <c r="B26" s="4">
        <v>1248</v>
      </c>
      <c r="C26">
        <v>29267000</v>
      </c>
      <c r="D26">
        <f t="shared" si="0"/>
        <v>1008482.2860000001</v>
      </c>
      <c r="E26">
        <f t="shared" si="1"/>
        <v>1770009.6259999999</v>
      </c>
      <c r="F26">
        <f t="shared" si="11"/>
        <v>185234.06237</v>
      </c>
      <c r="G26" s="1">
        <f t="shared" si="22"/>
        <v>1.6800000000000002E-2</v>
      </c>
      <c r="H26" s="1">
        <f t="shared" si="23"/>
        <v>7.3000000000000001E-3</v>
      </c>
      <c r="I26" s="1">
        <f t="shared" si="24"/>
        <v>3.7878142228636257E-5</v>
      </c>
      <c r="J26" s="2">
        <f t="shared" si="25"/>
        <v>-1.09E-2</v>
      </c>
      <c r="K26" s="7">
        <f t="shared" ref="K26:L30" si="26">AVERAGE(K23:K25)</f>
        <v>155674</v>
      </c>
      <c r="L26">
        <f t="shared" si="26"/>
        <v>52971.992940115313</v>
      </c>
    </row>
    <row r="27" spans="1:15" x14ac:dyDescent="0.75">
      <c r="A27">
        <v>2023</v>
      </c>
      <c r="B27" s="4">
        <v>1300</v>
      </c>
      <c r="C27">
        <v>30017000</v>
      </c>
      <c r="D27">
        <f t="shared" si="0"/>
        <v>1034325.7860000001</v>
      </c>
      <c r="E27">
        <f t="shared" si="1"/>
        <v>1815368.1259999999</v>
      </c>
      <c r="F27">
        <f t="shared" si="11"/>
        <v>189980.89486999999</v>
      </c>
      <c r="G27" s="1">
        <f t="shared" si="22"/>
        <v>1.6800000000000002E-2</v>
      </c>
      <c r="H27" s="1">
        <f t="shared" si="23"/>
        <v>7.3000000000000001E-3</v>
      </c>
      <c r="I27" s="1">
        <f t="shared" si="24"/>
        <v>3.7878142228636257E-5</v>
      </c>
      <c r="J27" s="2">
        <f t="shared" si="25"/>
        <v>-1.09E-2</v>
      </c>
      <c r="K27" s="7">
        <f t="shared" si="26"/>
        <v>122128.33333333333</v>
      </c>
      <c r="L27">
        <f t="shared" si="26"/>
        <v>41557.236347247344</v>
      </c>
    </row>
    <row r="28" spans="1:15" x14ac:dyDescent="0.75">
      <c r="A28">
        <v>2024</v>
      </c>
      <c r="B28" s="4">
        <v>1352</v>
      </c>
      <c r="C28">
        <v>30794000</v>
      </c>
      <c r="D28">
        <f t="shared" si="0"/>
        <v>1061099.652</v>
      </c>
      <c r="E28">
        <f t="shared" si="1"/>
        <v>1862359.5319999999</v>
      </c>
      <c r="F28">
        <f t="shared" si="11"/>
        <v>194898.61333999998</v>
      </c>
      <c r="G28" s="1">
        <f>16.8/1000</f>
        <v>1.6800000000000002E-2</v>
      </c>
      <c r="H28" s="1">
        <f t="shared" si="23"/>
        <v>7.3000000000000001E-3</v>
      </c>
      <c r="I28" s="1">
        <f t="shared" si="24"/>
        <v>3.7878142228636257E-5</v>
      </c>
      <c r="J28" s="2">
        <f t="shared" si="25"/>
        <v>-1.09E-2</v>
      </c>
      <c r="K28" s="7">
        <f t="shared" si="26"/>
        <v>138302.77777777778</v>
      </c>
      <c r="L28">
        <f t="shared" si="26"/>
        <v>47060.997777681448</v>
      </c>
    </row>
    <row r="29" spans="1:15" x14ac:dyDescent="0.75">
      <c r="A29">
        <v>2025</v>
      </c>
      <c r="B29" s="4">
        <v>1404</v>
      </c>
      <c r="C29">
        <v>31481000</v>
      </c>
      <c r="D29">
        <f t="shared" si="0"/>
        <v>1084772.2980000002</v>
      </c>
      <c r="E29">
        <f t="shared" si="1"/>
        <v>1903907.9179999998</v>
      </c>
      <c r="F29">
        <f t="shared" si="11"/>
        <v>199246.71190999998</v>
      </c>
      <c r="G29" s="1">
        <f>16.5/1000</f>
        <v>1.6500000000000001E-2</v>
      </c>
      <c r="H29" s="1">
        <f>7.4/1000</f>
        <v>7.4000000000000003E-3</v>
      </c>
      <c r="I29" s="1">
        <f>1/(73.65*365)</f>
        <v>3.7199267174436662E-5</v>
      </c>
      <c r="J29" s="2">
        <f>4.1/1000</f>
        <v>4.0999999999999995E-3</v>
      </c>
      <c r="K29" s="7">
        <f t="shared" si="26"/>
        <v>138701.70370370371</v>
      </c>
      <c r="L29">
        <f t="shared" si="26"/>
        <v>47196.7423550147</v>
      </c>
    </row>
    <row r="30" spans="1:15" x14ac:dyDescent="0.75">
      <c r="A30">
        <v>2026</v>
      </c>
      <c r="B30" s="4">
        <v>1456</v>
      </c>
      <c r="C30">
        <v>31481000</v>
      </c>
      <c r="D30">
        <f t="shared" si="0"/>
        <v>1084772.2980000002</v>
      </c>
      <c r="E30">
        <f t="shared" si="1"/>
        <v>1903907.9179999998</v>
      </c>
      <c r="F30">
        <f t="shared" si="11"/>
        <v>199246.71190999998</v>
      </c>
      <c r="G30" s="1">
        <f>16.5/1000</f>
        <v>1.6500000000000001E-2</v>
      </c>
      <c r="H30" s="1">
        <f>7.4/1000</f>
        <v>7.4000000000000003E-3</v>
      </c>
      <c r="I30" s="1">
        <f>1/(73.65*365)</f>
        <v>3.7199267174436662E-5</v>
      </c>
      <c r="J30" s="2">
        <f>4.1/1000</f>
        <v>4.0999999999999995E-3</v>
      </c>
      <c r="K30" s="7">
        <f t="shared" si="26"/>
        <v>133044.27160493829</v>
      </c>
      <c r="L30">
        <f t="shared" si="26"/>
        <v>45271.658826647828</v>
      </c>
    </row>
    <row r="31" spans="1:15" x14ac:dyDescent="0.75">
      <c r="A31">
        <v>2027</v>
      </c>
      <c r="B31" s="4">
        <v>1508</v>
      </c>
      <c r="C31">
        <v>31481000</v>
      </c>
      <c r="D31">
        <f t="shared" ref="D31:D34" si="27">0.034458*C31</f>
        <v>1084772.2980000002</v>
      </c>
      <c r="E31">
        <f t="shared" ref="E31:E34" si="28">0.060478*C31</f>
        <v>1903907.9179999998</v>
      </c>
      <c r="F31">
        <f t="shared" ref="F31:F34" si="29">0.00632911*C31</f>
        <v>199246.71190999998</v>
      </c>
      <c r="G31" s="1">
        <f t="shared" ref="G31:G34" si="30">16.5/1000</f>
        <v>1.6500000000000001E-2</v>
      </c>
      <c r="H31" s="1">
        <f t="shared" ref="H31:H34" si="31">7.4/1000</f>
        <v>7.4000000000000003E-3</v>
      </c>
      <c r="I31" s="1">
        <f t="shared" ref="I31:I34" si="32">1/(73.65*365)</f>
        <v>3.7199267174436662E-5</v>
      </c>
      <c r="J31" s="2">
        <f t="shared" ref="J31:J34" si="33">4.1/1000</f>
        <v>4.0999999999999995E-3</v>
      </c>
      <c r="K31" s="7">
        <f t="shared" ref="K31:L31" si="34">AVERAGE(K28:K30)</f>
        <v>136682.91769547327</v>
      </c>
      <c r="L31">
        <f t="shared" si="34"/>
        <v>46509.799653114656</v>
      </c>
    </row>
    <row r="32" spans="1:15" x14ac:dyDescent="0.75">
      <c r="A32">
        <v>2028</v>
      </c>
      <c r="B32" s="4">
        <v>1560</v>
      </c>
      <c r="C32">
        <v>31481000</v>
      </c>
      <c r="D32">
        <f t="shared" si="27"/>
        <v>1084772.2980000002</v>
      </c>
      <c r="E32">
        <f t="shared" si="28"/>
        <v>1903907.9179999998</v>
      </c>
      <c r="F32">
        <f t="shared" si="29"/>
        <v>199246.71190999998</v>
      </c>
      <c r="G32" s="1">
        <f t="shared" si="30"/>
        <v>1.6500000000000001E-2</v>
      </c>
      <c r="H32" s="1">
        <f t="shared" si="31"/>
        <v>7.4000000000000003E-3</v>
      </c>
      <c r="I32" s="1">
        <f t="shared" si="32"/>
        <v>3.7199267174436662E-5</v>
      </c>
      <c r="J32" s="2">
        <f t="shared" si="33"/>
        <v>4.0999999999999995E-3</v>
      </c>
      <c r="K32" s="7">
        <f t="shared" ref="K32:L32" si="35">AVERAGE(K29:K31)</f>
        <v>136142.96433470512</v>
      </c>
      <c r="L32">
        <f t="shared" si="35"/>
        <v>46326.066944925726</v>
      </c>
    </row>
    <row r="33" spans="1:12" x14ac:dyDescent="0.75">
      <c r="A33">
        <v>2029</v>
      </c>
      <c r="B33" s="4">
        <v>1612</v>
      </c>
      <c r="C33">
        <v>31481000</v>
      </c>
      <c r="D33">
        <f t="shared" si="27"/>
        <v>1084772.2980000002</v>
      </c>
      <c r="E33">
        <f t="shared" si="28"/>
        <v>1903907.9179999998</v>
      </c>
      <c r="F33">
        <f t="shared" si="29"/>
        <v>199246.71190999998</v>
      </c>
      <c r="G33" s="1">
        <f t="shared" si="30"/>
        <v>1.6500000000000001E-2</v>
      </c>
      <c r="H33" s="1">
        <f t="shared" si="31"/>
        <v>7.4000000000000003E-3</v>
      </c>
      <c r="I33" s="1">
        <f t="shared" si="32"/>
        <v>3.7199267174436662E-5</v>
      </c>
      <c r="J33" s="2">
        <f t="shared" si="33"/>
        <v>4.0999999999999995E-3</v>
      </c>
      <c r="K33" s="7">
        <f t="shared" ref="K33:L33" si="36">AVERAGE(K30:K32)</f>
        <v>135290.05121170555</v>
      </c>
      <c r="L33">
        <f t="shared" si="36"/>
        <v>46035.841808229401</v>
      </c>
    </row>
    <row r="34" spans="1:12" x14ac:dyDescent="0.75">
      <c r="A34">
        <v>2030</v>
      </c>
      <c r="B34" s="4">
        <v>1664</v>
      </c>
      <c r="C34">
        <v>31481000</v>
      </c>
      <c r="D34">
        <f t="shared" si="27"/>
        <v>1084772.2980000002</v>
      </c>
      <c r="E34">
        <f t="shared" si="28"/>
        <v>1903907.9179999998</v>
      </c>
      <c r="F34">
        <f t="shared" si="29"/>
        <v>199246.71190999998</v>
      </c>
      <c r="G34" s="1">
        <f t="shared" si="30"/>
        <v>1.6500000000000001E-2</v>
      </c>
      <c r="H34" s="1">
        <f t="shared" si="31"/>
        <v>7.4000000000000003E-3</v>
      </c>
      <c r="I34" s="1">
        <f t="shared" si="32"/>
        <v>3.7199267174436662E-5</v>
      </c>
      <c r="J34" s="2">
        <f t="shared" si="33"/>
        <v>4.0999999999999995E-3</v>
      </c>
      <c r="K34" s="7">
        <f t="shared" ref="K34:L34" si="37">AVERAGE(K31:K33)</f>
        <v>136038.6444139613</v>
      </c>
      <c r="L34">
        <f t="shared" si="37"/>
        <v>46290.569468756592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Ishana Atkinson</dc:creator>
  <cp:lastModifiedBy>Ishana Atkinson</cp:lastModifiedBy>
  <dcterms:created xsi:type="dcterms:W3CDTF">2022-06-23T16:16:53Z</dcterms:created>
  <dcterms:modified xsi:type="dcterms:W3CDTF">2022-06-23T16:28:09Z</dcterms:modified>
</cp:coreProperties>
</file>