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940" yWindow="60" windowWidth="25600" windowHeight="13980" tabRatio="500"/>
  </bookViews>
  <sheets>
    <sheet name="酒店历年情况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5" l="1"/>
  <c r="G57" i="5"/>
  <c r="G53" i="5"/>
  <c r="Q60" i="5"/>
  <c r="D61" i="5"/>
  <c r="E61" i="5"/>
  <c r="F61" i="5"/>
  <c r="Q61" i="5"/>
  <c r="Q59" i="5"/>
  <c r="Q51" i="5"/>
  <c r="D49" i="5"/>
  <c r="E49" i="5"/>
  <c r="F49" i="5"/>
  <c r="G49" i="5"/>
  <c r="Q49" i="5"/>
  <c r="Q47" i="5"/>
  <c r="D45" i="5"/>
  <c r="E45" i="5"/>
  <c r="F45" i="5"/>
  <c r="G45" i="5"/>
  <c r="Q45" i="5"/>
  <c r="O43" i="5"/>
  <c r="Q43" i="5"/>
  <c r="D40" i="5"/>
  <c r="E40" i="5"/>
  <c r="F40" i="5"/>
  <c r="G40" i="5"/>
  <c r="H40" i="5"/>
  <c r="I40" i="5"/>
  <c r="J40" i="5"/>
  <c r="K40" i="5"/>
  <c r="L40" i="5"/>
  <c r="M40" i="5"/>
  <c r="N40" i="5"/>
  <c r="O40" i="5"/>
  <c r="Q40" i="5"/>
  <c r="D41" i="5"/>
  <c r="E41" i="5"/>
  <c r="F41" i="5"/>
  <c r="G41" i="5"/>
  <c r="Q41" i="5"/>
  <c r="O39" i="5"/>
  <c r="Q39" i="5"/>
  <c r="D36" i="5"/>
  <c r="E36" i="5"/>
  <c r="F36" i="5"/>
  <c r="G36" i="5"/>
  <c r="Q36" i="5"/>
  <c r="D37" i="5"/>
  <c r="E37" i="5"/>
  <c r="F37" i="5"/>
  <c r="G37" i="5"/>
  <c r="Q37" i="5"/>
  <c r="O35" i="5"/>
  <c r="Q35" i="5"/>
  <c r="D32" i="5"/>
  <c r="E32" i="5"/>
  <c r="F32" i="5"/>
  <c r="G32" i="5"/>
  <c r="H32" i="5"/>
  <c r="I32" i="5"/>
  <c r="J32" i="5"/>
  <c r="K32" i="5"/>
  <c r="L32" i="5"/>
  <c r="M32" i="5"/>
  <c r="N32" i="5"/>
  <c r="O32" i="5"/>
  <c r="Q32" i="5"/>
  <c r="D33" i="5"/>
  <c r="E33" i="5"/>
  <c r="F33" i="5"/>
  <c r="G33" i="5"/>
  <c r="Q33" i="5"/>
  <c r="O31" i="5"/>
  <c r="Q31" i="5"/>
  <c r="D28" i="5"/>
  <c r="E28" i="5"/>
  <c r="F28" i="5"/>
  <c r="G28" i="5"/>
  <c r="H28" i="5"/>
  <c r="I28" i="5"/>
  <c r="J28" i="5"/>
  <c r="K28" i="5"/>
  <c r="L28" i="5"/>
  <c r="M28" i="5"/>
  <c r="N28" i="5"/>
  <c r="O28" i="5"/>
  <c r="Q28" i="5"/>
  <c r="D29" i="5"/>
  <c r="E29" i="5"/>
  <c r="F29" i="5"/>
  <c r="G29" i="5"/>
  <c r="Q29" i="5"/>
  <c r="O27" i="5"/>
  <c r="Q27" i="5"/>
  <c r="D24" i="5"/>
  <c r="E24" i="5"/>
  <c r="F24" i="5"/>
  <c r="G24" i="5"/>
  <c r="Q24" i="5"/>
  <c r="D25" i="5"/>
  <c r="E25" i="5"/>
  <c r="F25" i="5"/>
  <c r="G25" i="5"/>
  <c r="Q25" i="5"/>
  <c r="O23" i="5"/>
  <c r="Q23" i="5"/>
  <c r="D20" i="5"/>
  <c r="E20" i="5"/>
  <c r="F20" i="5"/>
  <c r="G20" i="5"/>
  <c r="H20" i="5"/>
  <c r="I20" i="5"/>
  <c r="J20" i="5"/>
  <c r="K20" i="5"/>
  <c r="L20" i="5"/>
  <c r="M20" i="5"/>
  <c r="N20" i="5"/>
  <c r="O20" i="5"/>
  <c r="Q20" i="5"/>
  <c r="D21" i="5"/>
  <c r="E21" i="5"/>
  <c r="F21" i="5"/>
  <c r="G21" i="5"/>
  <c r="Q21" i="5"/>
  <c r="O19" i="5"/>
  <c r="Q19" i="5"/>
  <c r="D16" i="5"/>
  <c r="E16" i="5"/>
  <c r="F16" i="5"/>
  <c r="G16" i="5"/>
  <c r="H16" i="5"/>
  <c r="I16" i="5"/>
  <c r="J16" i="5"/>
  <c r="K16" i="5"/>
  <c r="L16" i="5"/>
  <c r="M16" i="5"/>
  <c r="N16" i="5"/>
  <c r="O16" i="5"/>
  <c r="Q16" i="5"/>
  <c r="D17" i="5"/>
  <c r="E17" i="5"/>
  <c r="F17" i="5"/>
  <c r="G17" i="5"/>
  <c r="Q17" i="5"/>
  <c r="O15" i="5"/>
  <c r="Q15" i="5"/>
  <c r="D12" i="5"/>
  <c r="E12" i="5"/>
  <c r="F12" i="5"/>
  <c r="G12" i="5"/>
  <c r="Q12" i="5"/>
  <c r="D13" i="5"/>
  <c r="E13" i="5"/>
  <c r="F13" i="5"/>
  <c r="G13" i="5"/>
  <c r="Q13" i="5"/>
  <c r="O11" i="5"/>
  <c r="Q11" i="5"/>
  <c r="D8" i="5"/>
  <c r="E8" i="5"/>
  <c r="F8" i="5"/>
  <c r="G8" i="5"/>
  <c r="H8" i="5"/>
  <c r="I8" i="5"/>
  <c r="J8" i="5"/>
  <c r="K8" i="5"/>
  <c r="L8" i="5"/>
  <c r="M8" i="5"/>
  <c r="N8" i="5"/>
  <c r="O8" i="5"/>
  <c r="Q8" i="5"/>
  <c r="D9" i="5"/>
  <c r="E9" i="5"/>
  <c r="F9" i="5"/>
  <c r="G9" i="5"/>
  <c r="Q9" i="5"/>
  <c r="O7" i="5"/>
  <c r="Q7" i="5"/>
  <c r="D4" i="5"/>
  <c r="E4" i="5"/>
  <c r="F4" i="5"/>
  <c r="G4" i="5"/>
  <c r="H4" i="5"/>
  <c r="I4" i="5"/>
  <c r="J4" i="5"/>
  <c r="K4" i="5"/>
  <c r="L4" i="5"/>
  <c r="M4" i="5"/>
  <c r="N4" i="5"/>
  <c r="O4" i="5"/>
  <c r="Q4" i="5"/>
  <c r="D5" i="5"/>
  <c r="E5" i="5"/>
  <c r="F5" i="5"/>
  <c r="G5" i="5"/>
  <c r="Q5" i="5"/>
  <c r="O3" i="5"/>
  <c r="Q3" i="5"/>
  <c r="F57" i="5"/>
  <c r="F53" i="5"/>
  <c r="E57" i="5"/>
  <c r="E53" i="5"/>
  <c r="D57" i="5"/>
  <c r="Q57" i="5"/>
  <c r="D53" i="5"/>
  <c r="Q53" i="5"/>
  <c r="D56" i="5"/>
  <c r="E56" i="5"/>
  <c r="F56" i="5"/>
  <c r="G56" i="5"/>
  <c r="H56" i="5"/>
  <c r="I56" i="5"/>
  <c r="J56" i="5"/>
  <c r="K56" i="5"/>
  <c r="L56" i="5"/>
  <c r="M56" i="5"/>
  <c r="N56" i="5"/>
  <c r="O56" i="5"/>
  <c r="D52" i="5"/>
  <c r="E52" i="5"/>
  <c r="F52" i="5"/>
  <c r="G52" i="5"/>
  <c r="H52" i="5"/>
  <c r="I52" i="5"/>
  <c r="J52" i="5"/>
  <c r="K52" i="5"/>
  <c r="L52" i="5"/>
  <c r="M52" i="5"/>
  <c r="N52" i="5"/>
  <c r="O52" i="5"/>
  <c r="Y44" i="5"/>
  <c r="O44" i="5"/>
  <c r="Q52" i="5"/>
  <c r="F44" i="5"/>
  <c r="G44" i="5"/>
  <c r="I44" i="5"/>
  <c r="J44" i="5"/>
  <c r="L44" i="5"/>
  <c r="D44" i="5"/>
  <c r="E44" i="5"/>
  <c r="H44" i="5"/>
  <c r="K44" i="5"/>
  <c r="M44" i="5"/>
  <c r="N44" i="5"/>
  <c r="Q44" i="5"/>
  <c r="AF40" i="5"/>
  <c r="AE40" i="5"/>
  <c r="AG40" i="5"/>
  <c r="AA66" i="5"/>
  <c r="V66" i="5"/>
  <c r="AB66" i="5"/>
  <c r="AC66" i="5"/>
  <c r="U66" i="5"/>
  <c r="W66" i="5"/>
  <c r="X66" i="5"/>
  <c r="T66" i="5"/>
  <c r="Y66" i="5"/>
  <c r="T65" i="5"/>
  <c r="U65" i="5"/>
  <c r="V65" i="5"/>
  <c r="Y65" i="5"/>
  <c r="Z66" i="5"/>
  <c r="Z65" i="5"/>
  <c r="Q56" i="5"/>
  <c r="Q55" i="5"/>
  <c r="AA65" i="5"/>
  <c r="AB65" i="5"/>
  <c r="AC65" i="5"/>
  <c r="W65" i="5"/>
  <c r="X65" i="5"/>
  <c r="D48" i="5"/>
  <c r="E48" i="5"/>
  <c r="F48" i="5"/>
  <c r="G48" i="5"/>
  <c r="Q48" i="5"/>
  <c r="P52" i="5"/>
</calcChain>
</file>

<file path=xl/sharedStrings.xml><?xml version="1.0" encoding="utf-8"?>
<sst xmlns="http://schemas.openxmlformats.org/spreadsheetml/2006/main" count="235" uniqueCount="53">
  <si>
    <t>欢朋</t>
    <phoneticPr fontId="1" type="noConversion"/>
  </si>
  <si>
    <t>温德姆</t>
    <phoneticPr fontId="1" type="noConversion"/>
  </si>
  <si>
    <t>慧友</t>
    <phoneticPr fontId="1" type="noConversion"/>
  </si>
  <si>
    <t>客房出租率</t>
    <phoneticPr fontId="1" type="noConversion"/>
  </si>
  <si>
    <t>平均房价</t>
    <phoneticPr fontId="1" type="noConversion"/>
  </si>
  <si>
    <t>RePAR</t>
    <phoneticPr fontId="1" type="noConversion"/>
  </si>
  <si>
    <t>总收入</t>
    <phoneticPr fontId="1" type="noConversion"/>
  </si>
  <si>
    <t>类别</t>
    <phoneticPr fontId="1" type="noConversion"/>
  </si>
  <si>
    <t>酒店名称</t>
    <phoneticPr fontId="1" type="noConversion"/>
  </si>
  <si>
    <t>汇总</t>
    <phoneticPr fontId="1" type="noConversion"/>
  </si>
  <si>
    <t>单房单日GOP值</t>
    <phoneticPr fontId="1" type="noConversion"/>
  </si>
  <si>
    <t>GOP平衡值</t>
    <phoneticPr fontId="1" type="noConversion"/>
  </si>
  <si>
    <t>摊销（10年）</t>
    <phoneticPr fontId="1" type="noConversion"/>
  </si>
  <si>
    <t>单日房租</t>
    <phoneticPr fontId="1" type="noConversion"/>
  </si>
  <si>
    <t>单日单房摊销（5年）</t>
    <phoneticPr fontId="1" type="noConversion"/>
  </si>
  <si>
    <t>月GOP值（万元）</t>
    <phoneticPr fontId="1" type="noConversion"/>
  </si>
  <si>
    <t>-</t>
    <phoneticPr fontId="1" type="noConversion"/>
  </si>
  <si>
    <t>GOP
（元）</t>
    <phoneticPr fontId="1" type="noConversion"/>
  </si>
  <si>
    <t>实际平均单房成本</t>
    <phoneticPr fontId="1" type="noConversion"/>
  </si>
  <si>
    <t>RePAR平衡值（元)</t>
    <phoneticPr fontId="1" type="noConversion"/>
  </si>
  <si>
    <t>估算表</t>
    <phoneticPr fontId="1" type="noConversion"/>
  </si>
  <si>
    <t>月营业平衡值
(万元）</t>
    <phoneticPr fontId="1" type="noConversion"/>
  </si>
  <si>
    <t>年份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</si>
  <si>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</si>
  <si>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</si>
  <si>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</si>
  <si>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</si>
  <si>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</si>
  <si>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</si>
  <si>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</si>
  <si>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</si>
  <si>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</si>
  <si>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</si>
  <si>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</si>
  <si>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</si>
  <si>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2023年</t>
    <phoneticPr fontId="1" type="noConversion"/>
  </si>
  <si>
    <t>2024年</t>
    <phoneticPr fontId="1" type="noConversion"/>
  </si>
  <si>
    <t>2025年</t>
  </si>
  <si>
    <t>酒店历年经营情对比表</t>
    <phoneticPr fontId="1" type="noConversion"/>
  </si>
  <si>
    <t>菲伦</t>
    <phoneticPr fontId="1" type="noConversion"/>
  </si>
  <si>
    <t>菲伦</t>
    <phoneticPr fontId="1" type="noConversion"/>
  </si>
  <si>
    <t>欢朋</t>
    <phoneticPr fontId="1" type="noConversion"/>
  </si>
  <si>
    <t>温德姆</t>
    <phoneticPr fontId="1" type="noConversion"/>
  </si>
  <si>
    <t>菲伦</t>
    <phoneticPr fontId="1" type="noConversion"/>
  </si>
  <si>
    <t>-</t>
    <phoneticPr fontId="1" type="noConversion"/>
  </si>
  <si>
    <t>菲伦</t>
    <phoneticPr fontId="1" type="noConversion"/>
  </si>
  <si>
    <t>菲伦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</si>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</sst>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¥&quot;#,##0.00_);[Red]\(&quot;¥&quot;#,##0.00\)"/>
    <numFmt numFmtId="176" formatCode="0.00_ "/>
    <numFmt numFmtId="177" formatCode="0.00_ ;[Red]\-0.00\ 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sz val="12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10" fontId="0" fillId="0" borderId="0" xfId="0" applyNumberFormat="1"/>
    <xf numFmtId="8" fontId="0" fillId="0" borderId="0" xfId="0" applyNumberFormat="1"/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8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8" fontId="0" fillId="3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2" fontId="0" fillId="0" borderId="0" xfId="0" applyNumberFormat="1"/>
    <xf numFmtId="177" fontId="0" fillId="0" borderId="0" xfId="0" applyNumberFormat="1"/>
    <xf numFmtId="176" fontId="0" fillId="0" borderId="1" xfId="0" applyNumberFormat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Border="1" applyAlignment="1">
      <alignment horizontal="center" vertical="center"/>
    </xf>
    <xf numFmtId="10" fontId="0" fillId="3" borderId="0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8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8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8" fontId="0" fillId="0" borderId="1" xfId="0" applyNumberForma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2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20.xml"/><Relationship Id="rId22" Type="http://schemas.openxmlformats.org/officeDocument/2006/relationships/externalLink" Target="externalLinks/externalLink21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1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4.xml"/><Relationship Id="rId16" Type="http://schemas.openxmlformats.org/officeDocument/2006/relationships/externalLink" Target="externalLinks/externalLink15.xml"/><Relationship Id="rId17" Type="http://schemas.openxmlformats.org/officeDocument/2006/relationships/externalLink" Target="externalLinks/externalLink16.xml"/><Relationship Id="rId18" Type="http://schemas.openxmlformats.org/officeDocument/2006/relationships/externalLink" Target="externalLinks/externalLink17.xml"/><Relationship Id="rId19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酒店历年情况!$A$3:$C$3</c:f>
              <c:strCache>
                <c:ptCount val="1"/>
                <c:pt idx="0">
                  <c:v>客房出租率 欢朋 2023年</c:v>
                </c:pt>
              </c:strCache>
            </c:strRef>
          </c:tx>
          <c:marker>
            <c:symbol val="none"/>
          </c:marker>
          <c:val>
            <c:numRef>
              <c:f>酒店历年情况!$D$3:$O$3</c:f>
              <c:numCache>
                <c:formatCode>@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 formatCode="0.00%">
                  <c:v>0.859387096774193</c:v>
                </c:pt>
                <c:pt idx="7" formatCode="0.00%">
                  <c:v>0.801075268817204</c:v>
                </c:pt>
                <c:pt idx="8" formatCode="0.00%">
                  <c:v>0.612218963831867</c:v>
                </c:pt>
                <c:pt idx="9" formatCode="0.00%">
                  <c:v>0.684652981427175</c:v>
                </c:pt>
                <c:pt idx="10" formatCode="0.00%">
                  <c:v>0.655757575757576</c:v>
                </c:pt>
                <c:pt idx="11" formatCode="0.00%">
                  <c:v>0.620909090909091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酒店历年情况!$A$4:$C$4</c:f>
              <c:strCache>
                <c:ptCount val="1"/>
                <c:pt idx="0">
                  <c:v>客房出租率 欢朋 2024年</c:v>
                </c:pt>
              </c:strCache>
            </c:strRef>
          </c:tx>
          <c:marker>
            <c:symbol val="none"/>
          </c:marker>
          <c:val>
            <c:numRef>
              <c:f>酒店历年情况!$D$4:$O$4</c:f>
              <c:numCache>
                <c:formatCode>0.00%</c:formatCode>
                <c:ptCount val="12"/>
                <c:pt idx="0">
                  <c:v>0.597777777777778</c:v>
                </c:pt>
                <c:pt idx="1">
                  <c:v>0.573333333333333</c:v>
                </c:pt>
                <c:pt idx="2">
                  <c:v>0.646565656565656</c:v>
                </c:pt>
                <c:pt idx="3">
                  <c:v>0.731919191919192</c:v>
                </c:pt>
                <c:pt idx="4">
                  <c:v>0.772121212121212</c:v>
                </c:pt>
                <c:pt idx="5">
                  <c:v>0.731919191919192</c:v>
                </c:pt>
                <c:pt idx="6">
                  <c:v>0.818670576735093</c:v>
                </c:pt>
                <c:pt idx="7">
                  <c:v>0.80713587487781</c:v>
                </c:pt>
                <c:pt idx="8">
                  <c:v>0.654242424242424</c:v>
                </c:pt>
                <c:pt idx="9">
                  <c:v>0.788758553274682</c:v>
                </c:pt>
                <c:pt idx="10">
                  <c:v>0.64040404040404</c:v>
                </c:pt>
                <c:pt idx="11">
                  <c:v>0.549462365591398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酒店历年情况!$A$5:$C$5</c:f>
              <c:strCache>
                <c:ptCount val="1"/>
                <c:pt idx="0">
                  <c:v>客房出租率 欢朋 2025年</c:v>
                </c:pt>
              </c:strCache>
            </c:strRef>
          </c:tx>
          <c:marker>
            <c:symbol val="none"/>
          </c:marker>
          <c:val>
            <c:numRef>
              <c:f>酒店历年情况!$D$5:$O$5</c:f>
              <c:numCache>
                <c:formatCode>0.00%</c:formatCode>
                <c:ptCount val="12"/>
                <c:pt idx="0">
                  <c:v>0.634141414141414</c:v>
                </c:pt>
                <c:pt idx="1">
                  <c:v>0.685064935064935</c:v>
                </c:pt>
                <c:pt idx="2">
                  <c:v>0.613587487781036</c:v>
                </c:pt>
                <c:pt idx="3">
                  <c:v>0.687273333333333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酒店历年情况!$A$6:$C$6</c:f>
              <c:strCache>
                <c:ptCount val="1"/>
                <c:pt idx="0">
                  <c:v>客房出租率 欢朋 2025年</c:v>
                </c:pt>
              </c:strCache>
            </c:strRef>
          </c:tx>
          <c:marker>
            <c:symbol val="none"/>
          </c:marker>
          <c:val>
            <c:numRef>
              <c:f>酒店历年情况!$D$6:$O$6</c:f>
              <c:numCache>
                <c:formatCode>0.00%</c:formatCode>
                <c:ptCount val="12"/>
              </c:numCache>
            </c:numRef>
          </c:val>
          <c:smooth val="0"/>
        </c:ser>
        <c:ser>
          <c:idx val="4"/>
          <c:order val="4"/>
          <c:tx>
            <c:strRef>
              <c:f>酒店历年情况!$A$7:$C$7</c:f>
              <c:strCache>
                <c:ptCount val="1"/>
                <c:pt idx="0">
                  <c:v>客房出租率 温德姆 2023年</c:v>
                </c:pt>
              </c:strCache>
            </c:strRef>
          </c:tx>
          <c:marker>
            <c:symbol val="none"/>
          </c:marker>
          <c:val>
            <c:numRef>
              <c:f>酒店历年情况!$D$7:$O$7</c:f>
              <c:numCache>
                <c:formatCode>0.00%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0.829377419354839</c:v>
                </c:pt>
                <c:pt idx="7">
                  <c:v>0.77448169875726</c:v>
                </c:pt>
                <c:pt idx="8">
                  <c:v>0.689584472389284</c:v>
                </c:pt>
                <c:pt idx="9">
                  <c:v>0.749863313285948</c:v>
                </c:pt>
                <c:pt idx="10">
                  <c:v>0.735310734463276</c:v>
                </c:pt>
                <c:pt idx="11">
                  <c:v>0.659463276836158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酒店历年情况!$A$8:$C$8</c:f>
              <c:strCache>
                <c:ptCount val="1"/>
                <c:pt idx="0">
                  <c:v>客房出租率 温德姆 2024年</c:v>
                </c:pt>
              </c:strCache>
            </c:strRef>
          </c:tx>
          <c:marker>
            <c:symbol val="none"/>
          </c:marker>
          <c:val>
            <c:numRef>
              <c:f>酒店历年情况!$D$8:$O$8</c:f>
              <c:numCache>
                <c:formatCode>0.00%</c:formatCode>
                <c:ptCount val="12"/>
                <c:pt idx="0">
                  <c:v>0.751271186440678</c:v>
                </c:pt>
                <c:pt idx="1">
                  <c:v>0.679378531073446</c:v>
                </c:pt>
                <c:pt idx="2">
                  <c:v>0.814830508474576</c:v>
                </c:pt>
                <c:pt idx="3">
                  <c:v>0.807984058161433</c:v>
                </c:pt>
                <c:pt idx="4">
                  <c:v>0.815503875968992</c:v>
                </c:pt>
                <c:pt idx="5">
                  <c:v>0.790963824289406</c:v>
                </c:pt>
                <c:pt idx="6">
                  <c:v>0.836209052263066</c:v>
                </c:pt>
                <c:pt idx="7">
                  <c:v>0.826581645411353</c:v>
                </c:pt>
                <c:pt idx="8">
                  <c:v>0.694573643410853</c:v>
                </c:pt>
                <c:pt idx="9">
                  <c:v>0.829957489372343</c:v>
                </c:pt>
                <c:pt idx="10">
                  <c:v>0.689793281653746</c:v>
                </c:pt>
                <c:pt idx="11">
                  <c:v>0.698924731182796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酒店历年情况!$A$9:$C$9</c:f>
              <c:strCache>
                <c:ptCount val="1"/>
                <c:pt idx="0">
                  <c:v>客房出租率 温德姆 2025年</c:v>
                </c:pt>
              </c:strCache>
            </c:strRef>
          </c:tx>
          <c:marker>
            <c:symbol val="none"/>
          </c:marker>
          <c:val>
            <c:numRef>
              <c:f>酒店历年情况!$D$9:$O$9</c:f>
              <c:numCache>
                <c:formatCode>0.00%</c:formatCode>
                <c:ptCount val="12"/>
                <c:pt idx="0">
                  <c:v>0.696770025839793</c:v>
                </c:pt>
                <c:pt idx="1">
                  <c:v>0.751661129568106</c:v>
                </c:pt>
                <c:pt idx="2">
                  <c:v>0.76194048512128</c:v>
                </c:pt>
                <c:pt idx="3">
                  <c:v>0.800647131782946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酒店历年情况!$A$10:$C$10</c:f>
              <c:strCache>
                <c:ptCount val="1"/>
                <c:pt idx="0">
                  <c:v>客房出租率 温德姆 2025年</c:v>
                </c:pt>
              </c:strCache>
            </c:strRef>
          </c:tx>
          <c:marker>
            <c:symbol val="none"/>
          </c:marker>
          <c:val>
            <c:numRef>
              <c:f>酒店历年情况!$D$10:$O$10</c:f>
              <c:numCache>
                <c:formatCode>0.00%</c:formatCode>
                <c:ptCount val="12"/>
              </c:numCache>
            </c:numRef>
          </c:val>
          <c:smooth val="0"/>
        </c:ser>
        <c:ser>
          <c:idx val="8"/>
          <c:order val="8"/>
          <c:tx>
            <c:strRef>
              <c:f>酒店历年情况!$A$11:$C$11</c:f>
              <c:strCache>
                <c:ptCount val="1"/>
                <c:pt idx="0">
                  <c:v>客房出租率 菲伦 2023年</c:v>
                </c:pt>
              </c:strCache>
            </c:strRef>
          </c:tx>
          <c:marker>
            <c:symbol val="none"/>
          </c:marker>
          <c:val>
            <c:numRef>
              <c:f>酒店历年情况!$D$11:$O$11</c:f>
              <c:numCache>
                <c:formatCode>0.00%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0.925896774193548</c:v>
                </c:pt>
                <c:pt idx="7">
                  <c:v>0.800348735832607</c:v>
                </c:pt>
                <c:pt idx="8">
                  <c:v>0.680034873583261</c:v>
                </c:pt>
                <c:pt idx="9">
                  <c:v>0.553182214472537</c:v>
                </c:pt>
                <c:pt idx="10">
                  <c:v>0.559009009009009</c:v>
                </c:pt>
                <c:pt idx="11">
                  <c:v>0.616666666666667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酒店历年情况!$A$12:$C$12</c:f>
              <c:strCache>
                <c:ptCount val="1"/>
                <c:pt idx="0">
                  <c:v>客房出租率 菲伦 2024年</c:v>
                </c:pt>
              </c:strCache>
            </c:strRef>
          </c:tx>
          <c:marker>
            <c:symbol val="none"/>
          </c:marker>
          <c:val>
            <c:numRef>
              <c:f>酒店历年情况!$D$12:$O$12</c:f>
              <c:numCache>
                <c:formatCode>0.00%</c:formatCode>
                <c:ptCount val="12"/>
                <c:pt idx="0">
                  <c:v>0.509459459459459</c:v>
                </c:pt>
                <c:pt idx="1">
                  <c:v>0.392792792792793</c:v>
                </c:pt>
                <c:pt idx="2">
                  <c:v>0.526576576576577</c:v>
                </c:pt>
                <c:pt idx="3">
                  <c:v>0.675675675675676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酒店历年情况!$A$13:$C$13</c:f>
              <c:strCache>
                <c:ptCount val="1"/>
                <c:pt idx="0">
                  <c:v>客房出租率 菲伦 2025年</c:v>
                </c:pt>
              </c:strCache>
            </c:strRef>
          </c:tx>
          <c:marker>
            <c:symbol val="none"/>
          </c:marker>
          <c:val>
            <c:numRef>
              <c:f>酒店历年情况!$D$13:$O$13</c:f>
              <c:numCache>
                <c:formatCode>0.00%</c:formatCode>
                <c:ptCount val="12"/>
                <c:pt idx="0">
                  <c:v>0.530630630630631</c:v>
                </c:pt>
                <c:pt idx="1">
                  <c:v>0.817567567567567</c:v>
                </c:pt>
                <c:pt idx="2">
                  <c:v>0.833914559721011</c:v>
                </c:pt>
                <c:pt idx="3">
                  <c:v>0.904953963963964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791656"/>
        <c:axId val="2066789368"/>
      </c:lineChart>
      <c:catAx>
        <c:axId val="206679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789368"/>
        <c:crosses val="autoZero"/>
        <c:auto val="1"/>
        <c:lblAlgn val="ctr"/>
        <c:lblOffset val="100"/>
        <c:noMultiLvlLbl val="0"/>
      </c:catAx>
      <c:valAx>
        <c:axId val="206678936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2066791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4245647969052"/>
          <c:y val="0.0447304278048046"/>
          <c:w val="0.155754368105042"/>
          <c:h val="0.9147496780293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酒店历年情况!$A$27:$C$27</c:f>
              <c:strCache>
                <c:ptCount val="1"/>
                <c:pt idx="0">
                  <c:v>RePAR 欢朋 2023年</c:v>
                </c:pt>
              </c:strCache>
            </c:strRef>
          </c:tx>
          <c:marker>
            <c:symbol val="none"/>
          </c:marker>
          <c:val>
            <c:numRef>
              <c:f>酒店历年情况!$D$27:$O$27</c:f>
              <c:numCache>
                <c:formatCode>"¥"#,##0.00_);[Red]\("¥"#,##0.00\)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442.3270478983382</c:v>
                </c:pt>
                <c:pt idx="7">
                  <c:v>411.5039042033235</c:v>
                </c:pt>
                <c:pt idx="8">
                  <c:v>295.6330322580645</c:v>
                </c:pt>
                <c:pt idx="9">
                  <c:v>346.3738826979471</c:v>
                </c:pt>
                <c:pt idx="10">
                  <c:v>285.5836606060605</c:v>
                </c:pt>
                <c:pt idx="11">
                  <c:v>261.8289898989899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酒店历年情况!$A$28:$C$28</c:f>
              <c:strCache>
                <c:ptCount val="1"/>
                <c:pt idx="0">
                  <c:v>RePAR 欢朋 2024年</c:v>
                </c:pt>
              </c:strCache>
            </c:strRef>
          </c:tx>
          <c:marker>
            <c:symbol val="none"/>
          </c:marker>
          <c:val>
            <c:numRef>
              <c:f>酒店历年情况!$D$28:$O$28</c:f>
              <c:numCache>
                <c:formatCode>"¥"#,##0.00_);[Red]\("¥"#,##0.00\)</c:formatCode>
                <c:ptCount val="12"/>
                <c:pt idx="0">
                  <c:v>250.646785858586</c:v>
                </c:pt>
                <c:pt idx="1">
                  <c:v>270.5299616161615</c:v>
                </c:pt>
                <c:pt idx="2">
                  <c:v>262.3069696969698</c:v>
                </c:pt>
                <c:pt idx="3">
                  <c:v>297.4966868686869</c:v>
                </c:pt>
                <c:pt idx="4">
                  <c:v>347.8600868686869</c:v>
                </c:pt>
                <c:pt idx="5">
                  <c:v>301.7716282828283</c:v>
                </c:pt>
                <c:pt idx="6">
                  <c:v>351.3851358748778</c:v>
                </c:pt>
                <c:pt idx="7">
                  <c:v>344.4445180840665</c:v>
                </c:pt>
                <c:pt idx="8">
                  <c:v>265.849</c:v>
                </c:pt>
                <c:pt idx="9">
                  <c:v>356.6290185728251</c:v>
                </c:pt>
                <c:pt idx="10">
                  <c:v>250.6997333333333</c:v>
                </c:pt>
                <c:pt idx="11">
                  <c:v>208.9514975562071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酒店历年情况!$A$29:$C$29</c:f>
              <c:strCache>
                <c:ptCount val="1"/>
                <c:pt idx="0">
                  <c:v>RePAR 欢朋 2025年</c:v>
                </c:pt>
              </c:strCache>
            </c:strRef>
          </c:tx>
          <c:marker>
            <c:symbol val="none"/>
          </c:marker>
          <c:val>
            <c:numRef>
              <c:f>酒店历年情况!$D$29:$O$29</c:f>
              <c:numCache>
                <c:formatCode>"¥"#,##0.00_);[Red]\("¥"#,##0.00\)</c:formatCode>
                <c:ptCount val="12"/>
                <c:pt idx="0">
                  <c:v>244.485339198436</c:v>
                </c:pt>
                <c:pt idx="1">
                  <c:v>276.5798225108225</c:v>
                </c:pt>
                <c:pt idx="2">
                  <c:v>239.7906568914956</c:v>
                </c:pt>
                <c:pt idx="3">
                  <c:v>277.4455919191919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酒店历年情况!$A$30:$C$30</c:f>
              <c:strCache>
                <c:ptCount val="1"/>
                <c:pt idx="0">
                  <c:v>RePAR 欢朋 2025年</c:v>
                </c:pt>
              </c:strCache>
            </c:strRef>
          </c:tx>
          <c:marker>
            <c:symbol val="none"/>
          </c:marker>
          <c:val>
            <c:numRef>
              <c:f>酒店历年情况!$D$30:$O$30</c:f>
              <c:numCache>
                <c:formatCode>"¥"#,##0.00_);[Red]\("¥"#,##0.00\)</c:formatCode>
                <c:ptCount val="12"/>
              </c:numCache>
            </c:numRef>
          </c:val>
          <c:smooth val="0"/>
        </c:ser>
        <c:ser>
          <c:idx val="4"/>
          <c:order val="4"/>
          <c:tx>
            <c:strRef>
              <c:f>酒店历年情况!$A$31:$C$31</c:f>
              <c:strCache>
                <c:ptCount val="1"/>
                <c:pt idx="0">
                  <c:v>RePAR 温德姆 2023年</c:v>
                </c:pt>
              </c:strCache>
            </c:strRef>
          </c:tx>
          <c:marker>
            <c:symbol val="none"/>
          </c:marker>
          <c:val>
            <c:numRef>
              <c:f>酒店历年情况!$D$31:$O$31</c:f>
              <c:numCache>
                <c:formatCode>"¥"#,##0.00_);[Red]\("¥"#,##0.00\)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322.6341935483871</c:v>
                </c:pt>
                <c:pt idx="7">
                  <c:v>328.3270378183769</c:v>
                </c:pt>
                <c:pt idx="8">
                  <c:v>259.436118097321</c:v>
                </c:pt>
                <c:pt idx="9">
                  <c:v>304.622821213778</c:v>
                </c:pt>
                <c:pt idx="10">
                  <c:v>270.9912316384181</c:v>
                </c:pt>
                <c:pt idx="11">
                  <c:v>233.7789096045198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酒店历年情况!$A$32:$C$32</c:f>
              <c:strCache>
                <c:ptCount val="1"/>
                <c:pt idx="0">
                  <c:v>RePAR 温德姆 2024年</c:v>
                </c:pt>
              </c:strCache>
            </c:strRef>
          </c:tx>
          <c:marker>
            <c:symbol val="none"/>
          </c:marker>
          <c:val>
            <c:numRef>
              <c:f>酒店历年情况!$D$32:$O$32</c:f>
              <c:numCache>
                <c:formatCode>"¥"#,##0.00_);[Red]\("¥"#,##0.00\)</c:formatCode>
                <c:ptCount val="12"/>
                <c:pt idx="0">
                  <c:v>259.6484491525424</c:v>
                </c:pt>
                <c:pt idx="1">
                  <c:v>276.7532418312074</c:v>
                </c:pt>
                <c:pt idx="2">
                  <c:v>275.2144858757062</c:v>
                </c:pt>
                <c:pt idx="3">
                  <c:v>288.3378872684272</c:v>
                </c:pt>
                <c:pt idx="4">
                  <c:v>317.4039586563306</c:v>
                </c:pt>
                <c:pt idx="5">
                  <c:v>238.9871912144703</c:v>
                </c:pt>
                <c:pt idx="6">
                  <c:v>297.2406676669167</c:v>
                </c:pt>
                <c:pt idx="7">
                  <c:v>289.3054963740934</c:v>
                </c:pt>
                <c:pt idx="8">
                  <c:v>211.6697131782946</c:v>
                </c:pt>
                <c:pt idx="9">
                  <c:v>294.9564266066517</c:v>
                </c:pt>
                <c:pt idx="10">
                  <c:v>210.2863229974161</c:v>
                </c:pt>
                <c:pt idx="11">
                  <c:v>210.7555238809702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酒店历年情况!$A$33:$C$33</c:f>
              <c:strCache>
                <c:ptCount val="1"/>
                <c:pt idx="0">
                  <c:v>RePAR 温德姆 2025年</c:v>
                </c:pt>
              </c:strCache>
            </c:strRef>
          </c:tx>
          <c:marker>
            <c:symbol val="none"/>
          </c:marker>
          <c:val>
            <c:numRef>
              <c:f>酒店历年情况!$D$33:$O$33</c:f>
              <c:numCache>
                <c:formatCode>"¥"#,##0.00_);[Red]\("¥"#,##0.00\)</c:formatCode>
                <c:ptCount val="12"/>
                <c:pt idx="0">
                  <c:v>201.7744286071517</c:v>
                </c:pt>
                <c:pt idx="1">
                  <c:v>230.5922951273533</c:v>
                </c:pt>
                <c:pt idx="2">
                  <c:v>233.0626356589147</c:v>
                </c:pt>
                <c:pt idx="3">
                  <c:v>236.7491033591731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酒店历年情况!$A$34:$C$34</c:f>
              <c:strCache>
                <c:ptCount val="1"/>
                <c:pt idx="0">
                  <c:v>RePAR 温德姆 2025年</c:v>
                </c:pt>
              </c:strCache>
            </c:strRef>
          </c:tx>
          <c:marker>
            <c:symbol val="none"/>
          </c:marker>
          <c:val>
            <c:numRef>
              <c:f>酒店历年情况!$D$34:$O$34</c:f>
              <c:numCache>
                <c:formatCode>"¥"#,##0.00_);[Red]\("¥"#,##0.00\)</c:formatCode>
                <c:ptCount val="12"/>
              </c:numCache>
            </c:numRef>
          </c:val>
          <c:smooth val="0"/>
        </c:ser>
        <c:ser>
          <c:idx val="8"/>
          <c:order val="8"/>
          <c:tx>
            <c:strRef>
              <c:f>酒店历年情况!$A$35:$C$35</c:f>
              <c:strCache>
                <c:ptCount val="1"/>
                <c:pt idx="0">
                  <c:v>RePAR 菲伦 2023年</c:v>
                </c:pt>
              </c:strCache>
            </c:strRef>
          </c:tx>
          <c:marker>
            <c:symbol val="none"/>
          </c:marker>
          <c:val>
            <c:numRef>
              <c:f>酒店历年情况!$D$35:$O$35</c:f>
              <c:numCache>
                <c:formatCode>"¥"#,##0.00_);[Red]\("¥"#,##0.00\)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274.7877419354839</c:v>
                </c:pt>
                <c:pt idx="7">
                  <c:v>250.5464413251962</c:v>
                </c:pt>
                <c:pt idx="8">
                  <c:v>188.2683347863993</c:v>
                </c:pt>
                <c:pt idx="9">
                  <c:v>167.1071098517873</c:v>
                </c:pt>
                <c:pt idx="10">
                  <c:v>133.4766261261262</c:v>
                </c:pt>
                <c:pt idx="11">
                  <c:v>143.6373333333333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酒店历年情况!$A$36:$C$36</c:f>
              <c:strCache>
                <c:ptCount val="1"/>
                <c:pt idx="0">
                  <c:v>RePAR 菲伦 2024年</c:v>
                </c:pt>
              </c:strCache>
            </c:strRef>
          </c:tx>
          <c:marker>
            <c:symbol val="none"/>
          </c:marker>
          <c:val>
            <c:numRef>
              <c:f>酒店历年情况!$D$36:$O$36</c:f>
              <c:numCache>
                <c:formatCode>"¥"#,##0.00_);[Red]\("¥"#,##0.00\)</c:formatCode>
                <c:ptCount val="12"/>
                <c:pt idx="0">
                  <c:v>111.221990990991</c:v>
                </c:pt>
                <c:pt idx="1">
                  <c:v>108.0745015015015</c:v>
                </c:pt>
                <c:pt idx="2">
                  <c:v>112.1857747747748</c:v>
                </c:pt>
                <c:pt idx="3">
                  <c:v>137.5981531531531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酒店历年情况!$A$37:$C$37</c:f>
              <c:strCache>
                <c:ptCount val="1"/>
                <c:pt idx="0">
                  <c:v>RePAR 菲伦 2025年</c:v>
                </c:pt>
              </c:strCache>
            </c:strRef>
          </c:tx>
          <c:marker>
            <c:symbol val="none"/>
          </c:marker>
          <c:val>
            <c:numRef>
              <c:f>酒店历年情况!$D$37:$O$37</c:f>
              <c:numCache>
                <c:formatCode>"¥"#,##0.00_);[Red]\("¥"#,##0.00\)</c:formatCode>
                <c:ptCount val="12"/>
                <c:pt idx="0">
                  <c:v>101.7449869224063</c:v>
                </c:pt>
                <c:pt idx="1">
                  <c:v>146.2983783783784</c:v>
                </c:pt>
                <c:pt idx="2">
                  <c:v>151.1346512641674</c:v>
                </c:pt>
                <c:pt idx="3">
                  <c:v>176.2997297297298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34648"/>
        <c:axId val="2069237592"/>
      </c:lineChart>
      <c:catAx>
        <c:axId val="206923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237592"/>
        <c:crosses val="autoZero"/>
        <c:auto val="1"/>
        <c:lblAlgn val="ctr"/>
        <c:lblOffset val="100"/>
        <c:noMultiLvlLbl val="0"/>
      </c:catAx>
      <c:valAx>
        <c:axId val="2069237592"/>
        <c:scaling>
          <c:orientation val="minMax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206923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酒店历年情况!$A$39:$C$39</c:f>
              <c:strCache>
                <c:ptCount val="1"/>
                <c:pt idx="0">
                  <c:v>总收入 欢朋 2023年</c:v>
                </c:pt>
              </c:strCache>
            </c:strRef>
          </c:tx>
          <c:marker>
            <c:symbol val="none"/>
          </c:marker>
          <c:val>
            <c:numRef>
              <c:f>酒店历年情况!$D$39:$O$39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 formatCode="&quot;¥&quot;#,##0.00_);[Red]\(&quot;¥&quot;#,##0.00\)">
                  <c:v>2.29945536E6</c:v>
                </c:pt>
                <c:pt idx="7" formatCode="&quot;¥&quot;#,##0.00_);[Red]\(&quot;¥&quot;#,##0.00\)">
                  <c:v>2.13971247E6</c:v>
                </c:pt>
                <c:pt idx="8" formatCode="&quot;¥&quot;#,##0.00_);[Red]\(&quot;¥&quot;#,##0.00\)">
                  <c:v>1.59774696E6</c:v>
                </c:pt>
                <c:pt idx="9" formatCode="&quot;¥&quot;#,##0.00_);[Red]\(&quot;¥&quot;#,##0.00\)">
                  <c:v>1.82726441E6</c:v>
                </c:pt>
                <c:pt idx="10" formatCode="&quot;¥&quot;#,##0.00_);[Red]\(&quot;¥&quot;#,##0.00\)">
                  <c:v>1.45618712E6</c:v>
                </c:pt>
                <c:pt idx="11" formatCode="&quot;¥&quot;#,##0.00_);[Red]\(&quot;¥&quot;#,##0.00\)">
                  <c:v>1.3291795E6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酒店历年情况!$A$40:$C$40</c:f>
              <c:strCache>
                <c:ptCount val="1"/>
                <c:pt idx="0">
                  <c:v>总收入 欢朋 2024年</c:v>
                </c:pt>
              </c:strCache>
            </c:strRef>
          </c:tx>
          <c:marker>
            <c:symbol val="none"/>
          </c:marker>
          <c:val>
            <c:numRef>
              <c:f>酒店历年情况!$D$40:$O$40</c:f>
              <c:numCache>
                <c:formatCode>"¥"#,##0.00_);[Red]\("¥"#,##0.00\)</c:formatCode>
                <c:ptCount val="12"/>
                <c:pt idx="0">
                  <c:v>1.28833859E6</c:v>
                </c:pt>
                <c:pt idx="1">
                  <c:v>1.37298831E6</c:v>
                </c:pt>
                <c:pt idx="2">
                  <c:v>1.3390265E6</c:v>
                </c:pt>
                <c:pt idx="3">
                  <c:v>1.5004766E6</c:v>
                </c:pt>
                <c:pt idx="4">
                  <c:v>1.77037683E6</c:v>
                </c:pt>
                <c:pt idx="5">
                  <c:v>1.53116626E6</c:v>
                </c:pt>
                <c:pt idx="6">
                  <c:v>1.82958297E6</c:v>
                </c:pt>
                <c:pt idx="7">
                  <c:v>1.79831051E6</c:v>
                </c:pt>
                <c:pt idx="8">
                  <c:v>1.34887005E6</c:v>
                </c:pt>
                <c:pt idx="9">
                  <c:v>1.87744583E6</c:v>
                </c:pt>
                <c:pt idx="10">
                  <c:v>1.26732838E6</c:v>
                </c:pt>
                <c:pt idx="11">
                  <c:v>1.10835311E6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酒店历年情况!$A$41:$C$41</c:f>
              <c:strCache>
                <c:ptCount val="1"/>
                <c:pt idx="0">
                  <c:v>总收入 欢朋 2025年</c:v>
                </c:pt>
              </c:strCache>
            </c:strRef>
          </c:tx>
          <c:marker>
            <c:symbol val="none"/>
          </c:marker>
          <c:val>
            <c:numRef>
              <c:f>酒店历年情况!$D$41:$O$41</c:f>
              <c:numCache>
                <c:formatCode>"¥"#,##0.00_);[Red]\("¥"#,##0.00\)</c:formatCode>
                <c:ptCount val="12"/>
                <c:pt idx="0">
                  <c:v>1.28552483E6</c:v>
                </c:pt>
                <c:pt idx="1">
                  <c:v>1.31268782E6</c:v>
                </c:pt>
                <c:pt idx="2">
                  <c:v>1.27493768E6</c:v>
                </c:pt>
                <c:pt idx="3">
                  <c:v>1.39897584E6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酒店历年情况!$A$42:$C$42</c:f>
              <c:strCache>
                <c:ptCount val="1"/>
                <c:pt idx="0">
                  <c:v>总收入 欢朋 2025年</c:v>
                </c:pt>
              </c:strCache>
            </c:strRef>
          </c:tx>
          <c:marker>
            <c:symbol val="none"/>
          </c:marker>
          <c:val>
            <c:numRef>
              <c:f>酒店历年情况!$D$42:$O$42</c:f>
              <c:numCache>
                <c:formatCode>"¥"#,##0.00_);[Red]\("¥"#,##0.00\)</c:formatCode>
                <c:ptCount val="12"/>
              </c:numCache>
            </c:numRef>
          </c:val>
          <c:smooth val="0"/>
        </c:ser>
        <c:ser>
          <c:idx val="4"/>
          <c:order val="4"/>
          <c:tx>
            <c:strRef>
              <c:f>酒店历年情况!$A$43:$C$43</c:f>
              <c:strCache>
                <c:ptCount val="1"/>
                <c:pt idx="0">
                  <c:v>总收入 温德姆 2023年</c:v>
                </c:pt>
              </c:strCache>
            </c:strRef>
          </c:tx>
          <c:marker>
            <c:symbol val="none"/>
          </c:marker>
          <c:val>
            <c:numRef>
              <c:f>酒店历年情况!$D$43:$O$43</c:f>
              <c:numCache>
                <c:formatCode>"¥"#,##0.00_);[Red]\("¥"#,##0.00\)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1.19561776E6</c:v>
                </c:pt>
                <c:pt idx="7">
                  <c:v>1.18212826E6</c:v>
                </c:pt>
                <c:pt idx="8">
                  <c:v>962096.3199999999</c:v>
                </c:pt>
                <c:pt idx="9">
                  <c:v>1.11941928E6</c:v>
                </c:pt>
                <c:pt idx="10">
                  <c:v>969737.96</c:v>
                </c:pt>
                <c:pt idx="11">
                  <c:v>834493.34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酒店历年情况!$A$44:$C$44</c:f>
              <c:strCache>
                <c:ptCount val="1"/>
                <c:pt idx="0">
                  <c:v>总收入 温德姆 2024年</c:v>
                </c:pt>
              </c:strCache>
            </c:strRef>
          </c:tx>
          <c:marker>
            <c:symbol val="none"/>
          </c:marker>
          <c:val>
            <c:numRef>
              <c:f>酒店历年情况!$D$44:$O$44</c:f>
              <c:numCache>
                <c:formatCode>"¥"#,##0.00_);[Red]\("¥"#,##0.00\)</c:formatCode>
                <c:ptCount val="12"/>
                <c:pt idx="0">
                  <c:v>931009.5099999999</c:v>
                </c:pt>
                <c:pt idx="1">
                  <c:v>981824.2999999998</c:v>
                </c:pt>
                <c:pt idx="2">
                  <c:v>980831.28</c:v>
                </c:pt>
                <c:pt idx="3">
                  <c:v>1.04122549E6</c:v>
                </c:pt>
                <c:pt idx="4">
                  <c:v>1.23978432E6</c:v>
                </c:pt>
                <c:pt idx="5">
                  <c:v>931636.43</c:v>
                </c:pt>
                <c:pt idx="6">
                  <c:v>1.19550343E6</c:v>
                </c:pt>
                <c:pt idx="7">
                  <c:v>1.16327668E6</c:v>
                </c:pt>
                <c:pt idx="8">
                  <c:v>823514.79</c:v>
                </c:pt>
                <c:pt idx="9">
                  <c:v>1.18625175E6</c:v>
                </c:pt>
                <c:pt idx="10">
                  <c:v>818486.0699999999</c:v>
                </c:pt>
                <c:pt idx="11">
                  <c:v>848453.34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酒店历年情况!$A$45:$C$45</c:f>
              <c:strCache>
                <c:ptCount val="1"/>
                <c:pt idx="0">
                  <c:v>总收入 温德姆 2025年</c:v>
                </c:pt>
              </c:strCache>
            </c:strRef>
          </c:tx>
          <c:marker>
            <c:symbol val="none"/>
          </c:marker>
          <c:val>
            <c:numRef>
              <c:f>酒店历年情况!$D$45:$O$45</c:f>
              <c:numCache>
                <c:formatCode>"¥"#,##0.00_);[Red]\("¥"#,##0.00\)</c:formatCode>
                <c:ptCount val="12"/>
                <c:pt idx="0">
                  <c:v>842874.46</c:v>
                </c:pt>
                <c:pt idx="1">
                  <c:v>837245.37</c:v>
                </c:pt>
                <c:pt idx="2">
                  <c:v>936114.4800000001</c:v>
                </c:pt>
                <c:pt idx="3">
                  <c:v>921116.45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酒店历年情况!$A$46:$C$46</c:f>
              <c:strCache>
                <c:ptCount val="1"/>
                <c:pt idx="0">
                  <c:v>总收入 温德姆 2025年</c:v>
                </c:pt>
              </c:strCache>
            </c:strRef>
          </c:tx>
          <c:marker>
            <c:symbol val="none"/>
          </c:marker>
          <c:val>
            <c:numRef>
              <c:f>酒店历年情况!$D$46:$O$46</c:f>
              <c:numCache>
                <c:formatCode>"¥"#,##0.00_);[Red]\("¥"#,##0.00\)</c:formatCode>
                <c:ptCount val="12"/>
              </c:numCache>
            </c:numRef>
          </c:val>
          <c:smooth val="0"/>
        </c:ser>
        <c:ser>
          <c:idx val="8"/>
          <c:order val="8"/>
          <c:tx>
            <c:strRef>
              <c:f>酒店历年情况!$A$47:$C$47</c:f>
              <c:strCache>
                <c:ptCount val="1"/>
                <c:pt idx="0">
                  <c:v>总收入 菲伦 2023年</c:v>
                </c:pt>
              </c:strCache>
            </c:strRef>
          </c:tx>
          <c:marker>
            <c:symbol val="none"/>
          </c:marker>
          <c:val>
            <c:numRef>
              <c:f>酒店历年情况!$D$47:$O$47</c:f>
              <c:numCache>
                <c:formatCode>"¥"#,##0.00_);[Red]\("¥"#,##0.00\)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酒店历年情况!$A$48:$C$48</c:f>
              <c:strCache>
                <c:ptCount val="1"/>
                <c:pt idx="0">
                  <c:v>总收入 菲伦 2024年</c:v>
                </c:pt>
              </c:strCache>
            </c:strRef>
          </c:tx>
          <c:marker>
            <c:symbol val="none"/>
          </c:marker>
          <c:val>
            <c:numRef>
              <c:f>酒店历年情况!$D$48:$O$48</c:f>
              <c:numCache>
                <c:formatCode>"¥"#,##0.00_);[Red]\("¥"#,##0.00\)</c:formatCode>
                <c:ptCount val="12"/>
                <c:pt idx="0">
                  <c:v>279236.73</c:v>
                </c:pt>
                <c:pt idx="1">
                  <c:v>234470.54</c:v>
                </c:pt>
                <c:pt idx="2">
                  <c:v>252658.33</c:v>
                </c:pt>
                <c:pt idx="3">
                  <c:v>308273.4700000001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酒店历年情况!$A$49:$C$49</c:f>
              <c:strCache>
                <c:ptCount val="1"/>
                <c:pt idx="0">
                  <c:v>总收入 菲伦 2025年</c:v>
                </c:pt>
              </c:strCache>
            </c:strRef>
          </c:tx>
          <c:marker>
            <c:symbol val="none"/>
          </c:marker>
          <c:val>
            <c:numRef>
              <c:f>酒店历年情况!$D$49:$O$49</c:f>
              <c:numCache>
                <c:formatCode>"¥"#,##0.00_);[Red]\("¥"#,##0.00\)</c:formatCode>
                <c:ptCount val="12"/>
                <c:pt idx="0">
                  <c:v>236977</c:v>
                </c:pt>
                <c:pt idx="1">
                  <c:v>308640.24</c:v>
                </c:pt>
                <c:pt idx="2">
                  <c:v>349881.09</c:v>
                </c:pt>
                <c:pt idx="3">
                  <c:v>393867.6100000001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94040"/>
        <c:axId val="2069296984"/>
      </c:lineChart>
      <c:catAx>
        <c:axId val="206929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296984"/>
        <c:crosses val="autoZero"/>
        <c:auto val="1"/>
        <c:lblAlgn val="ctr"/>
        <c:lblOffset val="100"/>
        <c:noMultiLvlLbl val="0"/>
      </c:catAx>
      <c:valAx>
        <c:axId val="206929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294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58996924027"/>
          <c:y val="0.0454246274078583"/>
          <c:w val="0.199507369271149"/>
          <c:h val="0.90147740884010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673100</xdr:colOff>
      <xdr:row>2</xdr:row>
      <xdr:rowOff>107950</xdr:rowOff>
    </xdr:from>
    <xdr:to>
      <xdr:col>25</xdr:col>
      <xdr:colOff>508000</xdr:colOff>
      <xdr:row>14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927100</xdr:colOff>
      <xdr:row>26</xdr:row>
      <xdr:rowOff>6350</xdr:rowOff>
    </xdr:from>
    <xdr:to>
      <xdr:col>24</xdr:col>
      <xdr:colOff>1016000</xdr:colOff>
      <xdr:row>36</xdr:row>
      <xdr:rowOff>279400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1219200</xdr:colOff>
      <xdr:row>39</xdr:row>
      <xdr:rowOff>44450</xdr:rowOff>
    </xdr:from>
    <xdr:to>
      <xdr:col>24</xdr:col>
      <xdr:colOff>1168400</xdr:colOff>
      <xdr:row>48</xdr:row>
      <xdr:rowOff>292100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usoushi/Desktop/&#37202;&#24215;&#32463;&#33829;&#24773;&#20917;&#20998;&#26512;&#23545;&#27604;&#34920;/&#37202;&#24215;&#32463;&#33829;&#24773;&#20917;&#20998;&#26512;&#23545;&#27604;&#34920;/2023&#24180;/2023&#24180;12&#26376;/&#37202;&#24215;&#26376;&#24230;&#32463;&#33829;&#29366;&#20917;&#23545;&#27604;&#34920;&#65288;23.12&#65289;%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usoushi/Desktop/&#37202;&#24215;&#32463;&#33829;&#24773;&#20917;&#20998;&#26512;&#23545;&#27604;&#34920;/&#37202;&#24215;&#32463;&#33829;&#24773;&#20917;&#20998;&#26512;&#23545;&#27604;&#34920;/2024&#24180;/2024&#24180;9&#26376;/&#37202;&#24215;&#26376;&#24230;&#32463;&#33829;&#29366;&#20917;&#23545;&#27604;&#34920;&#65288;24.9&#65289;%2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usoushi/Desktop/&#37202;&#24215;&#32463;&#33829;&#24773;&#20917;&#20998;&#26512;&#23545;&#27604;&#34920;/&#37202;&#24215;&#32463;&#33829;&#24773;&#20917;&#20998;&#26512;&#23545;&#27604;&#34920;/2024&#24180;/2024&#24180;10&#26376;/&#37202;&#24215;&#26376;&#24230;&#32463;&#33829;&#29366;&#20917;&#23545;&#27604;&#34920;&#65288;24.10&#65289;%2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usoushi/Desktop/&#37202;&#24215;&#32463;&#33829;&#24773;&#20917;&#20998;&#26512;&#23545;&#27604;&#34920;/&#37202;&#24215;&#32463;&#33829;&#24773;&#20917;&#20998;&#26512;&#23545;&#27604;&#34920;/2024&#24180;/2024&#24180;11&#26376;/&#37202;&#24215;&#26376;&#24230;&#32463;&#33829;&#29366;&#20917;&#23545;&#27604;&#34920;&#65288;24.11&#65289;%2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usoushi/Desktop/&#37202;&#24215;&#32463;&#33829;&#24773;&#20917;&#20998;&#26512;&#23545;&#27604;&#34920;/&#37202;&#24215;&#32463;&#33829;&#24773;&#20917;&#20998;&#26512;&#23545;&#27604;&#34920;/2024&#24180;/2024&#24180;12&#26376;/&#37202;&#24215;&#26376;&#24230;&#32463;&#33829;&#29366;&#20917;&#23545;&#27604;&#34920;&#65288;24.12&#65289;%2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usoushi/Desktop/&#37202;&#24215;&#32463;&#33829;&#24773;&#20917;&#20998;&#26512;&#23545;&#27604;&#34920;/&#37202;&#24215;&#32463;&#33829;&#24773;&#20917;&#20998;&#26512;&#23545;&#27604;&#34920;/2025&#24180;/2025&#24180;1&#26376;/&#37202;&#24215;&#26376;&#24230;&#32463;&#33829;&#29366;&#20917;&#23545;&#27604;&#34920;&#65288;25.1&#65289;%2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usoushi/Desktop/&#37202;&#24215;&#32463;&#33829;&#24773;&#20917;&#20998;&#26512;&#23545;&#27604;&#34920;/2025&#24180;/2025&#24180;5&#26376;/&#37202;&#24215;&#26376;&#24230;&#32463;&#33829;&#29366;&#20917;&#23545;&#27604;&#34920;&#65288;25.5&#65289;%2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usoushi/Desktop/&#37202;&#24215;&#32463;&#33829;&#24773;&#20917;&#20998;&#26512;&#23545;&#27604;&#34920;/&#27426;&#26379;&#37202;&#24215;&#25991;&#20214;/&#32489;&#25928;&#20869;&#37096;&#32771;&#26680;/23&#24180;&#39044;&#31639;&#25191;&#34892;&#24773;&#20917;&#27719;&#24635;/2023&#24180;&#37202;&#24215;&#39044;&#31639;&#25191;&#34892;&#65288;7&#26376;&#65289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usoushi/Desktop/&#37202;&#24215;&#32463;&#33829;&#24773;&#20917;&#20998;&#26512;&#23545;&#27604;&#34920;/&#27426;&#26379;&#37202;&#24215;&#25991;&#20214;/&#32489;&#25928;&#20869;&#37096;&#32771;&#26680;/24&#24180;&#39044;&#31639;&#25191;&#34892;&#24773;&#20917;/2024&#24180;&#37202;&#24215;&#39044;&#31639;&#25191;&#34892;&#34920;&#65288;07&#26376;&#65289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usoushi/Desktop/&#37202;&#24215;&#32463;&#33829;&#24773;&#20917;&#20998;&#26512;&#23545;&#27604;&#34920;/2025&#24180;/2025&#24180;1&#26376;/&#37202;&#24215;&#26376;&#24230;&#32463;&#33829;&#29366;&#20917;&#23545;&#27604;&#34920;&#65288;25.1&#65289;%2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usoushi/Desktop/&#37202;&#24215;&#32463;&#33829;&#24773;&#20917;&#20998;&#26512;&#23545;&#27604;&#34920;/2025&#24180;/2025&#24180;4&#26376;/&#37202;&#24215;&#26376;&#24230;&#32463;&#33829;&#29366;&#20917;&#23545;&#27604;&#34920;&#65288;25.4&#65289;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usoushi/Desktop/&#37202;&#24215;&#32463;&#33829;&#24773;&#20917;&#20998;&#26512;&#23545;&#27604;&#34920;/&#37202;&#24215;&#32463;&#33829;&#24773;&#20917;&#20998;&#26512;&#23545;&#27604;&#34920;/2024&#24180;/2024&#24180;1&#26376;/&#37202;&#24215;&#26376;&#24230;&#32463;&#33829;&#29366;&#20917;&#23545;&#27604;&#34920;&#65288;24.1&#65289;%2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usoushi/Desktop/&#37202;&#24215;&#32463;&#33829;&#24773;&#20917;&#20998;&#26512;&#23545;&#27604;&#34920;/&#27426;&#26379;&#37202;&#24215;&#25991;&#20214;/&#32489;&#25928;&#20869;&#37096;&#32771;&#26680;/24&#24180;&#39044;&#31639;&#25191;&#34892;&#24773;&#20917;/2024&#24180;&#37202;&#24215;&#39044;&#31639;&#25191;&#34892;&#34920;&#65288;03&#26376;&#65289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usoushi/Desktop/&#37202;&#24215;&#32463;&#33829;&#24773;&#20917;&#20998;&#26512;&#23545;&#27604;&#34920;/&#26757;&#28330;&#28246;-&#29626;&#37202;&#24215;/&#26376;&#24230;&#36130;&#21153;&#27719;&#24635;/&#26376;&#25253;&#34920;/2024&#24180;/24.3/2024&#24180;&#40614;&#23458;&#36798;&#28201;&#24503;&#22982;&#37202;&#24215;3&#26376;&#39044;&#31639;&#25191;&#34892;&#24773;&#20917;&#34920;&#65288;4.11&#6528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usoushi/Desktop/&#37202;&#24215;&#32463;&#33829;&#24773;&#20917;&#20998;&#26512;&#23545;&#27604;&#34920;/&#37202;&#24215;&#32463;&#33829;&#24773;&#20917;&#20998;&#26512;&#23545;&#27604;&#34920;/2024&#24180;/2024&#24180;2&#26376;/&#37202;&#24215;&#26376;&#24230;&#32463;&#33829;&#29366;&#20917;&#23545;&#27604;&#34920;&#65288;24.2&#65289;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usoushi/Desktop/&#37202;&#24215;&#32463;&#33829;&#24773;&#20917;&#20998;&#26512;&#23545;&#27604;&#34920;/&#37202;&#24215;&#32463;&#33829;&#24773;&#20917;&#20998;&#26512;&#23545;&#27604;&#34920;/2024&#24180;/2024&#24180;3&#26376;/&#37202;&#24215;&#26376;&#24230;&#32463;&#33829;&#29366;&#20917;&#23545;&#27604;&#34920;&#65288;24.3&#65289;%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usoushi/Desktop/&#37202;&#24215;&#32463;&#33829;&#24773;&#20917;&#20998;&#26512;&#23545;&#27604;&#34920;/&#37202;&#24215;&#32463;&#33829;&#24773;&#20917;&#20998;&#26512;&#23545;&#27604;&#34920;/2024&#24180;/2024&#24180;4&#26376;/&#37202;&#24215;&#26376;&#24230;&#32463;&#33829;&#29366;&#20917;&#23545;&#27604;&#34920;&#65288;24.4&#65289;%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usoushi/Desktop/&#37202;&#24215;&#32463;&#33829;&#24773;&#20917;&#20998;&#26512;&#23545;&#27604;&#34920;/&#37202;&#24215;&#32463;&#33829;&#24773;&#20917;&#20998;&#26512;&#23545;&#27604;&#34920;/2024&#24180;/2024&#24180;5&#26376;/&#37202;&#24215;&#26376;&#24230;&#32463;&#33829;&#29366;&#20917;&#23545;&#27604;&#34920;&#65288;24.5&#65289;%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usoushi/Desktop/&#37202;&#24215;&#32463;&#33829;&#24773;&#20917;&#20998;&#26512;&#23545;&#27604;&#34920;/&#37202;&#24215;&#32463;&#33829;&#24773;&#20917;&#20998;&#26512;&#23545;&#27604;&#34920;/2024&#24180;/2024&#24180;6&#26376;/&#37202;&#24215;&#26376;&#24230;&#32463;&#33829;&#29366;&#20917;&#23545;&#27604;&#34920;&#65288;24.6&#65289;%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usoushi/Desktop/&#37202;&#24215;&#32463;&#33829;&#24773;&#20917;&#20998;&#26512;&#23545;&#27604;&#34920;/&#37202;&#24215;&#32463;&#33829;&#24773;&#20917;&#20998;&#26512;&#23545;&#27604;&#34920;/2024&#24180;/2024&#24180;7&#26376;/&#37202;&#24215;&#26376;&#24230;&#32463;&#33829;&#29366;&#20917;&#23545;&#27604;&#34920;&#65288;24.7&#65289;%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usoushi/Desktop/&#37202;&#24215;&#32463;&#33829;&#24773;&#20917;&#20998;&#26512;&#23545;&#27604;&#34920;/&#37202;&#24215;&#32463;&#33829;&#24773;&#20917;&#20998;&#26512;&#23545;&#27604;&#34920;/2024&#24180;/2024&#24180;8&#26376;/&#37202;&#24215;&#26376;&#24230;&#32463;&#33829;&#29366;&#20917;&#23545;&#27604;&#34920;&#65288;24.8&#65289;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酒店23.12"/>
    </sheetNames>
    <sheetDataSet>
      <sheetData sheetId="0">
        <row r="3">
          <cell r="AI3">
            <v>3073.5</v>
          </cell>
        </row>
        <row r="7">
          <cell r="AI7">
            <v>0.62090909090909108</v>
          </cell>
        </row>
        <row r="8">
          <cell r="AI8">
            <v>0.65946327683615813</v>
          </cell>
        </row>
        <row r="9">
          <cell r="AI9">
            <v>0.6166666666666667</v>
          </cell>
        </row>
        <row r="11">
          <cell r="AI11">
            <v>431.20257932289275</v>
          </cell>
        </row>
        <row r="12">
          <cell r="AI12">
            <v>362.52814321799644</v>
          </cell>
        </row>
        <row r="13">
          <cell r="AI13">
            <v>233.82267815704296</v>
          </cell>
        </row>
        <row r="15">
          <cell r="AI15">
            <v>261.8289898989899</v>
          </cell>
        </row>
        <row r="16">
          <cell r="AI16">
            <v>233.77890960451975</v>
          </cell>
        </row>
        <row r="17">
          <cell r="AI17">
            <v>143.63733333333332</v>
          </cell>
        </row>
        <row r="23">
          <cell r="AI23">
            <v>1329179.4999999998</v>
          </cell>
        </row>
        <row r="24">
          <cell r="AI24">
            <v>834493.34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酒店24.01"/>
      <sheetName val="酒店24.02 "/>
      <sheetName val="酒店24.03"/>
      <sheetName val="酒店24.04"/>
      <sheetName val="酒店24.05"/>
      <sheetName val="酒店24.06"/>
      <sheetName val="酒店24.07)"/>
      <sheetName val="酒店24.08"/>
      <sheetName val="酒店24.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AI3">
            <v>3238.5</v>
          </cell>
        </row>
        <row r="7">
          <cell r="AI7">
            <v>0.65424242424242429</v>
          </cell>
        </row>
        <row r="8">
          <cell r="AI8">
            <v>0.69457364341085281</v>
          </cell>
        </row>
        <row r="11">
          <cell r="AI11">
            <v>406.63690538651758</v>
          </cell>
        </row>
        <row r="12">
          <cell r="AI12">
            <v>303.72283590404663</v>
          </cell>
        </row>
        <row r="15">
          <cell r="AI15">
            <v>265.84900000000005</v>
          </cell>
        </row>
        <row r="16">
          <cell r="AI16">
            <v>211.66971317829456</v>
          </cell>
        </row>
        <row r="23">
          <cell r="AI23">
            <v>1348870.0499999998</v>
          </cell>
        </row>
        <row r="25">
          <cell r="AI25">
            <v>823514.79</v>
          </cell>
        </row>
        <row r="30">
          <cell r="K30">
            <v>387324.97999999986</v>
          </cell>
        </row>
        <row r="32">
          <cell r="K32">
            <v>397480.11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酒店24.01"/>
      <sheetName val="酒店24.02 "/>
      <sheetName val="酒店24.03"/>
      <sheetName val="酒店24.04"/>
      <sheetName val="酒店24.05"/>
      <sheetName val="酒店24.06"/>
      <sheetName val="酒店24.07)"/>
      <sheetName val="酒店24.08"/>
      <sheetName val="酒店24.09"/>
      <sheetName val="酒店24.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I3">
            <v>4034.5</v>
          </cell>
        </row>
        <row r="7">
          <cell r="AI7">
            <v>0.78875855327468236</v>
          </cell>
        </row>
        <row r="8">
          <cell r="AI8">
            <v>0.82995748937234304</v>
          </cell>
        </row>
        <row r="11">
          <cell r="AI11">
            <v>446.38779019647137</v>
          </cell>
        </row>
        <row r="12">
          <cell r="AI12">
            <v>350.18355324635195</v>
          </cell>
        </row>
        <row r="15">
          <cell r="AI15">
            <v>356.62901857282509</v>
          </cell>
        </row>
        <row r="16">
          <cell r="AI16">
            <v>294.95642660665169</v>
          </cell>
        </row>
        <row r="23">
          <cell r="AI23">
            <v>1877445.8299999998</v>
          </cell>
        </row>
        <row r="25">
          <cell r="AI25">
            <v>1186251.7500000002</v>
          </cell>
        </row>
        <row r="30">
          <cell r="L30">
            <v>920003.9600000002</v>
          </cell>
        </row>
        <row r="32">
          <cell r="L32">
            <v>732073.73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酒店24.01"/>
      <sheetName val="酒店24.02 "/>
      <sheetName val="酒店24.03"/>
      <sheetName val="酒店24.04"/>
      <sheetName val="酒店24.05"/>
      <sheetName val="酒店24.06"/>
      <sheetName val="酒店24.07)"/>
      <sheetName val="酒店24.08"/>
      <sheetName val="酒店24.09"/>
      <sheetName val="酒店24.10"/>
      <sheetName val="酒店24.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AI3">
            <v>3170</v>
          </cell>
        </row>
        <row r="7">
          <cell r="AI7">
            <v>0.6404040404040402</v>
          </cell>
        </row>
        <row r="8">
          <cell r="AI8">
            <v>0.68979328165374654</v>
          </cell>
        </row>
        <row r="11">
          <cell r="AI11">
            <v>391.64967393828869</v>
          </cell>
        </row>
        <row r="12">
          <cell r="AI12">
            <v>302.61629005813882</v>
          </cell>
        </row>
        <row r="15">
          <cell r="AI15">
            <v>250.69973333333334</v>
          </cell>
        </row>
        <row r="16">
          <cell r="AI16">
            <v>210.28632299741605</v>
          </cell>
        </row>
        <row r="23">
          <cell r="AI23">
            <v>1267328.3800000006</v>
          </cell>
        </row>
        <row r="25">
          <cell r="AI25">
            <v>818486.07</v>
          </cell>
        </row>
        <row r="30">
          <cell r="M30">
            <v>419316.77</v>
          </cell>
        </row>
        <row r="32">
          <cell r="M32">
            <v>453466.27999999985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酒店24.01"/>
      <sheetName val="酒店24.02 "/>
      <sheetName val="酒店24.03"/>
      <sheetName val="酒店24.04"/>
      <sheetName val="酒店24.05"/>
      <sheetName val="酒店24.06"/>
      <sheetName val="酒店24.07)"/>
      <sheetName val="酒店24.08"/>
      <sheetName val="酒店24.09"/>
      <sheetName val="酒店24.10"/>
      <sheetName val="酒店24.11"/>
      <sheetName val="酒店24.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I3">
            <v>2810.5</v>
          </cell>
        </row>
        <row r="7">
          <cell r="AI7">
            <v>0.54946236559139794</v>
          </cell>
        </row>
        <row r="8">
          <cell r="AI8">
            <v>0.69892473118279586</v>
          </cell>
        </row>
        <row r="11">
          <cell r="AI11">
            <v>380.2591058715845</v>
          </cell>
        </row>
        <row r="12">
          <cell r="AI12">
            <v>299.28078867729988</v>
          </cell>
        </row>
        <row r="15">
          <cell r="AI15">
            <v>208.95149755620716</v>
          </cell>
        </row>
        <row r="16">
          <cell r="AI16">
            <v>210.75552388097023</v>
          </cell>
        </row>
        <row r="23">
          <cell r="AI23">
            <v>1108353.1099999999</v>
          </cell>
        </row>
        <row r="25">
          <cell r="AI25">
            <v>848453.34000000008</v>
          </cell>
        </row>
        <row r="30">
          <cell r="N30">
            <v>424546.87999999989</v>
          </cell>
        </row>
        <row r="32">
          <cell r="N32">
            <v>509170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酒店25.01"/>
    </sheetNames>
    <sheetDataSet>
      <sheetData sheetId="0">
        <row r="3">
          <cell r="AI3">
            <v>3139</v>
          </cell>
        </row>
        <row r="7">
          <cell r="AI7">
            <v>0.63414141414141412</v>
          </cell>
        </row>
        <row r="8">
          <cell r="AI8">
            <v>0.69677002583979319</v>
          </cell>
        </row>
        <row r="9">
          <cell r="AI9">
            <v>0.53063063063063065</v>
          </cell>
        </row>
        <row r="11">
          <cell r="AI11">
            <v>393.82437789295773</v>
          </cell>
        </row>
        <row r="12">
          <cell r="AI12">
            <v>294.87424715650354</v>
          </cell>
        </row>
        <row r="13">
          <cell r="AI13">
            <v>192.22470384999491</v>
          </cell>
        </row>
        <row r="15">
          <cell r="AI15">
            <v>244.48533919843595</v>
          </cell>
        </row>
        <row r="16">
          <cell r="AI16">
            <v>201.77442860715175</v>
          </cell>
        </row>
        <row r="17">
          <cell r="AI17">
            <v>101.7449869224063</v>
          </cell>
        </row>
        <row r="23">
          <cell r="AI23">
            <v>1285524.83</v>
          </cell>
        </row>
        <row r="24">
          <cell r="AI24">
            <v>842874.46</v>
          </cell>
        </row>
        <row r="25">
          <cell r="AI25">
            <v>236976.99999999997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酒店25.01"/>
      <sheetName val="酒店25.02"/>
      <sheetName val="酒店25.03"/>
      <sheetName val="酒店25.04"/>
      <sheetName val="酒店25.05"/>
    </sheetNames>
    <sheetDataSet>
      <sheetData sheetId="0" refreshError="1"/>
      <sheetData sheetId="1">
        <row r="7">
          <cell r="AI7">
            <v>0.68506493506493504</v>
          </cell>
        </row>
        <row r="8">
          <cell r="AI8">
            <v>0.75166112956810616</v>
          </cell>
        </row>
        <row r="9">
          <cell r="AI9">
            <v>0.81756756756756754</v>
          </cell>
        </row>
        <row r="11">
          <cell r="AI11">
            <v>400.09023243854881</v>
          </cell>
        </row>
        <row r="12">
          <cell r="AI12">
            <v>303.62847689721855</v>
          </cell>
        </row>
        <row r="13">
          <cell r="AI13">
            <v>180.55042666965875</v>
          </cell>
        </row>
        <row r="15">
          <cell r="AI15">
            <v>276.57982251082251</v>
          </cell>
        </row>
        <row r="16">
          <cell r="AI16">
            <v>230.59229512735325</v>
          </cell>
        </row>
        <row r="17">
          <cell r="AI17">
            <v>146.2983783783784</v>
          </cell>
        </row>
        <row r="23">
          <cell r="AI23">
            <v>1312687.8199999996</v>
          </cell>
        </row>
        <row r="24">
          <cell r="AI24">
            <v>837245.37</v>
          </cell>
        </row>
        <row r="25">
          <cell r="AI25">
            <v>308640.24000000005</v>
          </cell>
        </row>
        <row r="30">
          <cell r="D30">
            <v>349892.66000000003</v>
          </cell>
        </row>
        <row r="32">
          <cell r="D32">
            <v>404204.30000000005</v>
          </cell>
        </row>
        <row r="34">
          <cell r="D34">
            <v>62157.469999999972</v>
          </cell>
        </row>
      </sheetData>
      <sheetData sheetId="2">
        <row r="7">
          <cell r="AI7">
            <v>0.61358748778103611</v>
          </cell>
        </row>
        <row r="8">
          <cell r="AI8">
            <v>0.76194048512128043</v>
          </cell>
        </row>
        <row r="9">
          <cell r="AI9">
            <v>0.83391455972101147</v>
          </cell>
        </row>
        <row r="11">
          <cell r="AI11">
            <v>389.57917667845641</v>
          </cell>
        </row>
        <row r="12">
          <cell r="AI12">
            <v>304.87366191959256</v>
          </cell>
        </row>
        <row r="13">
          <cell r="AI13">
            <v>180.23672080285186</v>
          </cell>
        </row>
        <row r="15">
          <cell r="AI15">
            <v>239.79065689149556</v>
          </cell>
        </row>
        <row r="16">
          <cell r="AI16">
            <v>233.06263565891473</v>
          </cell>
        </row>
        <row r="17">
          <cell r="AI17">
            <v>151.13465126416739</v>
          </cell>
        </row>
        <row r="23">
          <cell r="AI23">
            <v>1274937.68</v>
          </cell>
        </row>
        <row r="24">
          <cell r="AI24">
            <v>936114.4800000001</v>
          </cell>
        </row>
        <row r="25">
          <cell r="AI25">
            <v>349881.08999999991</v>
          </cell>
        </row>
        <row r="30">
          <cell r="E30">
            <v>501308.98000000021</v>
          </cell>
        </row>
        <row r="32">
          <cell r="E32">
            <v>527449.78</v>
          </cell>
        </row>
        <row r="34">
          <cell r="E34">
            <v>67769.960000000021</v>
          </cell>
        </row>
      </sheetData>
      <sheetData sheetId="3">
        <row r="7">
          <cell r="AI7">
            <v>0.6872733333333334</v>
          </cell>
        </row>
        <row r="8">
          <cell r="AI8">
            <v>0.80064713178294566</v>
          </cell>
        </row>
        <row r="9">
          <cell r="AI9">
            <v>0.9049539639639641</v>
          </cell>
        </row>
        <row r="11">
          <cell r="AI11">
            <v>400.44805283464274</v>
          </cell>
        </row>
        <row r="12">
          <cell r="AI12">
            <v>292.62142587068683</v>
          </cell>
        </row>
        <row r="13">
          <cell r="AI13">
            <v>194.11207159285433</v>
          </cell>
        </row>
        <row r="15">
          <cell r="AI15">
            <v>277.44559191919194</v>
          </cell>
        </row>
        <row r="16">
          <cell r="AI16">
            <v>236.74910335917306</v>
          </cell>
        </row>
        <row r="17">
          <cell r="AI17">
            <v>176.29972972972976</v>
          </cell>
        </row>
        <row r="23">
          <cell r="AI23">
            <v>1398975.8399999996</v>
          </cell>
        </row>
        <row r="24">
          <cell r="AI24">
            <v>921116.45000000007</v>
          </cell>
        </row>
        <row r="25">
          <cell r="AI25">
            <v>393867.6100000001</v>
          </cell>
        </row>
      </sheetData>
      <sheetData sheetId="4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预算执行"/>
      <sheetName val="PPT数据源"/>
      <sheetName val="Sheet1"/>
    </sheetNames>
    <sheetDataSet>
      <sheetData sheetId="0">
        <row r="11">
          <cell r="F11">
            <v>486.1984044672073</v>
          </cell>
        </row>
        <row r="32">
          <cell r="F32">
            <v>8103688.9199999999</v>
          </cell>
        </row>
      </sheetData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24年预算执行"/>
      <sheetName val="Sheet1"/>
      <sheetName val="Sheet2"/>
    </sheetNames>
    <sheetDataSet>
      <sheetData sheetId="0">
        <row r="67">
          <cell r="AB67">
            <v>6635757.8399999989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酒店25.01"/>
    </sheetNames>
    <sheetDataSet>
      <sheetData sheetId="0">
        <row r="3">
          <cell r="AI3">
            <v>3139</v>
          </cell>
        </row>
        <row r="30">
          <cell r="C30">
            <v>222325.2100000002</v>
          </cell>
        </row>
        <row r="32">
          <cell r="C32">
            <v>408898.04000000004</v>
          </cell>
        </row>
        <row r="34">
          <cell r="C34">
            <v>-3139.1099999999569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酒店25.01"/>
      <sheetName val="酒店25.02"/>
      <sheetName val="酒店25.03"/>
      <sheetName val="酒店25.04"/>
    </sheetNames>
    <sheetDataSet>
      <sheetData sheetId="0"/>
      <sheetData sheetId="1"/>
      <sheetData sheetId="2"/>
      <sheetData sheetId="3">
        <row r="30">
          <cell r="F30">
            <v>502815.13999999978</v>
          </cell>
        </row>
        <row r="32">
          <cell r="F32">
            <v>539333.15000000014</v>
          </cell>
        </row>
        <row r="34">
          <cell r="F34">
            <v>137170.65999999995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酒店24.01"/>
    </sheetNames>
    <sheetDataSet>
      <sheetData sheetId="0">
        <row r="3">
          <cell r="AI3">
            <v>2959</v>
          </cell>
        </row>
        <row r="7">
          <cell r="AI7">
            <v>0.59777777777777774</v>
          </cell>
        </row>
        <row r="8">
          <cell r="AI8">
            <v>0.75127118644067781</v>
          </cell>
        </row>
        <row r="9">
          <cell r="AI9">
            <v>0.50945945945945947</v>
          </cell>
        </row>
        <row r="11">
          <cell r="AI11">
            <v>434.2985957712466</v>
          </cell>
        </row>
        <row r="12">
          <cell r="AI12">
            <v>354.96476203845356</v>
          </cell>
        </row>
        <row r="13">
          <cell r="AI13">
            <v>216.42506472251216</v>
          </cell>
        </row>
        <row r="15">
          <cell r="AI15">
            <v>250.6467858585859</v>
          </cell>
        </row>
        <row r="16">
          <cell r="AI16">
            <v>259.64844915254241</v>
          </cell>
        </row>
        <row r="17">
          <cell r="AI17">
            <v>111.22199099099096</v>
          </cell>
        </row>
        <row r="23">
          <cell r="AI23">
            <v>1288338.5900000003</v>
          </cell>
        </row>
        <row r="24">
          <cell r="AI24">
            <v>931009.50999999989</v>
          </cell>
        </row>
        <row r="25">
          <cell r="AI25">
            <v>279236.73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24年预算执行"/>
      <sheetName val="Sheet1"/>
      <sheetName val="Sheet2"/>
    </sheetNames>
    <sheetDataSet>
      <sheetData sheetId="0">
        <row r="68">
          <cell r="H68">
            <v>452561.12999999989</v>
          </cell>
        </row>
        <row r="86">
          <cell r="AB86">
            <v>179.39573426573429</v>
          </cell>
        </row>
      </sheetData>
      <sheetData sheetId="1" refreshError="1"/>
      <sheetData sheetId="2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预算执行"/>
      <sheetName val="PPT数据源"/>
      <sheetName val="Sheet1"/>
    </sheetNames>
    <sheetDataSet>
      <sheetData sheetId="0">
        <row r="14">
          <cell r="F14">
            <v>139.57993946731236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酒店24.01"/>
      <sheetName val="酒店24.02 "/>
    </sheetNames>
    <sheetDataSet>
      <sheetData sheetId="0"/>
      <sheetData sheetId="1">
        <row r="3">
          <cell r="AI3">
            <v>2838</v>
          </cell>
        </row>
        <row r="7">
          <cell r="AI7">
            <v>0.57333333333333336</v>
          </cell>
        </row>
        <row r="8">
          <cell r="AI8">
            <v>0.67937853107344637</v>
          </cell>
        </row>
        <row r="9">
          <cell r="AI9">
            <v>0.39279279279279283</v>
          </cell>
        </row>
        <row r="11">
          <cell r="AI11">
            <v>436.05250674046795</v>
          </cell>
        </row>
        <row r="12">
          <cell r="AI12">
            <v>374.36902422142458</v>
          </cell>
        </row>
        <row r="13">
          <cell r="AI13">
            <v>232.91489780156962</v>
          </cell>
        </row>
        <row r="15">
          <cell r="AI15">
            <v>270.52996161616159</v>
          </cell>
        </row>
        <row r="16">
          <cell r="AI16">
            <v>276.75324183120739</v>
          </cell>
        </row>
        <row r="17">
          <cell r="AI17">
            <v>108.07450150150147</v>
          </cell>
        </row>
        <row r="23">
          <cell r="AI23">
            <v>1372988.3099999998</v>
          </cell>
        </row>
        <row r="25">
          <cell r="AI25">
            <v>981824.29999999981</v>
          </cell>
        </row>
        <row r="26">
          <cell r="AI26">
            <v>234470.53999999998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酒店24.01"/>
      <sheetName val="酒店24.02 "/>
      <sheetName val="酒店24.03"/>
    </sheetNames>
    <sheetDataSet>
      <sheetData sheetId="0"/>
      <sheetData sheetId="1"/>
      <sheetData sheetId="2">
        <row r="3">
          <cell r="AI3">
            <v>3200.5</v>
          </cell>
        </row>
        <row r="7">
          <cell r="AI7">
            <v>0.64656565656565645</v>
          </cell>
        </row>
        <row r="8">
          <cell r="AI8">
            <v>0.81483050847457639</v>
          </cell>
        </row>
        <row r="9">
          <cell r="AI9">
            <v>0.52657657657657653</v>
          </cell>
        </row>
        <row r="11">
          <cell r="AI11">
            <v>418.67834273044173</v>
          </cell>
        </row>
        <row r="12">
          <cell r="AI12">
            <v>346.47262890255899</v>
          </cell>
        </row>
        <row r="13">
          <cell r="AI13">
            <v>219.50360118018475</v>
          </cell>
        </row>
        <row r="15">
          <cell r="AI15">
            <v>262.30696969696976</v>
          </cell>
        </row>
        <row r="16">
          <cell r="AI16">
            <v>275.21448587570626</v>
          </cell>
        </row>
        <row r="17">
          <cell r="AI17">
            <v>112.18577477477477</v>
          </cell>
        </row>
        <row r="23">
          <cell r="AI23">
            <v>1339026.5000000002</v>
          </cell>
        </row>
        <row r="25">
          <cell r="AI25">
            <v>980831.28</v>
          </cell>
        </row>
        <row r="26">
          <cell r="AI26">
            <v>252658.33000000005</v>
          </cell>
        </row>
        <row r="30">
          <cell r="C30">
            <v>415175.69000000029</v>
          </cell>
          <cell r="D30">
            <v>449434.14</v>
          </cell>
          <cell r="E30">
            <v>452561.12999999989</v>
          </cell>
        </row>
        <row r="32">
          <cell r="C32">
            <v>514590.74999999994</v>
          </cell>
          <cell r="D32">
            <v>578704.25</v>
          </cell>
          <cell r="E32">
            <v>632812.64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酒店24.01"/>
      <sheetName val="酒店24.02 "/>
      <sheetName val="酒店24.03"/>
      <sheetName val="酒店24.04"/>
    </sheetNames>
    <sheetDataSet>
      <sheetData sheetId="0"/>
      <sheetData sheetId="1"/>
      <sheetData sheetId="2"/>
      <sheetData sheetId="3">
        <row r="3">
          <cell r="AI3">
            <v>3623</v>
          </cell>
        </row>
        <row r="7">
          <cell r="AI7">
            <v>0.73191919191919197</v>
          </cell>
        </row>
        <row r="8">
          <cell r="AI8">
            <v>0.80798405816143282</v>
          </cell>
        </row>
        <row r="9">
          <cell r="AI9">
            <v>0.67567567567567566</v>
          </cell>
        </row>
        <row r="11">
          <cell r="AI11">
            <v>403.83093677675089</v>
          </cell>
        </row>
        <row r="12">
          <cell r="AI12">
            <v>353.84743218451587</v>
          </cell>
        </row>
        <row r="13">
          <cell r="AI13">
            <v>200.90299069532742</v>
          </cell>
        </row>
        <row r="15">
          <cell r="AI15">
            <v>297.49668686868694</v>
          </cell>
        </row>
        <row r="16">
          <cell r="AI16">
            <v>288.33788726842721</v>
          </cell>
        </row>
        <row r="17">
          <cell r="AI17">
            <v>137.59815315315311</v>
          </cell>
        </row>
        <row r="23">
          <cell r="AI23">
            <v>1500476.6</v>
          </cell>
        </row>
        <row r="25">
          <cell r="AI25">
            <v>1041225.49</v>
          </cell>
        </row>
        <row r="26">
          <cell r="AI26">
            <v>308273.47000000009</v>
          </cell>
        </row>
        <row r="30">
          <cell r="F30">
            <v>629431.75000000012</v>
          </cell>
        </row>
        <row r="32">
          <cell r="F32">
            <v>590116.69000000006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酒店24.01"/>
      <sheetName val="酒店24.02 "/>
      <sheetName val="酒店24.03"/>
      <sheetName val="酒店24.04"/>
      <sheetName val="酒店24.05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I3">
            <v>3822</v>
          </cell>
        </row>
        <row r="7">
          <cell r="AI7">
            <v>0.7721212121212121</v>
          </cell>
        </row>
        <row r="8">
          <cell r="AI8">
            <v>0.81550387596899243</v>
          </cell>
        </row>
        <row r="11">
          <cell r="AI11">
            <v>444.91521642558786</v>
          </cell>
        </row>
        <row r="12">
          <cell r="AI12">
            <v>381.4662782321916</v>
          </cell>
        </row>
        <row r="15">
          <cell r="AI15">
            <v>347.86008686868689</v>
          </cell>
        </row>
        <row r="16">
          <cell r="AI16">
            <v>317.40395865633064</v>
          </cell>
        </row>
        <row r="23">
          <cell r="AI23">
            <v>1770376.8299999998</v>
          </cell>
        </row>
        <row r="25">
          <cell r="AI25">
            <v>1239784.3199999998</v>
          </cell>
        </row>
        <row r="30">
          <cell r="G30">
            <v>802314.04</v>
          </cell>
        </row>
        <row r="32">
          <cell r="G32">
            <v>828113.59000000008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酒店24.01"/>
      <sheetName val="酒店24.02 "/>
      <sheetName val="酒店24.03"/>
      <sheetName val="酒店24.04"/>
      <sheetName val="酒店24.05"/>
      <sheetName val="酒店24.06"/>
    </sheetNames>
    <sheetDataSet>
      <sheetData sheetId="0"/>
      <sheetData sheetId="1"/>
      <sheetData sheetId="2"/>
      <sheetData sheetId="3"/>
      <sheetData sheetId="4"/>
      <sheetData sheetId="5">
        <row r="3">
          <cell r="AI3">
            <v>3623</v>
          </cell>
        </row>
        <row r="7">
          <cell r="AI7">
            <v>0.73191919191919175</v>
          </cell>
        </row>
        <row r="8">
          <cell r="AJ8">
            <v>0.7909638242894057</v>
          </cell>
        </row>
        <row r="11">
          <cell r="AI11">
            <v>407.75822178214054</v>
          </cell>
        </row>
        <row r="12">
          <cell r="AI12">
            <v>338.23228883514793</v>
          </cell>
        </row>
        <row r="15">
          <cell r="AI15">
            <v>301.77162828282832</v>
          </cell>
        </row>
        <row r="16">
          <cell r="AI16">
            <v>238.98719121447033</v>
          </cell>
        </row>
        <row r="23">
          <cell r="AI23">
            <v>1531166.26</v>
          </cell>
        </row>
        <row r="25">
          <cell r="AI25">
            <v>931636.43</v>
          </cell>
        </row>
        <row r="30">
          <cell r="H30">
            <v>471404.81000000006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酒店24.01"/>
      <sheetName val="酒店24.02 "/>
      <sheetName val="酒店24.03"/>
      <sheetName val="酒店24.04"/>
      <sheetName val="酒店24.05"/>
      <sheetName val="酒店24.06"/>
      <sheetName val="酒店24.07)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I3">
            <v>4187.5</v>
          </cell>
        </row>
        <row r="7">
          <cell r="AI7">
            <v>0.81867057673509291</v>
          </cell>
        </row>
        <row r="8">
          <cell r="AI8">
            <v>0.83620905226306597</v>
          </cell>
        </row>
        <row r="11">
          <cell r="AI11">
            <v>426.01524732270462</v>
          </cell>
        </row>
        <row r="12">
          <cell r="AI12">
            <v>352.75912469233418</v>
          </cell>
        </row>
        <row r="15">
          <cell r="AI15">
            <v>351.38513587487779</v>
          </cell>
        </row>
        <row r="16">
          <cell r="AI16">
            <v>297.24066766691675</v>
          </cell>
        </row>
        <row r="23">
          <cell r="AI23">
            <v>1829582.97</v>
          </cell>
        </row>
        <row r="25">
          <cell r="AI25">
            <v>1195503.43</v>
          </cell>
        </row>
        <row r="29">
          <cell r="AI29">
            <v>815107.51</v>
          </cell>
        </row>
        <row r="30">
          <cell r="AI30">
            <v>741916.97000000032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酒店24.01"/>
      <sheetName val="酒店24.02 "/>
      <sheetName val="酒店24.03"/>
      <sheetName val="酒店24.04"/>
      <sheetName val="酒店24.05"/>
      <sheetName val="酒店24.06"/>
      <sheetName val="酒店24.07)"/>
      <sheetName val="酒店24.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2">
          <cell r="H32">
            <v>470716.1100000001</v>
          </cell>
        </row>
      </sheetData>
      <sheetData sheetId="6" refreshError="1"/>
      <sheetData sheetId="7">
        <row r="3">
          <cell r="AI3">
            <v>4128.5</v>
          </cell>
        </row>
        <row r="7">
          <cell r="AI7">
            <v>0.80713587487781047</v>
          </cell>
        </row>
        <row r="8">
          <cell r="AI8">
            <v>0.82658164541135282</v>
          </cell>
        </row>
        <row r="11">
          <cell r="AI11">
            <v>424.41280881182053</v>
          </cell>
        </row>
        <row r="12">
          <cell r="AI12">
            <v>348.44144038208151</v>
          </cell>
        </row>
        <row r="15">
          <cell r="AI15">
            <v>344.44451808406654</v>
          </cell>
        </row>
        <row r="16">
          <cell r="AI16">
            <v>289.30549637409342</v>
          </cell>
        </row>
        <row r="23">
          <cell r="AI23">
            <v>1798310.5099999995</v>
          </cell>
        </row>
        <row r="25">
          <cell r="AI25">
            <v>1163276.6799999997</v>
          </cell>
        </row>
        <row r="30">
          <cell r="J30">
            <v>685023.17000000016</v>
          </cell>
        </row>
        <row r="32">
          <cell r="J32">
            <v>672481.10999999975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7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3" sqref="B7:O13"/>
    </sheetView>
  </sheetViews>
  <sheetFormatPr baseColWidth="10" defaultRowHeight="15" x14ac:dyDescent="0"/>
  <cols>
    <col min="2" max="2" width="10.33203125" customWidth="1"/>
    <col min="3" max="3" width="12.33203125" customWidth="1"/>
    <col min="4" max="15" width="16.5" customWidth="1"/>
    <col min="16" max="16" width="1.33203125" customWidth="1"/>
    <col min="17" max="17" width="22.33203125" style="5" customWidth="1"/>
    <col min="18" max="18" width="22.33203125" style="30" customWidth="1"/>
    <col min="19" max="19" width="16.5" bestFit="1" customWidth="1"/>
    <col min="20" max="20" width="11.5" bestFit="1" customWidth="1"/>
    <col min="21" max="21" width="16" customWidth="1"/>
    <col min="23" max="23" width="16.6640625" customWidth="1"/>
    <col min="24" max="25" width="17.33203125" customWidth="1"/>
    <col min="26" max="26" width="17.5" style="5" customWidth="1"/>
    <col min="31" max="32" width="17.1640625" customWidth="1"/>
    <col min="33" max="33" width="20.1640625" customWidth="1"/>
  </cols>
  <sheetData>
    <row r="1" spans="1:26" ht="51" customHeight="1">
      <c r="A1" s="45" t="s">
        <v>38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6"/>
    </row>
    <row r="2" spans="1:26" s="4" customFormat="1" ht="24" customHeight="1">
      <c r="A2" s="3" t="s">
        <v>7</v>
      </c>
      <c r="B2" s="3" t="s">
        <v>8</v>
      </c>
      <c r="C2" s="3" t="s">
        <v>22</v>
      </c>
      <c r="D2" s="10" t="s">
        <v>23</v>
      </c>
      <c r="E2" s="10" t="s">
        <v>24</v>
      </c>
      <c r="F2" s="10" t="s">
        <v>25</v>
      </c>
      <c r="G2" s="10" t="s">
        <v>26</v>
      </c>
      <c r="H2" s="10" t="s">
        <v>27</v>
      </c>
      <c r="I2" s="10" t="s">
        <v>28</v>
      </c>
      <c r="J2" s="10" t="s">
        <v>29</v>
      </c>
      <c r="K2" s="10" t="s">
        <v>30</v>
      </c>
      <c r="L2" s="10" t="s">
        <v>31</v>
      </c>
      <c r="M2" s="10" t="s">
        <v>32</v>
      </c>
      <c r="N2" s="10" t="s">
        <v>33</v>
      </c>
      <c r="O2" s="10" t="s">
        <v>34</v>
      </c>
      <c r="P2" s="3"/>
      <c r="Q2" s="7" t="s">
        <v>9</v>
      </c>
      <c r="R2" s="31"/>
      <c r="S2" s="1"/>
      <c r="Z2" s="19"/>
    </row>
    <row r="3" spans="1:26" s="4" customFormat="1" ht="24" customHeight="1">
      <c r="A3" s="46" t="s">
        <v>3</v>
      </c>
      <c r="B3" s="47" t="s">
        <v>0</v>
      </c>
      <c r="C3" s="3" t="s">
        <v>35</v>
      </c>
      <c r="D3" s="10" t="s">
        <v>44</v>
      </c>
      <c r="E3" s="10" t="s">
        <v>44</v>
      </c>
      <c r="F3" s="10" t="s">
        <v>44</v>
      </c>
      <c r="G3" s="10" t="s">
        <v>44</v>
      </c>
      <c r="H3" s="10" t="s">
        <v>44</v>
      </c>
      <c r="I3" s="10" t="s">
        <v>44</v>
      </c>
      <c r="J3" s="26">
        <v>0.85938709677419334</v>
      </c>
      <c r="K3" s="26">
        <v>0.80107526881720414</v>
      </c>
      <c r="L3" s="26">
        <v>0.61221896383186702</v>
      </c>
      <c r="M3" s="26">
        <v>0.68465298142717501</v>
      </c>
      <c r="N3" s="26">
        <v>0.65575757575757576</v>
      </c>
      <c r="O3" s="26">
        <f>[1]酒店23.12!$AI$7</f>
        <v>0.62090909090909108</v>
      </c>
      <c r="P3" s="3"/>
      <c r="Q3" s="8">
        <f>AVERAGE(D3:O3)</f>
        <v>0.70566682958618443</v>
      </c>
      <c r="R3" s="31"/>
      <c r="S3" s="1"/>
      <c r="Z3" s="19"/>
    </row>
    <row r="4" spans="1:26" s="1" customFormat="1" ht="24" customHeight="1">
      <c r="A4" s="46"/>
      <c r="B4" s="47"/>
      <c r="C4" s="26" t="s">
        <v>36</v>
      </c>
      <c r="D4" s="26">
        <f>[2]酒店24.01!$AI$7</f>
        <v>0.59777777777777774</v>
      </c>
      <c r="E4" s="26">
        <f>'[3]酒店24.02 '!$AI$7</f>
        <v>0.57333333333333336</v>
      </c>
      <c r="F4" s="26">
        <f>[4]酒店24.03!$AI$7</f>
        <v>0.64656565656565645</v>
      </c>
      <c r="G4" s="26">
        <f>[5]酒店24.04!$AI$7</f>
        <v>0.73191919191919197</v>
      </c>
      <c r="H4" s="26">
        <f>[6]酒店24.05!$AI$7</f>
        <v>0.7721212121212121</v>
      </c>
      <c r="I4" s="26">
        <f>[7]酒店24.06!$AI$7</f>
        <v>0.73191919191919175</v>
      </c>
      <c r="J4" s="26">
        <f>'[8]酒店24.07)'!$AI$7</f>
        <v>0.81867057673509291</v>
      </c>
      <c r="K4" s="26">
        <f>[9]酒店24.08!$AI$7</f>
        <v>0.80713587487781047</v>
      </c>
      <c r="L4" s="26">
        <f>[10]酒店24.09!$AI$7</f>
        <v>0.65424242424242429</v>
      </c>
      <c r="M4" s="26">
        <f>[11]酒店24.10!$AI$7</f>
        <v>0.78875855327468236</v>
      </c>
      <c r="N4" s="26">
        <f>[12]酒店24.11!$AI$7</f>
        <v>0.6404040404040402</v>
      </c>
      <c r="O4" s="26">
        <f>[13]酒店24.12!$AI$7</f>
        <v>0.54946236559139794</v>
      </c>
      <c r="P4" s="26"/>
      <c r="Q4" s="8">
        <f t="shared" ref="Q4:Q5" si="0">AVERAGE(D4:O4)</f>
        <v>0.69269251656348441</v>
      </c>
      <c r="R4" s="32"/>
      <c r="Z4" s="20"/>
    </row>
    <row r="5" spans="1:26" s="1" customFormat="1" ht="24" customHeight="1">
      <c r="A5" s="46"/>
      <c r="B5" s="47"/>
      <c r="C5" s="26" t="s">
        <v>37</v>
      </c>
      <c r="D5" s="26">
        <f>[14]酒店25.01!$AI$7</f>
        <v>0.63414141414141412</v>
      </c>
      <c r="E5" s="26">
        <f>[15]酒店25.02!$AI$7</f>
        <v>0.68506493506493504</v>
      </c>
      <c r="F5" s="26">
        <f>[15]酒店25.03!$AI$7</f>
        <v>0.61358748778103611</v>
      </c>
      <c r="G5" s="26">
        <f>[15]酒店25.04!$AI$7</f>
        <v>0.6872733333333334</v>
      </c>
      <c r="H5" s="26"/>
      <c r="I5" s="26"/>
      <c r="J5" s="26"/>
      <c r="K5" s="26"/>
      <c r="L5" s="26"/>
      <c r="M5" s="26"/>
      <c r="N5" s="26"/>
      <c r="O5" s="26"/>
      <c r="P5" s="26"/>
      <c r="Q5" s="8">
        <f t="shared" si="0"/>
        <v>0.65501679258017964</v>
      </c>
      <c r="R5" s="32"/>
      <c r="Z5" s="20"/>
    </row>
    <row r="6" spans="1:26" s="1" customFormat="1" ht="7" customHeight="1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26"/>
      <c r="Q6" s="8"/>
      <c r="R6" s="32"/>
      <c r="Z6" s="20"/>
    </row>
    <row r="7" spans="1:26" s="1" customFormat="1" ht="24" customHeight="1">
      <c r="A7" s="46"/>
      <c r="B7" s="47" t="s">
        <v>1</v>
      </c>
      <c r="C7" s="3" t="s">
        <v>35</v>
      </c>
      <c r="D7" s="26" t="s">
        <v>47</v>
      </c>
      <c r="E7" s="26" t="s">
        <v>47</v>
      </c>
      <c r="F7" s="26" t="s">
        <v>47</v>
      </c>
      <c r="G7" s="26" t="s">
        <v>47</v>
      </c>
      <c r="H7" s="26" t="s">
        <v>47</v>
      </c>
      <c r="I7" s="26" t="s">
        <v>47</v>
      </c>
      <c r="J7" s="26">
        <v>0.82937741935483877</v>
      </c>
      <c r="K7" s="26">
        <v>0.77448169875725958</v>
      </c>
      <c r="L7" s="26">
        <v>0.68958447238928366</v>
      </c>
      <c r="M7" s="26">
        <v>0.74986331328594857</v>
      </c>
      <c r="N7" s="26">
        <v>0.73531073446327655</v>
      </c>
      <c r="O7" s="26">
        <f>[1]酒店23.12!$AI$8</f>
        <v>0.65946327683615813</v>
      </c>
      <c r="P7" s="26"/>
      <c r="Q7" s="8">
        <f>AVERAGE(D7:O7)</f>
        <v>0.73968015251446084</v>
      </c>
      <c r="R7" s="32"/>
      <c r="Z7" s="20"/>
    </row>
    <row r="8" spans="1:26" s="1" customFormat="1" ht="24" customHeight="1">
      <c r="A8" s="46"/>
      <c r="B8" s="47"/>
      <c r="C8" s="26" t="s">
        <v>36</v>
      </c>
      <c r="D8" s="26">
        <f>[2]酒店24.01!$AI$8</f>
        <v>0.75127118644067781</v>
      </c>
      <c r="E8" s="26">
        <f>'[3]酒店24.02 '!$AI$8</f>
        <v>0.67937853107344637</v>
      </c>
      <c r="F8" s="26">
        <f>[4]酒店24.03!$AI$8</f>
        <v>0.81483050847457639</v>
      </c>
      <c r="G8" s="26">
        <f>[5]酒店24.04!$AI$8</f>
        <v>0.80798405816143282</v>
      </c>
      <c r="H8" s="26">
        <f>[6]酒店24.05!$AI$8</f>
        <v>0.81550387596899243</v>
      </c>
      <c r="I8" s="26">
        <f>[7]酒店24.06!$AJ$8</f>
        <v>0.7909638242894057</v>
      </c>
      <c r="J8" s="26">
        <f>'[8]酒店24.07)'!$AI$8</f>
        <v>0.83620905226306597</v>
      </c>
      <c r="K8" s="26">
        <f>[9]酒店24.08!$AI$8</f>
        <v>0.82658164541135282</v>
      </c>
      <c r="L8" s="26">
        <f>[10]酒店24.09!$AI$8</f>
        <v>0.69457364341085281</v>
      </c>
      <c r="M8" s="26">
        <f>[11]酒店24.10!$AI$8</f>
        <v>0.82995748937234304</v>
      </c>
      <c r="N8" s="26">
        <f>[12]酒店24.11!$AI$8</f>
        <v>0.68979328165374654</v>
      </c>
      <c r="O8" s="26">
        <f>[13]酒店24.12!$AI$8</f>
        <v>0.69892473118279586</v>
      </c>
      <c r="P8" s="26"/>
      <c r="Q8" s="8">
        <f t="shared" ref="Q8:Q9" si="1">AVERAGE(D8:O8)</f>
        <v>0.76966431897522414</v>
      </c>
      <c r="R8" s="32"/>
      <c r="Z8" s="20"/>
    </row>
    <row r="9" spans="1:26" s="1" customFormat="1" ht="24" customHeight="1">
      <c r="A9" s="46"/>
      <c r="B9" s="47"/>
      <c r="C9" s="26" t="s">
        <v>37</v>
      </c>
      <c r="D9" s="26">
        <f>[14]酒店25.01!$AI$8</f>
        <v>0.69677002583979319</v>
      </c>
      <c r="E9" s="26">
        <f>[15]酒店25.02!$AI$8</f>
        <v>0.75166112956810616</v>
      </c>
      <c r="F9" s="26">
        <f>[15]酒店25.03!$AI$8</f>
        <v>0.76194048512128043</v>
      </c>
      <c r="G9" s="26">
        <f>[15]酒店25.04!$AI$8</f>
        <v>0.80064713178294566</v>
      </c>
      <c r="H9" s="26"/>
      <c r="I9" s="26"/>
      <c r="J9" s="26"/>
      <c r="K9" s="26"/>
      <c r="L9" s="26"/>
      <c r="M9" s="26"/>
      <c r="N9" s="26"/>
      <c r="O9" s="26"/>
      <c r="P9" s="26"/>
      <c r="Q9" s="8">
        <f t="shared" si="1"/>
        <v>0.75275469307803133</v>
      </c>
      <c r="R9" s="32"/>
      <c r="Z9" s="20"/>
    </row>
    <row r="10" spans="1:26" s="1" customFormat="1" ht="8" customHeight="1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26"/>
      <c r="Q10" s="8"/>
      <c r="R10" s="32"/>
      <c r="Z10" s="20"/>
    </row>
    <row r="11" spans="1:26" s="1" customFormat="1" ht="24" customHeight="1">
      <c r="A11" s="46"/>
      <c r="B11" s="47" t="s">
        <v>39</v>
      </c>
      <c r="C11" s="3" t="s">
        <v>35</v>
      </c>
      <c r="D11" s="26" t="s">
        <v>44</v>
      </c>
      <c r="E11" s="26" t="s">
        <v>44</v>
      </c>
      <c r="F11" s="26" t="s">
        <v>44</v>
      </c>
      <c r="G11" s="26" t="s">
        <v>44</v>
      </c>
      <c r="H11" s="26" t="s">
        <v>44</v>
      </c>
      <c r="I11" s="26" t="s">
        <v>44</v>
      </c>
      <c r="J11" s="26">
        <v>0.92589677419354843</v>
      </c>
      <c r="K11" s="26">
        <v>0.80034873583260657</v>
      </c>
      <c r="L11" s="26">
        <v>0.68003487358326076</v>
      </c>
      <c r="M11" s="26">
        <v>0.5531822144725369</v>
      </c>
      <c r="N11" s="26">
        <v>0.55900900900900907</v>
      </c>
      <c r="O11" s="26">
        <f>[1]酒店23.12!$AI$9</f>
        <v>0.6166666666666667</v>
      </c>
      <c r="P11" s="26"/>
      <c r="Q11" s="8">
        <f>AVERAGE(D11:O11)</f>
        <v>0.68918971229293824</v>
      </c>
      <c r="R11" s="32"/>
      <c r="Z11" s="20"/>
    </row>
    <row r="12" spans="1:26" s="1" customFormat="1" ht="24" customHeight="1">
      <c r="A12" s="46"/>
      <c r="B12" s="47"/>
      <c r="C12" s="26" t="s">
        <v>36</v>
      </c>
      <c r="D12" s="26">
        <f>[2]酒店24.01!$AI$9</f>
        <v>0.50945945945945947</v>
      </c>
      <c r="E12" s="26">
        <f>'[3]酒店24.02 '!$AI$9</f>
        <v>0.39279279279279283</v>
      </c>
      <c r="F12" s="26">
        <f>[4]酒店24.03!$AI$9</f>
        <v>0.52657657657657653</v>
      </c>
      <c r="G12" s="26">
        <f>[5]酒店24.04!$AI$9</f>
        <v>0.67567567567567566</v>
      </c>
      <c r="H12" s="26" t="s">
        <v>44</v>
      </c>
      <c r="I12" s="26" t="s">
        <v>44</v>
      </c>
      <c r="J12" s="26" t="s">
        <v>44</v>
      </c>
      <c r="K12" s="26" t="s">
        <v>44</v>
      </c>
      <c r="L12" s="26" t="s">
        <v>44</v>
      </c>
      <c r="M12" s="26" t="s">
        <v>44</v>
      </c>
      <c r="N12" s="26" t="s">
        <v>44</v>
      </c>
      <c r="O12" s="26" t="s">
        <v>44</v>
      </c>
      <c r="P12" s="26"/>
      <c r="Q12" s="8">
        <f t="shared" ref="Q12:Q13" si="2">AVERAGE(D12:O12)</f>
        <v>0.52612612612612608</v>
      </c>
      <c r="R12" s="32"/>
      <c r="Z12" s="20"/>
    </row>
    <row r="13" spans="1:26" s="1" customFormat="1" ht="24" customHeight="1">
      <c r="A13" s="46"/>
      <c r="B13" s="47"/>
      <c r="C13" s="26" t="s">
        <v>37</v>
      </c>
      <c r="D13" s="26">
        <f>[14]酒店25.01!$AI$9</f>
        <v>0.53063063063063065</v>
      </c>
      <c r="E13" s="26">
        <f>[15]酒店25.02!$AI$9</f>
        <v>0.81756756756756754</v>
      </c>
      <c r="F13" s="26">
        <f>[15]酒店25.03!$AI$9</f>
        <v>0.83391455972101147</v>
      </c>
      <c r="G13" s="26">
        <f>[15]酒店25.04!$AI$9</f>
        <v>0.9049539639639641</v>
      </c>
      <c r="H13" s="26"/>
      <c r="I13" s="26"/>
      <c r="J13" s="26"/>
      <c r="K13" s="26"/>
      <c r="L13" s="26"/>
      <c r="M13" s="26"/>
      <c r="N13" s="26"/>
      <c r="O13" s="26"/>
      <c r="P13" s="26"/>
      <c r="Q13" s="8">
        <f t="shared" si="2"/>
        <v>0.77176668047079344</v>
      </c>
      <c r="R13" s="32"/>
      <c r="Z13" s="20"/>
    </row>
    <row r="14" spans="1:26" s="1" customFormat="1" ht="7" customHeight="1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27"/>
      <c r="Q14" s="8"/>
      <c r="R14" s="32"/>
      <c r="Z14" s="20"/>
    </row>
    <row r="15" spans="1:26" s="1" customFormat="1" ht="26" customHeight="1">
      <c r="A15" s="46" t="s">
        <v>4</v>
      </c>
      <c r="B15" s="46" t="s">
        <v>0</v>
      </c>
      <c r="C15" s="3" t="s">
        <v>35</v>
      </c>
      <c r="D15" s="29" t="s">
        <v>48</v>
      </c>
      <c r="E15" s="29" t="s">
        <v>48</v>
      </c>
      <c r="F15" s="29" t="s">
        <v>48</v>
      </c>
      <c r="G15" s="29" t="s">
        <v>48</v>
      </c>
      <c r="H15" s="29" t="s">
        <v>48</v>
      </c>
      <c r="I15" s="29" t="s">
        <v>48</v>
      </c>
      <c r="J15" s="29">
        <v>512</v>
      </c>
      <c r="K15" s="29">
        <v>508.38841251037513</v>
      </c>
      <c r="L15" s="29">
        <v>467.48739205860716</v>
      </c>
      <c r="M15" s="29">
        <v>493.77079962286166</v>
      </c>
      <c r="N15" s="29">
        <v>433.83371682110015</v>
      </c>
      <c r="O15" s="29">
        <f>[1]酒店23.12!$AI$11</f>
        <v>431.20257932289275</v>
      </c>
      <c r="P15" s="29"/>
      <c r="Q15" s="9">
        <f>AVERAGE(D15:O15)</f>
        <v>474.44715005597283</v>
      </c>
      <c r="R15" s="32"/>
      <c r="Z15" s="20"/>
    </row>
    <row r="16" spans="1:26" s="2" customFormat="1" ht="24" customHeight="1">
      <c r="A16" s="46"/>
      <c r="B16" s="46"/>
      <c r="C16" s="26" t="s">
        <v>36</v>
      </c>
      <c r="D16" s="29">
        <f>[2]酒店24.01!$AI$11</f>
        <v>434.2985957712466</v>
      </c>
      <c r="E16" s="29">
        <f>'[3]酒店24.02 '!$AI$11</f>
        <v>436.05250674046795</v>
      </c>
      <c r="F16" s="29">
        <f>[4]酒店24.03!$AI$11</f>
        <v>418.67834273044173</v>
      </c>
      <c r="G16" s="29">
        <f>[5]酒店24.04!$AI$11</f>
        <v>403.83093677675089</v>
      </c>
      <c r="H16" s="29">
        <f>[6]酒店24.05!$AI$11</f>
        <v>444.91521642558786</v>
      </c>
      <c r="I16" s="29">
        <f>[7]酒店24.06!$AI$11</f>
        <v>407.75822178214054</v>
      </c>
      <c r="J16" s="29">
        <f>'[8]酒店24.07)'!$AI$11</f>
        <v>426.01524732270462</v>
      </c>
      <c r="K16" s="29">
        <f>[9]酒店24.08!$AI$11</f>
        <v>424.41280881182053</v>
      </c>
      <c r="L16" s="41">
        <f>[10]酒店24.09!$AI$11</f>
        <v>406.63690538651758</v>
      </c>
      <c r="M16" s="29">
        <f>[11]酒店24.10!$AI$11</f>
        <v>446.38779019647137</v>
      </c>
      <c r="N16" s="29">
        <f>[12]酒店24.11!$AI$11</f>
        <v>391.64967393828869</v>
      </c>
      <c r="O16" s="29">
        <f>[13]酒店24.12!$AI$11</f>
        <v>380.2591058715845</v>
      </c>
      <c r="P16" s="29"/>
      <c r="Q16" s="9">
        <f t="shared" ref="Q16:Q17" si="3">AVERAGE(D16:O16)</f>
        <v>418.40794597950185</v>
      </c>
      <c r="R16" s="33"/>
      <c r="S16" s="1"/>
      <c r="Z16" s="21"/>
    </row>
    <row r="17" spans="1:26" s="2" customFormat="1" ht="24" customHeight="1">
      <c r="A17" s="46"/>
      <c r="B17" s="46"/>
      <c r="C17" s="26" t="s">
        <v>37</v>
      </c>
      <c r="D17" s="29">
        <f>[14]酒店25.01!$AI$11</f>
        <v>393.82437789295773</v>
      </c>
      <c r="E17" s="29">
        <f>[15]酒店25.02!$AI$11</f>
        <v>400.09023243854881</v>
      </c>
      <c r="F17" s="29">
        <f>[15]酒店25.03!$AI$11</f>
        <v>389.57917667845641</v>
      </c>
      <c r="G17" s="29">
        <f>[15]酒店25.04!$AI$11</f>
        <v>400.44805283464274</v>
      </c>
      <c r="H17" s="29"/>
      <c r="I17" s="29"/>
      <c r="J17" s="29"/>
      <c r="K17" s="29"/>
      <c r="L17" s="41"/>
      <c r="M17" s="29"/>
      <c r="N17" s="29"/>
      <c r="O17" s="29"/>
      <c r="P17" s="29"/>
      <c r="Q17" s="9">
        <f t="shared" si="3"/>
        <v>395.98545996115143</v>
      </c>
      <c r="R17" s="33"/>
      <c r="S17" s="1"/>
      <c r="Z17" s="21"/>
    </row>
    <row r="18" spans="1:26" s="2" customFormat="1" ht="8" customHeight="1">
      <c r="A18" s="46"/>
      <c r="B18" s="46"/>
      <c r="C18" s="46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29"/>
      <c r="Q18" s="9"/>
      <c r="R18" s="33"/>
      <c r="S18" s="1"/>
      <c r="Z18" s="21"/>
    </row>
    <row r="19" spans="1:26" s="2" customFormat="1" ht="24" customHeight="1">
      <c r="A19" s="46"/>
      <c r="B19" s="46" t="s">
        <v>1</v>
      </c>
      <c r="C19" s="3" t="s">
        <v>35</v>
      </c>
      <c r="D19" s="29" t="s">
        <v>47</v>
      </c>
      <c r="E19" s="29" t="s">
        <v>47</v>
      </c>
      <c r="F19" s="29" t="s">
        <v>47</v>
      </c>
      <c r="G19" s="29" t="s">
        <v>47</v>
      </c>
      <c r="H19" s="29" t="s">
        <v>47</v>
      </c>
      <c r="I19" s="29" t="s">
        <v>47</v>
      </c>
      <c r="J19" s="29">
        <v>386.09322580645158</v>
      </c>
      <c r="K19" s="29">
        <v>411.53573944125918</v>
      </c>
      <c r="L19" s="29">
        <v>359.95697144235788</v>
      </c>
      <c r="M19" s="29">
        <v>392.87102582165716</v>
      </c>
      <c r="N19" s="29">
        <v>365.89945421624287</v>
      </c>
      <c r="O19" s="29">
        <f>[1]酒店23.12!$AI$12</f>
        <v>362.52814321799644</v>
      </c>
      <c r="P19" s="29"/>
      <c r="Q19" s="9">
        <f>AVERAGE(D19:O19)</f>
        <v>379.81409332432753</v>
      </c>
      <c r="R19" s="33"/>
      <c r="S19" s="1"/>
      <c r="Z19" s="21"/>
    </row>
    <row r="20" spans="1:26" s="2" customFormat="1" ht="24" customHeight="1">
      <c r="A20" s="46"/>
      <c r="B20" s="46"/>
      <c r="C20" s="26" t="s">
        <v>36</v>
      </c>
      <c r="D20" s="29">
        <f>[2]酒店24.01!$AI$12</f>
        <v>354.96476203845356</v>
      </c>
      <c r="E20" s="29">
        <f>'[3]酒店24.02 '!$AI$12</f>
        <v>374.36902422142458</v>
      </c>
      <c r="F20" s="29">
        <f>[4]酒店24.03!$AI$12</f>
        <v>346.47262890255899</v>
      </c>
      <c r="G20" s="29">
        <f>[5]酒店24.04!$AI$12</f>
        <v>353.84743218451587</v>
      </c>
      <c r="H20" s="29">
        <f>[6]酒店24.05!$AI$12</f>
        <v>381.4662782321916</v>
      </c>
      <c r="I20" s="29">
        <f>[7]酒店24.06!$AI$12</f>
        <v>338.23228883514793</v>
      </c>
      <c r="J20" s="29">
        <f>'[8]酒店24.07)'!$AI$12</f>
        <v>352.75912469233418</v>
      </c>
      <c r="K20" s="29">
        <f>[9]酒店24.08!$AI$12</f>
        <v>348.44144038208151</v>
      </c>
      <c r="L20" s="41">
        <f>[10]酒店24.09!$AI$12</f>
        <v>303.72283590404663</v>
      </c>
      <c r="M20" s="29">
        <f>[11]酒店24.10!$AI$12</f>
        <v>350.18355324635195</v>
      </c>
      <c r="N20" s="29">
        <f>[12]酒店24.11!$AI$12</f>
        <v>302.61629005813882</v>
      </c>
      <c r="O20" s="29">
        <f>[13]酒店24.12!$AI$12</f>
        <v>299.28078867729988</v>
      </c>
      <c r="P20" s="29"/>
      <c r="Q20" s="9">
        <f t="shared" ref="Q20:Q21" si="4">AVERAGE(D20:O20)</f>
        <v>342.19637061454551</v>
      </c>
      <c r="R20" s="33"/>
      <c r="S20" s="1"/>
      <c r="Z20" s="21"/>
    </row>
    <row r="21" spans="1:26" s="2" customFormat="1" ht="24" customHeight="1">
      <c r="A21" s="46"/>
      <c r="B21" s="46"/>
      <c r="C21" s="26" t="s">
        <v>37</v>
      </c>
      <c r="D21" s="29">
        <f>[14]酒店25.01!$AI$12</f>
        <v>294.87424715650354</v>
      </c>
      <c r="E21" s="29">
        <f>[15]酒店25.02!$AI$12</f>
        <v>303.62847689721855</v>
      </c>
      <c r="F21" s="29">
        <f>[15]酒店25.03!$AI$12</f>
        <v>304.87366191959256</v>
      </c>
      <c r="G21" s="29">
        <f>[15]酒店25.04!$AI$12</f>
        <v>292.62142587068683</v>
      </c>
      <c r="H21" s="29"/>
      <c r="I21" s="29"/>
      <c r="J21" s="29"/>
      <c r="K21" s="29"/>
      <c r="L21" s="41"/>
      <c r="M21" s="29"/>
      <c r="N21" s="29"/>
      <c r="O21" s="29"/>
      <c r="P21" s="29"/>
      <c r="Q21" s="9">
        <f t="shared" si="4"/>
        <v>298.99945296100037</v>
      </c>
      <c r="R21" s="33"/>
      <c r="S21" s="1"/>
      <c r="Z21" s="21"/>
    </row>
    <row r="22" spans="1:26" s="2" customFormat="1" ht="8" customHeight="1">
      <c r="A22" s="46"/>
      <c r="B22" s="46"/>
      <c r="C22" s="46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29"/>
      <c r="Q22" s="9"/>
      <c r="R22" s="33"/>
      <c r="S22" s="1"/>
      <c r="Z22" s="21"/>
    </row>
    <row r="23" spans="1:26" s="2" customFormat="1" ht="24" customHeight="1">
      <c r="A23" s="46"/>
      <c r="B23" s="46" t="s">
        <v>40</v>
      </c>
      <c r="C23" s="3" t="s">
        <v>35</v>
      </c>
      <c r="D23" s="29" t="s">
        <v>49</v>
      </c>
      <c r="E23" s="29" t="s">
        <v>49</v>
      </c>
      <c r="F23" s="29" t="s">
        <v>49</v>
      </c>
      <c r="G23" s="29" t="s">
        <v>49</v>
      </c>
      <c r="H23" s="29" t="s">
        <v>49</v>
      </c>
      <c r="I23" s="29" t="s">
        <v>49</v>
      </c>
      <c r="J23" s="29">
        <v>296.93451612903232</v>
      </c>
      <c r="K23" s="29">
        <v>300.61005198674667</v>
      </c>
      <c r="L23" s="29">
        <v>263.49094279901067</v>
      </c>
      <c r="M23" s="29">
        <v>277.26787809140473</v>
      </c>
      <c r="N23" s="29">
        <v>235.34844344262211</v>
      </c>
      <c r="O23" s="29">
        <f>[1]酒店23.12!$AI$13</f>
        <v>233.82267815704296</v>
      </c>
      <c r="P23" s="29"/>
      <c r="Q23" s="9">
        <f>AVERAGE(D23:O23)</f>
        <v>267.91241843430987</v>
      </c>
      <c r="R23" s="33"/>
      <c r="S23" s="1"/>
      <c r="Z23" s="21"/>
    </row>
    <row r="24" spans="1:26" s="2" customFormat="1" ht="24" customHeight="1">
      <c r="A24" s="46"/>
      <c r="B24" s="46"/>
      <c r="C24" s="26" t="s">
        <v>36</v>
      </c>
      <c r="D24" s="29">
        <f>[2]酒店24.01!$AI$13</f>
        <v>216.42506472251216</v>
      </c>
      <c r="E24" s="29">
        <f>'[3]酒店24.02 '!$AI$13</f>
        <v>232.91489780156962</v>
      </c>
      <c r="F24" s="29">
        <f>[4]酒店24.03!$AI$13</f>
        <v>219.50360118018475</v>
      </c>
      <c r="G24" s="29">
        <f>[5]酒店24.04!$AI$13</f>
        <v>200.90299069532742</v>
      </c>
      <c r="H24" s="29"/>
      <c r="I24" s="29"/>
      <c r="J24" s="29"/>
      <c r="K24" s="29"/>
      <c r="L24" s="41"/>
      <c r="M24" s="29"/>
      <c r="N24" s="29"/>
      <c r="O24" s="29"/>
      <c r="P24" s="29"/>
      <c r="Q24" s="9">
        <f t="shared" ref="Q24:Q25" si="5">AVERAGE(D24:O24)</f>
        <v>217.43663859989849</v>
      </c>
      <c r="R24" s="33"/>
      <c r="S24" s="1"/>
      <c r="Z24" s="21"/>
    </row>
    <row r="25" spans="1:26" s="2" customFormat="1" ht="24" customHeight="1">
      <c r="A25" s="46"/>
      <c r="B25" s="46"/>
      <c r="C25" s="26" t="s">
        <v>37</v>
      </c>
      <c r="D25" s="29">
        <f>[14]酒店25.01!$AI$13</f>
        <v>192.22470384999491</v>
      </c>
      <c r="E25" s="29">
        <f>[15]酒店25.02!$AI$13</f>
        <v>180.55042666965875</v>
      </c>
      <c r="F25" s="29">
        <f>[15]酒店25.03!$AI$13</f>
        <v>180.23672080285186</v>
      </c>
      <c r="G25" s="29">
        <f>[15]酒店25.04!$AI$13</f>
        <v>194.11207159285433</v>
      </c>
      <c r="H25" s="29"/>
      <c r="I25" s="29"/>
      <c r="J25" s="29"/>
      <c r="K25" s="29"/>
      <c r="L25" s="41"/>
      <c r="M25" s="29"/>
      <c r="N25" s="29"/>
      <c r="O25" s="29"/>
      <c r="P25" s="29"/>
      <c r="Q25" s="9">
        <f t="shared" si="5"/>
        <v>186.78098072883998</v>
      </c>
      <c r="R25" s="33"/>
      <c r="S25" s="1"/>
      <c r="Z25" s="21"/>
    </row>
    <row r="26" spans="1:26" s="2" customFormat="1" ht="6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27"/>
      <c r="Q26" s="9"/>
      <c r="R26" s="34"/>
      <c r="S26" s="1"/>
      <c r="Z26" s="21"/>
    </row>
    <row r="27" spans="1:26" s="2" customFormat="1" ht="29" customHeight="1">
      <c r="A27" s="46" t="s">
        <v>5</v>
      </c>
      <c r="B27" s="43" t="s">
        <v>0</v>
      </c>
      <c r="C27" s="3" t="s">
        <v>35</v>
      </c>
      <c r="D27" s="29" t="s">
        <v>50</v>
      </c>
      <c r="E27" s="29" t="s">
        <v>50</v>
      </c>
      <c r="F27" s="29" t="s">
        <v>50</v>
      </c>
      <c r="G27" s="29" t="s">
        <v>50</v>
      </c>
      <c r="H27" s="29" t="s">
        <v>50</v>
      </c>
      <c r="I27" s="29" t="s">
        <v>50</v>
      </c>
      <c r="J27" s="29">
        <v>442.32704789833821</v>
      </c>
      <c r="K27" s="29">
        <v>411.50390420332349</v>
      </c>
      <c r="L27" s="29">
        <v>295.63303225806453</v>
      </c>
      <c r="M27" s="29">
        <v>346.37388269794718</v>
      </c>
      <c r="N27" s="29">
        <v>285.58366060606056</v>
      </c>
      <c r="O27" s="29">
        <f>[1]酒店23.12!$AI$15</f>
        <v>261.8289898989899</v>
      </c>
      <c r="P27" s="29"/>
      <c r="Q27" s="9">
        <f>AVERAGE(D27:O27)</f>
        <v>340.54175292712068</v>
      </c>
      <c r="R27" s="34"/>
      <c r="S27" s="1"/>
      <c r="Z27" s="21"/>
    </row>
    <row r="28" spans="1:26" s="2" customFormat="1" ht="24" customHeight="1">
      <c r="A28" s="46"/>
      <c r="B28" s="43"/>
      <c r="C28" s="26" t="s">
        <v>36</v>
      </c>
      <c r="D28" s="29">
        <f>[2]酒店24.01!$AI$15</f>
        <v>250.6467858585859</v>
      </c>
      <c r="E28" s="29">
        <f>'[3]酒店24.02 '!$AI$15</f>
        <v>270.52996161616159</v>
      </c>
      <c r="F28" s="29">
        <f>[4]酒店24.03!$AI$15</f>
        <v>262.30696969696976</v>
      </c>
      <c r="G28" s="29">
        <f>[5]酒店24.04!$AI$15</f>
        <v>297.49668686868694</v>
      </c>
      <c r="H28" s="29">
        <f>[6]酒店24.05!$AI$15</f>
        <v>347.86008686868689</v>
      </c>
      <c r="I28" s="29">
        <f>[7]酒店24.06!$AI$15</f>
        <v>301.77162828282832</v>
      </c>
      <c r="J28" s="29">
        <f>'[8]酒店24.07)'!$AI$15</f>
        <v>351.38513587487779</v>
      </c>
      <c r="K28" s="29">
        <f>[9]酒店24.08!$AI$15</f>
        <v>344.44451808406654</v>
      </c>
      <c r="L28" s="29">
        <f>[10]酒店24.09!$AI$15</f>
        <v>265.84900000000005</v>
      </c>
      <c r="M28" s="29">
        <f>[11]酒店24.10!$AI$15</f>
        <v>356.62901857282509</v>
      </c>
      <c r="N28" s="29">
        <f>[12]酒店24.11!$AI$15</f>
        <v>250.69973333333334</v>
      </c>
      <c r="O28" s="29">
        <f>[13]酒店24.12!$AI$15</f>
        <v>208.95149755620716</v>
      </c>
      <c r="P28" s="29"/>
      <c r="Q28" s="9">
        <f t="shared" ref="Q28:Q29" si="6">AVERAGE(D28:O28)</f>
        <v>292.38091855110241</v>
      </c>
      <c r="R28" s="33"/>
      <c r="S28" s="1"/>
      <c r="Z28" s="21"/>
    </row>
    <row r="29" spans="1:26" s="2" customFormat="1" ht="24" customHeight="1">
      <c r="A29" s="46"/>
      <c r="B29" s="43"/>
      <c r="C29" s="26" t="s">
        <v>37</v>
      </c>
      <c r="D29" s="29">
        <f>[14]酒店25.01!$AI$15</f>
        <v>244.48533919843595</v>
      </c>
      <c r="E29" s="29">
        <f>[15]酒店25.02!$AI$15</f>
        <v>276.57982251082251</v>
      </c>
      <c r="F29" s="29">
        <f>[15]酒店25.03!$AI$15</f>
        <v>239.79065689149556</v>
      </c>
      <c r="G29" s="29">
        <f>[15]酒店25.04!$AI$15</f>
        <v>277.44559191919194</v>
      </c>
      <c r="H29" s="29"/>
      <c r="I29" s="29"/>
      <c r="J29" s="29"/>
      <c r="K29" s="29"/>
      <c r="L29" s="29"/>
      <c r="M29" s="29"/>
      <c r="N29" s="29"/>
      <c r="O29" s="29"/>
      <c r="P29" s="29"/>
      <c r="Q29" s="9">
        <f t="shared" si="6"/>
        <v>259.57535262998653</v>
      </c>
      <c r="R29" s="33"/>
      <c r="S29" s="1"/>
      <c r="Z29" s="21"/>
    </row>
    <row r="30" spans="1:26" s="2" customFormat="1" ht="5" customHeight="1">
      <c r="A30" s="46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29"/>
      <c r="Q30" s="9"/>
      <c r="R30" s="33"/>
      <c r="S30" s="1"/>
      <c r="Z30" s="21"/>
    </row>
    <row r="31" spans="1:26" s="2" customFormat="1" ht="24" customHeight="1">
      <c r="A31" s="46"/>
      <c r="B31" s="43" t="s">
        <v>1</v>
      </c>
      <c r="C31" s="3" t="s">
        <v>35</v>
      </c>
      <c r="D31" s="29" t="s">
        <v>50</v>
      </c>
      <c r="E31" s="29" t="s">
        <v>50</v>
      </c>
      <c r="F31" s="29" t="s">
        <v>50</v>
      </c>
      <c r="G31" s="29" t="s">
        <v>50</v>
      </c>
      <c r="H31" s="29" t="s">
        <v>50</v>
      </c>
      <c r="I31" s="29" t="s">
        <v>50</v>
      </c>
      <c r="J31" s="29">
        <v>322.63419354838709</v>
      </c>
      <c r="K31" s="29">
        <v>328.32703781837688</v>
      </c>
      <c r="L31" s="29">
        <v>259.43611809732096</v>
      </c>
      <c r="M31" s="29">
        <v>304.62282121377802</v>
      </c>
      <c r="N31" s="29">
        <v>270.99123163841813</v>
      </c>
      <c r="O31" s="29">
        <f>[1]酒店23.12!$AI$16</f>
        <v>233.77890960451975</v>
      </c>
      <c r="P31" s="29"/>
      <c r="Q31" s="9">
        <f>AVERAGE(D31:O31)</f>
        <v>286.63171865346681</v>
      </c>
      <c r="R31" s="33"/>
      <c r="S31" s="1"/>
      <c r="Z31" s="21"/>
    </row>
    <row r="32" spans="1:26" s="2" customFormat="1" ht="24" customHeight="1">
      <c r="A32" s="46"/>
      <c r="B32" s="43"/>
      <c r="C32" s="26" t="s">
        <v>36</v>
      </c>
      <c r="D32" s="29">
        <f>[2]酒店24.01!$AI$16</f>
        <v>259.64844915254241</v>
      </c>
      <c r="E32" s="29">
        <f>'[3]酒店24.02 '!$AI$16</f>
        <v>276.75324183120739</v>
      </c>
      <c r="F32" s="29">
        <f>[4]酒店24.03!$AI$16</f>
        <v>275.21448587570626</v>
      </c>
      <c r="G32" s="29">
        <f>[5]酒店24.04!$AI$16</f>
        <v>288.33788726842721</v>
      </c>
      <c r="H32" s="29">
        <f>[6]酒店24.05!$AI$16</f>
        <v>317.40395865633064</v>
      </c>
      <c r="I32" s="29">
        <f>[7]酒店24.06!$AI$16</f>
        <v>238.98719121447033</v>
      </c>
      <c r="J32" s="29">
        <f>'[8]酒店24.07)'!$AI$16</f>
        <v>297.24066766691675</v>
      </c>
      <c r="K32" s="29">
        <f>[9]酒店24.08!$AI$16</f>
        <v>289.30549637409342</v>
      </c>
      <c r="L32" s="29">
        <f>[10]酒店24.09!$AI$16</f>
        <v>211.66971317829456</v>
      </c>
      <c r="M32" s="29">
        <f>[11]酒店24.10!$AI$16</f>
        <v>294.95642660665169</v>
      </c>
      <c r="N32" s="29">
        <f>[12]酒店24.11!$AI$16</f>
        <v>210.28632299741605</v>
      </c>
      <c r="O32" s="29">
        <f>[13]酒店24.12!$AI$16</f>
        <v>210.75552388097023</v>
      </c>
      <c r="P32" s="29"/>
      <c r="Q32" s="9">
        <f t="shared" ref="Q32:Q33" si="7">AVERAGE(D32:O32)</f>
        <v>264.21328039191889</v>
      </c>
      <c r="R32" s="33"/>
      <c r="S32" s="1"/>
      <c r="Z32" s="21"/>
    </row>
    <row r="33" spans="1:33" s="2" customFormat="1" ht="24" customHeight="1">
      <c r="A33" s="46"/>
      <c r="B33" s="43"/>
      <c r="C33" s="26" t="s">
        <v>37</v>
      </c>
      <c r="D33" s="29">
        <f>[14]酒店25.01!$AI$16</f>
        <v>201.77442860715175</v>
      </c>
      <c r="E33" s="29">
        <f>[15]酒店25.02!$AI$16</f>
        <v>230.59229512735325</v>
      </c>
      <c r="F33" s="29">
        <f>[15]酒店25.03!$AI$16</f>
        <v>233.06263565891473</v>
      </c>
      <c r="G33" s="29">
        <f>[15]酒店25.04!$AI$16</f>
        <v>236.74910335917306</v>
      </c>
      <c r="H33" s="29"/>
      <c r="I33" s="29"/>
      <c r="J33" s="29"/>
      <c r="K33" s="29"/>
      <c r="L33" s="29"/>
      <c r="M33" s="29"/>
      <c r="N33" s="29"/>
      <c r="O33" s="29"/>
      <c r="P33" s="29"/>
      <c r="Q33" s="9">
        <f t="shared" si="7"/>
        <v>225.54461568814821</v>
      </c>
      <c r="R33" s="33"/>
      <c r="S33" s="1"/>
      <c r="Z33" s="21"/>
    </row>
    <row r="34" spans="1:33" s="2" customFormat="1" ht="6" customHeight="1">
      <c r="A34" s="46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29"/>
      <c r="Q34" s="9"/>
      <c r="R34" s="33"/>
      <c r="S34" s="1"/>
      <c r="Z34" s="21"/>
    </row>
    <row r="35" spans="1:33" s="2" customFormat="1" ht="24" customHeight="1">
      <c r="A35" s="46"/>
      <c r="B35" s="43" t="s">
        <v>45</v>
      </c>
      <c r="C35" s="3" t="s">
        <v>35</v>
      </c>
      <c r="D35" s="29" t="s">
        <v>50</v>
      </c>
      <c r="E35" s="29" t="s">
        <v>50</v>
      </c>
      <c r="F35" s="29" t="s">
        <v>50</v>
      </c>
      <c r="G35" s="29" t="s">
        <v>50</v>
      </c>
      <c r="H35" s="29" t="s">
        <v>50</v>
      </c>
      <c r="I35" s="29" t="s">
        <v>50</v>
      </c>
      <c r="J35" s="29">
        <v>274.78774193548389</v>
      </c>
      <c r="K35" s="29">
        <v>250.54644132519618</v>
      </c>
      <c r="L35" s="29">
        <v>188.26833478639929</v>
      </c>
      <c r="M35" s="29">
        <v>167.10710985178727</v>
      </c>
      <c r="N35" s="29">
        <v>133.47662612612618</v>
      </c>
      <c r="O35" s="29">
        <f>[1]酒店23.12!$AI$17</f>
        <v>143.63733333333332</v>
      </c>
      <c r="P35" s="29"/>
      <c r="Q35" s="9">
        <f>AVERAGE(D35:O35)</f>
        <v>192.97059789305436</v>
      </c>
      <c r="R35" s="33"/>
      <c r="S35" s="1"/>
      <c r="Z35" s="21"/>
    </row>
    <row r="36" spans="1:33" s="2" customFormat="1" ht="24" customHeight="1">
      <c r="A36" s="46"/>
      <c r="B36" s="43"/>
      <c r="C36" s="26" t="s">
        <v>36</v>
      </c>
      <c r="D36" s="29">
        <f>[2]酒店24.01!$AI$17</f>
        <v>111.22199099099096</v>
      </c>
      <c r="E36" s="29">
        <f>'[3]酒店24.02 '!$AI$17</f>
        <v>108.07450150150147</v>
      </c>
      <c r="F36" s="29">
        <f>[4]酒店24.03!$AI$17</f>
        <v>112.18577477477477</v>
      </c>
      <c r="G36" s="29">
        <f>[5]酒店24.04!$AI$17</f>
        <v>137.59815315315311</v>
      </c>
      <c r="H36" s="29" t="s">
        <v>47</v>
      </c>
      <c r="I36" s="29" t="s">
        <v>47</v>
      </c>
      <c r="J36" s="29" t="s">
        <v>47</v>
      </c>
      <c r="K36" s="29" t="s">
        <v>47</v>
      </c>
      <c r="L36" s="29" t="s">
        <v>47</v>
      </c>
      <c r="M36" s="29" t="s">
        <v>47</v>
      </c>
      <c r="N36" s="29" t="s">
        <v>47</v>
      </c>
      <c r="O36" s="29" t="s">
        <v>47</v>
      </c>
      <c r="P36" s="29"/>
      <c r="Q36" s="9">
        <f t="shared" ref="Q36:Q37" si="8">AVERAGE(D36:O36)</f>
        <v>117.27010510510507</v>
      </c>
      <c r="R36" s="33"/>
      <c r="S36" s="1"/>
      <c r="Z36" s="21"/>
    </row>
    <row r="37" spans="1:33" s="2" customFormat="1" ht="24" customHeight="1">
      <c r="A37" s="46"/>
      <c r="B37" s="43"/>
      <c r="C37" s="26" t="s">
        <v>37</v>
      </c>
      <c r="D37" s="29">
        <f>[14]酒店25.01!$AI$17</f>
        <v>101.7449869224063</v>
      </c>
      <c r="E37" s="29">
        <f>[15]酒店25.02!$AI$17</f>
        <v>146.2983783783784</v>
      </c>
      <c r="F37" s="29">
        <f>[15]酒店25.03!$AI$17</f>
        <v>151.13465126416739</v>
      </c>
      <c r="G37" s="29">
        <f>[15]酒店25.04!$AI$17</f>
        <v>176.29972972972976</v>
      </c>
      <c r="H37" s="29"/>
      <c r="I37" s="29"/>
      <c r="J37" s="29"/>
      <c r="K37" s="29"/>
      <c r="L37" s="29"/>
      <c r="M37" s="29"/>
      <c r="N37" s="29"/>
      <c r="O37" s="29"/>
      <c r="P37" s="29"/>
      <c r="Q37" s="9">
        <f t="shared" si="8"/>
        <v>143.86943657367047</v>
      </c>
      <c r="R37" s="33"/>
      <c r="S37" s="1"/>
      <c r="Z37" s="21"/>
    </row>
    <row r="38" spans="1:33" s="2" customFormat="1" ht="7" customHeight="1">
      <c r="A38" s="43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27"/>
      <c r="Q38" s="9"/>
      <c r="R38" s="34"/>
      <c r="Y38" s="21"/>
      <c r="Z38" s="21"/>
      <c r="AA38" s="21"/>
      <c r="AB38" s="21"/>
      <c r="AC38" s="21"/>
    </row>
    <row r="39" spans="1:33" s="2" customFormat="1" ht="27" customHeight="1">
      <c r="A39" s="43" t="s">
        <v>6</v>
      </c>
      <c r="B39" s="43" t="s">
        <v>0</v>
      </c>
      <c r="C39" s="3" t="s">
        <v>35</v>
      </c>
      <c r="D39" s="27" t="s">
        <v>51</v>
      </c>
      <c r="E39" s="27" t="s">
        <v>51</v>
      </c>
      <c r="F39" s="27" t="s">
        <v>51</v>
      </c>
      <c r="G39" s="27" t="s">
        <v>51</v>
      </c>
      <c r="H39" s="27" t="s">
        <v>51</v>
      </c>
      <c r="I39" s="27" t="s">
        <v>51</v>
      </c>
      <c r="J39" s="25">
        <v>2299455.3599999994</v>
      </c>
      <c r="K39" s="25">
        <v>2139712.4699999997</v>
      </c>
      <c r="L39" s="25">
        <v>1597746.9600000007</v>
      </c>
      <c r="M39" s="25">
        <v>1827264.4100000004</v>
      </c>
      <c r="N39" s="25">
        <v>1456187.12</v>
      </c>
      <c r="O39" s="25">
        <f>[1]酒店23.12!$AI$23</f>
        <v>1329179.4999999998</v>
      </c>
      <c r="P39" s="27"/>
      <c r="Q39" s="9">
        <f>SUM(D39:O39)</f>
        <v>10649545.82</v>
      </c>
      <c r="R39" s="34"/>
      <c r="Y39" s="21"/>
      <c r="Z39" s="21"/>
      <c r="AA39" s="21"/>
      <c r="AB39" s="21"/>
      <c r="AC39" s="21"/>
    </row>
    <row r="40" spans="1:33" s="2" customFormat="1" ht="24" customHeight="1">
      <c r="A40" s="43"/>
      <c r="B40" s="43"/>
      <c r="C40" s="26" t="s">
        <v>36</v>
      </c>
      <c r="D40" s="25">
        <f>[2]酒店24.01!$AI$23</f>
        <v>1288338.5900000003</v>
      </c>
      <c r="E40" s="25">
        <f>'[3]酒店24.02 '!$AI$23</f>
        <v>1372988.3099999998</v>
      </c>
      <c r="F40" s="25">
        <f>[4]酒店24.03!$AI$23</f>
        <v>1339026.5000000002</v>
      </c>
      <c r="G40" s="25">
        <f>[5]酒店24.04!$AI$23</f>
        <v>1500476.6</v>
      </c>
      <c r="H40" s="25">
        <f>[6]酒店24.05!$AI$23</f>
        <v>1770376.8299999998</v>
      </c>
      <c r="I40" s="25">
        <f>[7]酒店24.06!$AI$23</f>
        <v>1531166.26</v>
      </c>
      <c r="J40" s="25">
        <f>'[8]酒店24.07)'!$AI$23</f>
        <v>1829582.97</v>
      </c>
      <c r="K40" s="25">
        <f>[9]酒店24.08!$AI$23</f>
        <v>1798310.5099999995</v>
      </c>
      <c r="L40" s="25">
        <f>[10]酒店24.09!$AI$23</f>
        <v>1348870.0499999998</v>
      </c>
      <c r="M40" s="25">
        <f>[11]酒店24.10!$AI$23</f>
        <v>1877445.8299999998</v>
      </c>
      <c r="N40" s="25">
        <f>[12]酒店24.11!$AI$23</f>
        <v>1267328.3800000006</v>
      </c>
      <c r="O40" s="25">
        <f>[13]酒店24.12!$AI$23</f>
        <v>1108353.1099999999</v>
      </c>
      <c r="P40" s="25"/>
      <c r="Q40" s="9">
        <f t="shared" ref="Q40:Q41" si="9">SUM(D40:O40)</f>
        <v>18032263.940000001</v>
      </c>
      <c r="R40" s="34"/>
      <c r="Y40" s="21"/>
      <c r="Z40" s="21"/>
      <c r="AA40" s="21"/>
      <c r="AB40" s="21"/>
      <c r="AC40" s="21"/>
      <c r="AE40" s="2">
        <f>[16]预算执行!$F$32</f>
        <v>8103688.9199999999</v>
      </c>
      <c r="AF40" s="2">
        <f>'[17]24年预算执行'!$AB$67</f>
        <v>6635757.8399999989</v>
      </c>
      <c r="AG40" s="21">
        <f>AF40-AE40</f>
        <v>-1467931.080000001</v>
      </c>
    </row>
    <row r="41" spans="1:33" s="2" customFormat="1" ht="24" customHeight="1">
      <c r="A41" s="43"/>
      <c r="B41" s="43"/>
      <c r="C41" s="26" t="s">
        <v>37</v>
      </c>
      <c r="D41" s="25">
        <f>[14]酒店25.01!$AI$23</f>
        <v>1285524.83</v>
      </c>
      <c r="E41" s="25">
        <f>[15]酒店25.02!$AI$23</f>
        <v>1312687.8199999996</v>
      </c>
      <c r="F41" s="25">
        <f>[15]酒店25.03!$AI$23</f>
        <v>1274937.68</v>
      </c>
      <c r="G41" s="25">
        <f>[15]酒店25.04!$AI$23</f>
        <v>1398975.8399999996</v>
      </c>
      <c r="H41" s="25"/>
      <c r="I41" s="25"/>
      <c r="J41" s="25"/>
      <c r="K41" s="25"/>
      <c r="L41" s="25"/>
      <c r="M41" s="25"/>
      <c r="N41" s="25"/>
      <c r="O41" s="25"/>
      <c r="P41" s="25"/>
      <c r="Q41" s="9">
        <f t="shared" si="9"/>
        <v>5272126.169999999</v>
      </c>
      <c r="R41" s="34"/>
      <c r="Y41" s="21"/>
      <c r="Z41" s="21"/>
      <c r="AA41" s="21"/>
      <c r="AB41" s="21"/>
      <c r="AC41" s="21"/>
      <c r="AG41" s="21"/>
    </row>
    <row r="42" spans="1:33" s="2" customFormat="1" ht="6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25"/>
      <c r="Q42" s="9"/>
      <c r="R42" s="34"/>
      <c r="Y42" s="21"/>
      <c r="Z42" s="21"/>
      <c r="AA42" s="21"/>
      <c r="AB42" s="21"/>
      <c r="AC42" s="21"/>
      <c r="AG42" s="21"/>
    </row>
    <row r="43" spans="1:33" s="2" customFormat="1" ht="24" customHeight="1">
      <c r="A43" s="43"/>
      <c r="B43" s="43" t="s">
        <v>1</v>
      </c>
      <c r="C43" s="3" t="s">
        <v>35</v>
      </c>
      <c r="D43" s="25" t="s">
        <v>44</v>
      </c>
      <c r="E43" s="25" t="s">
        <v>44</v>
      </c>
      <c r="F43" s="25" t="s">
        <v>44</v>
      </c>
      <c r="G43" s="25" t="s">
        <v>44</v>
      </c>
      <c r="H43" s="25" t="s">
        <v>44</v>
      </c>
      <c r="I43" s="25" t="s">
        <v>44</v>
      </c>
      <c r="J43" s="25">
        <v>1195617.7600000002</v>
      </c>
      <c r="K43" s="25">
        <v>1182128.26</v>
      </c>
      <c r="L43" s="25">
        <v>962096.32</v>
      </c>
      <c r="M43" s="25">
        <v>1119419.2799999998</v>
      </c>
      <c r="N43" s="25">
        <v>969737.96000000008</v>
      </c>
      <c r="O43" s="25">
        <f>[1]酒店23.12!$AI$24</f>
        <v>834493.34</v>
      </c>
      <c r="P43" s="25"/>
      <c r="Q43" s="9">
        <f t="shared" ref="Q43:Q49" si="10">SUM(D43:O43)</f>
        <v>6263492.9199999999</v>
      </c>
      <c r="R43" s="34"/>
      <c r="Y43" s="21"/>
      <c r="Z43" s="21"/>
      <c r="AA43" s="21"/>
      <c r="AB43" s="21"/>
      <c r="AC43" s="21"/>
      <c r="AG43" s="21"/>
    </row>
    <row r="44" spans="1:33" s="2" customFormat="1" ht="24" customHeight="1">
      <c r="A44" s="43"/>
      <c r="B44" s="43"/>
      <c r="C44" s="26" t="s">
        <v>36</v>
      </c>
      <c r="D44" s="25">
        <f>[2]酒店24.01!$AI$24</f>
        <v>931009.50999999989</v>
      </c>
      <c r="E44" s="25">
        <f>'[3]酒店24.02 '!$AI$25</f>
        <v>981824.29999999981</v>
      </c>
      <c r="F44" s="25">
        <f>[4]酒店24.03!$AI$25</f>
        <v>980831.28</v>
      </c>
      <c r="G44" s="25">
        <f>[5]酒店24.04!$AI$25</f>
        <v>1041225.49</v>
      </c>
      <c r="H44" s="25">
        <f>[6]酒店24.05!$AI$25</f>
        <v>1239784.3199999998</v>
      </c>
      <c r="I44" s="25">
        <f>[7]酒店24.06!$AI$25</f>
        <v>931636.43</v>
      </c>
      <c r="J44" s="25">
        <f>'[8]酒店24.07)'!$AI$25</f>
        <v>1195503.43</v>
      </c>
      <c r="K44" s="25">
        <f>[9]酒店24.08!$AI$25</f>
        <v>1163276.6799999997</v>
      </c>
      <c r="L44" s="25">
        <f>[10]酒店24.09!$AI$25</f>
        <v>823514.79</v>
      </c>
      <c r="M44" s="25">
        <f>[11]酒店24.10!$AI$25</f>
        <v>1186251.7500000002</v>
      </c>
      <c r="N44" s="25">
        <f>[12]酒店24.11!$AI$25</f>
        <v>818486.07</v>
      </c>
      <c r="O44" s="25">
        <f>[13]酒店24.12!$AI$25</f>
        <v>848453.34000000008</v>
      </c>
      <c r="P44" s="25"/>
      <c r="Q44" s="9">
        <f t="shared" si="10"/>
        <v>12141797.390000001</v>
      </c>
      <c r="R44" s="34"/>
      <c r="Y44" s="1" t="e">
        <f>SUM(#REF!)</f>
        <v>#REF!</v>
      </c>
      <c r="Z44" s="21"/>
    </row>
    <row r="45" spans="1:33" s="2" customFormat="1" ht="24" customHeight="1">
      <c r="A45" s="43"/>
      <c r="B45" s="43"/>
      <c r="C45" s="26" t="s">
        <v>37</v>
      </c>
      <c r="D45" s="25">
        <f>[14]酒店25.01!$AI$24</f>
        <v>842874.46</v>
      </c>
      <c r="E45" s="25">
        <f>[15]酒店25.02!$AI$24</f>
        <v>837245.37</v>
      </c>
      <c r="F45" s="25">
        <f>[15]酒店25.03!$AI$24</f>
        <v>936114.4800000001</v>
      </c>
      <c r="G45" s="25">
        <f>[15]酒店25.04!$AI$24</f>
        <v>921116.45000000007</v>
      </c>
      <c r="H45" s="25"/>
      <c r="I45" s="25"/>
      <c r="J45" s="25"/>
      <c r="K45" s="25"/>
      <c r="L45" s="25"/>
      <c r="M45" s="25"/>
      <c r="N45" s="25"/>
      <c r="O45" s="25"/>
      <c r="P45" s="25"/>
      <c r="Q45" s="9">
        <f t="shared" si="10"/>
        <v>3537350.7600000002</v>
      </c>
      <c r="R45" s="34"/>
      <c r="Y45" s="1"/>
      <c r="Z45" s="21"/>
    </row>
    <row r="46" spans="1:33" s="2" customFormat="1" ht="7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25"/>
      <c r="Q46" s="9"/>
      <c r="R46" s="34"/>
      <c r="Y46" s="1"/>
      <c r="Z46" s="21"/>
    </row>
    <row r="47" spans="1:33" s="2" customFormat="1" ht="24" customHeight="1">
      <c r="A47" s="43"/>
      <c r="B47" s="43" t="s">
        <v>46</v>
      </c>
      <c r="C47" s="3" t="s">
        <v>35</v>
      </c>
      <c r="D47" s="25" t="s">
        <v>44</v>
      </c>
      <c r="E47" s="25" t="s">
        <v>44</v>
      </c>
      <c r="F47" s="25" t="s">
        <v>44</v>
      </c>
      <c r="G47" s="25" t="s">
        <v>44</v>
      </c>
      <c r="H47" s="25" t="s">
        <v>44</v>
      </c>
      <c r="I47" s="25" t="s">
        <v>44</v>
      </c>
      <c r="J47" s="25" t="s">
        <v>44</v>
      </c>
      <c r="K47" s="25" t="s">
        <v>44</v>
      </c>
      <c r="L47" s="25" t="s">
        <v>44</v>
      </c>
      <c r="M47" s="25" t="s">
        <v>44</v>
      </c>
      <c r="N47" s="25" t="s">
        <v>44</v>
      </c>
      <c r="O47" s="25" t="s">
        <v>44</v>
      </c>
      <c r="P47" s="25"/>
      <c r="Q47" s="9">
        <f t="shared" si="10"/>
        <v>0</v>
      </c>
      <c r="R47" s="34"/>
      <c r="Y47" s="1"/>
      <c r="Z47" s="21"/>
    </row>
    <row r="48" spans="1:33" s="2" customFormat="1" ht="24" customHeight="1">
      <c r="A48" s="43"/>
      <c r="B48" s="43"/>
      <c r="C48" s="26" t="s">
        <v>36</v>
      </c>
      <c r="D48" s="25">
        <f>[2]酒店24.01!$AI$25</f>
        <v>279236.73</v>
      </c>
      <c r="E48" s="25">
        <f>'[3]酒店24.02 '!$AI$26</f>
        <v>234470.53999999998</v>
      </c>
      <c r="F48" s="25">
        <f>[4]酒店24.03!$AI$26</f>
        <v>252658.33000000005</v>
      </c>
      <c r="G48" s="25">
        <f>[5]酒店24.04!$AI$26</f>
        <v>308273.47000000009</v>
      </c>
      <c r="H48" s="25" t="s">
        <v>50</v>
      </c>
      <c r="I48" s="25" t="s">
        <v>50</v>
      </c>
      <c r="J48" s="25" t="s">
        <v>50</v>
      </c>
      <c r="K48" s="25" t="s">
        <v>50</v>
      </c>
      <c r="L48" s="25" t="s">
        <v>50</v>
      </c>
      <c r="M48" s="25" t="s">
        <v>50</v>
      </c>
      <c r="N48" s="25" t="s">
        <v>50</v>
      </c>
      <c r="O48" s="25" t="s">
        <v>50</v>
      </c>
      <c r="P48" s="25"/>
      <c r="Q48" s="9">
        <f t="shared" si="10"/>
        <v>1074639.07</v>
      </c>
      <c r="R48" s="34"/>
      <c r="Z48" s="21"/>
    </row>
    <row r="49" spans="1:29" s="2" customFormat="1" ht="24" customHeight="1">
      <c r="A49" s="43"/>
      <c r="B49" s="43"/>
      <c r="C49" s="26" t="s">
        <v>37</v>
      </c>
      <c r="D49" s="25">
        <f>[14]酒店25.01!$AI$25</f>
        <v>236976.99999999997</v>
      </c>
      <c r="E49" s="25">
        <f>[15]酒店25.02!$AI$25</f>
        <v>308640.24000000005</v>
      </c>
      <c r="F49" s="25">
        <f>[15]酒店25.03!$AI$25</f>
        <v>349881.08999999991</v>
      </c>
      <c r="G49" s="25">
        <f>[15]酒店25.04!$AI$25</f>
        <v>393867.6100000001</v>
      </c>
      <c r="H49" s="25"/>
      <c r="I49" s="25"/>
      <c r="J49" s="25"/>
      <c r="K49" s="25"/>
      <c r="L49" s="25"/>
      <c r="M49" s="25"/>
      <c r="N49" s="25"/>
      <c r="O49" s="25"/>
      <c r="P49" s="25"/>
      <c r="Q49" s="9">
        <f t="shared" si="10"/>
        <v>1289365.94</v>
      </c>
      <c r="R49" s="34"/>
      <c r="Z49" s="21"/>
    </row>
    <row r="50" spans="1:29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17"/>
      <c r="Q50" s="27"/>
    </row>
    <row r="51" spans="1:29" ht="26" customHeight="1">
      <c r="A51" s="55" t="s">
        <v>17</v>
      </c>
      <c r="B51" s="44" t="s">
        <v>41</v>
      </c>
      <c r="C51" s="3" t="s">
        <v>35</v>
      </c>
      <c r="D51" s="11" t="s">
        <v>48</v>
      </c>
      <c r="E51" s="11" t="s">
        <v>48</v>
      </c>
      <c r="F51" s="11" t="s">
        <v>48</v>
      </c>
      <c r="G51" s="11" t="s">
        <v>48</v>
      </c>
      <c r="H51" s="11" t="s">
        <v>48</v>
      </c>
      <c r="I51" s="11" t="s">
        <v>48</v>
      </c>
      <c r="J51" s="27">
        <v>1128000</v>
      </c>
      <c r="K51" s="27">
        <v>931000</v>
      </c>
      <c r="L51" s="27">
        <v>620000</v>
      </c>
      <c r="M51" s="27">
        <v>862000</v>
      </c>
      <c r="N51" s="27">
        <v>608000</v>
      </c>
      <c r="O51" s="27">
        <v>221000</v>
      </c>
      <c r="P51" s="17"/>
      <c r="Q51" s="42">
        <f>SUM(D51:O51)</f>
        <v>4370000</v>
      </c>
      <c r="R51" s="35"/>
      <c r="T51" s="22"/>
      <c r="U51" s="22"/>
    </row>
    <row r="52" spans="1:29" ht="26" customHeight="1">
      <c r="A52" s="56"/>
      <c r="B52" s="44"/>
      <c r="C52" s="26" t="s">
        <v>36</v>
      </c>
      <c r="D52" s="11">
        <f>[4]酒店24.03!$C$30</f>
        <v>415175.69000000029</v>
      </c>
      <c r="E52" s="11">
        <f>[4]酒店24.03!$D$30</f>
        <v>449434.14</v>
      </c>
      <c r="F52" s="11">
        <f>[4]酒店24.03!$E$30</f>
        <v>452561.12999999989</v>
      </c>
      <c r="G52" s="11">
        <f>[5]酒店24.04!$F$30</f>
        <v>629431.75000000012</v>
      </c>
      <c r="H52" s="11">
        <f>[6]酒店24.05!$G$30</f>
        <v>802314.04</v>
      </c>
      <c r="I52" s="11">
        <f>[7]酒店24.06!$H$30</f>
        <v>471404.81000000006</v>
      </c>
      <c r="J52" s="11">
        <f>'[8]酒店24.07)'!$AI$29</f>
        <v>815107.51</v>
      </c>
      <c r="K52" s="11">
        <f>[9]酒店24.08!$J$30</f>
        <v>685023.17000000016</v>
      </c>
      <c r="L52" s="11">
        <f>[10]酒店24.09!$K$30</f>
        <v>387324.97999999986</v>
      </c>
      <c r="M52" s="11">
        <f>[11]酒店24.10!$L$30</f>
        <v>920003.9600000002</v>
      </c>
      <c r="N52" s="11">
        <f>[12]酒店24.11!$M$30</f>
        <v>419316.77</v>
      </c>
      <c r="O52" s="11">
        <f>[13]酒店24.12!$N$30</f>
        <v>424546.87999999989</v>
      </c>
      <c r="P52" s="27">
        <f>SUM(D52:O52)</f>
        <v>6871644.8299999991</v>
      </c>
      <c r="Q52" s="27">
        <f>SUM(D52:O52)</f>
        <v>6871644.8299999991</v>
      </c>
      <c r="R52" s="35"/>
      <c r="U52" s="23"/>
    </row>
    <row r="53" spans="1:29" ht="26" customHeight="1">
      <c r="A53" s="56"/>
      <c r="B53" s="44"/>
      <c r="C53" s="26" t="s">
        <v>37</v>
      </c>
      <c r="D53" s="11">
        <f>[18]酒店25.01!$C$30</f>
        <v>222325.2100000002</v>
      </c>
      <c r="E53" s="11">
        <f>[15]酒店25.02!$D$30</f>
        <v>349892.66000000003</v>
      </c>
      <c r="F53" s="11">
        <f>[15]酒店25.03!$E$30</f>
        <v>501308.98000000021</v>
      </c>
      <c r="G53" s="11">
        <f>[19]酒店25.04!$F$30</f>
        <v>502815.13999999978</v>
      </c>
      <c r="H53" s="11"/>
      <c r="I53" s="11"/>
      <c r="J53" s="11"/>
      <c r="K53" s="11"/>
      <c r="L53" s="11"/>
      <c r="M53" s="11"/>
      <c r="N53" s="11"/>
      <c r="O53" s="11"/>
      <c r="P53" s="27"/>
      <c r="Q53" s="28">
        <f>SUM(D53:O53)</f>
        <v>1576341.9900000002</v>
      </c>
      <c r="R53" s="35"/>
      <c r="U53" s="23"/>
    </row>
    <row r="54" spans="1:29" ht="6" customHeight="1">
      <c r="A54" s="56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27"/>
      <c r="Q54" s="27"/>
      <c r="R54" s="35"/>
      <c r="U54" s="23"/>
    </row>
    <row r="55" spans="1:29" ht="26" customHeight="1">
      <c r="A55" s="56"/>
      <c r="B55" s="43" t="s">
        <v>42</v>
      </c>
      <c r="C55" s="3" t="s">
        <v>35</v>
      </c>
      <c r="D55" s="11" t="s">
        <v>52</v>
      </c>
      <c r="E55" s="11" t="s">
        <v>52</v>
      </c>
      <c r="F55" s="11" t="s">
        <v>52</v>
      </c>
      <c r="G55" s="11" t="s">
        <v>52</v>
      </c>
      <c r="H55" s="11" t="s">
        <v>52</v>
      </c>
      <c r="I55" s="11" t="s">
        <v>52</v>
      </c>
      <c r="J55" s="27">
        <v>727000</v>
      </c>
      <c r="K55" s="27">
        <v>550000</v>
      </c>
      <c r="L55" s="27">
        <v>550000</v>
      </c>
      <c r="M55" s="27">
        <v>723000</v>
      </c>
      <c r="N55" s="27">
        <v>613000</v>
      </c>
      <c r="O55" s="27">
        <v>351000</v>
      </c>
      <c r="P55" s="27"/>
      <c r="Q55" s="27">
        <f>SUM(D55:O55)</f>
        <v>3514000</v>
      </c>
      <c r="R55" s="35"/>
      <c r="T55" s="22"/>
      <c r="U55" s="22"/>
    </row>
    <row r="56" spans="1:29" ht="26" customHeight="1">
      <c r="A56" s="56"/>
      <c r="B56" s="43"/>
      <c r="C56" s="26" t="s">
        <v>36</v>
      </c>
      <c r="D56" s="11">
        <f>[4]酒店24.03!$C$32</f>
        <v>514590.74999999994</v>
      </c>
      <c r="E56" s="11">
        <f>[4]酒店24.03!$D$32</f>
        <v>578704.25</v>
      </c>
      <c r="F56" s="11">
        <f>[4]酒店24.03!$E$32</f>
        <v>632812.64</v>
      </c>
      <c r="G56" s="11">
        <f>[5]酒店24.04!$F$32</f>
        <v>590116.69000000006</v>
      </c>
      <c r="H56" s="11">
        <f>[6]酒店24.05!$G$32</f>
        <v>828113.59000000008</v>
      </c>
      <c r="I56" s="11">
        <f>[9]酒店24.06!$H$32</f>
        <v>470716.1100000001</v>
      </c>
      <c r="J56" s="11">
        <f>'[8]酒店24.07)'!$AI$30</f>
        <v>741916.97000000032</v>
      </c>
      <c r="K56" s="11">
        <f>[9]酒店24.08!$J$32</f>
        <v>672481.10999999975</v>
      </c>
      <c r="L56" s="11">
        <f>[10]酒店24.09!$K$32</f>
        <v>397480.11</v>
      </c>
      <c r="M56" s="11">
        <f>[11]酒店24.10!$L$32</f>
        <v>732073.73</v>
      </c>
      <c r="N56" s="11">
        <f>[12]酒店24.11!$M$32</f>
        <v>453466.27999999985</v>
      </c>
      <c r="O56" s="11">
        <f>[13]酒店24.12!$N$32</f>
        <v>509170</v>
      </c>
      <c r="P56" s="27"/>
      <c r="Q56" s="27">
        <f>SUM(D56:O56)</f>
        <v>7121642.2300000014</v>
      </c>
      <c r="R56" s="35"/>
      <c r="U56" s="23"/>
    </row>
    <row r="57" spans="1:29" ht="26" customHeight="1">
      <c r="A57" s="56"/>
      <c r="B57" s="43"/>
      <c r="C57" s="26" t="s">
        <v>37</v>
      </c>
      <c r="D57" s="11">
        <f>[18]酒店25.01!$C$32</f>
        <v>408898.04000000004</v>
      </c>
      <c r="E57" s="11">
        <f>[15]酒店25.02!$D$32</f>
        <v>404204.30000000005</v>
      </c>
      <c r="F57" s="11">
        <f>[15]酒店25.03!$E$32</f>
        <v>527449.78</v>
      </c>
      <c r="G57" s="11">
        <f>[19]酒店25.04!$F$32</f>
        <v>539333.15000000014</v>
      </c>
      <c r="H57" s="11"/>
      <c r="I57" s="11"/>
      <c r="J57" s="11"/>
      <c r="K57" s="11"/>
      <c r="L57" s="11"/>
      <c r="M57" s="11"/>
      <c r="N57" s="11"/>
      <c r="O57" s="11"/>
      <c r="P57" s="27"/>
      <c r="Q57" s="28">
        <f>SUM(D57:O57)</f>
        <v>1879885.2700000003</v>
      </c>
      <c r="R57" s="35"/>
      <c r="U57" s="23"/>
    </row>
    <row r="58" spans="1:29" ht="7" customHeight="1">
      <c r="A58" s="56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27"/>
      <c r="Q58" s="27"/>
      <c r="R58" s="35"/>
      <c r="U58" s="23"/>
    </row>
    <row r="59" spans="1:29" ht="26" customHeight="1">
      <c r="A59" s="56"/>
      <c r="B59" s="43" t="s">
        <v>43</v>
      </c>
      <c r="C59" s="3" t="s">
        <v>35</v>
      </c>
      <c r="D59" s="11" t="s">
        <v>47</v>
      </c>
      <c r="E59" s="11" t="s">
        <v>47</v>
      </c>
      <c r="F59" s="11" t="s">
        <v>47</v>
      </c>
      <c r="G59" s="11" t="s">
        <v>47</v>
      </c>
      <c r="H59" s="11" t="s">
        <v>47</v>
      </c>
      <c r="I59" s="11" t="s">
        <v>47</v>
      </c>
      <c r="J59" s="11" t="s">
        <v>47</v>
      </c>
      <c r="K59" s="11" t="s">
        <v>47</v>
      </c>
      <c r="L59" s="11" t="s">
        <v>47</v>
      </c>
      <c r="M59" s="11" t="s">
        <v>47</v>
      </c>
      <c r="N59" s="11" t="s">
        <v>47</v>
      </c>
      <c r="O59" s="11" t="s">
        <v>47</v>
      </c>
      <c r="P59" s="27"/>
      <c r="Q59" s="42">
        <f>SUM(D59:O59)</f>
        <v>0</v>
      </c>
      <c r="R59" s="35"/>
      <c r="U59" s="23"/>
    </row>
    <row r="60" spans="1:29" ht="26" customHeight="1">
      <c r="A60" s="56"/>
      <c r="B60" s="43"/>
      <c r="C60" s="26" t="s">
        <v>36</v>
      </c>
      <c r="D60" s="11" t="s">
        <v>48</v>
      </c>
      <c r="E60" s="11" t="s">
        <v>48</v>
      </c>
      <c r="F60" s="11" t="s">
        <v>48</v>
      </c>
      <c r="G60" s="11" t="s">
        <v>48</v>
      </c>
      <c r="H60" s="11" t="s">
        <v>48</v>
      </c>
      <c r="I60" s="11" t="s">
        <v>48</v>
      </c>
      <c r="J60" s="11" t="s">
        <v>48</v>
      </c>
      <c r="K60" s="11" t="s">
        <v>48</v>
      </c>
      <c r="L60" s="11" t="s">
        <v>48</v>
      </c>
      <c r="M60" s="11" t="s">
        <v>48</v>
      </c>
      <c r="N60" s="11" t="s">
        <v>48</v>
      </c>
      <c r="O60" s="11" t="s">
        <v>48</v>
      </c>
      <c r="P60" s="27"/>
      <c r="Q60" s="42">
        <f t="shared" ref="Q60:Q61" si="11">SUM(D60:O60)</f>
        <v>0</v>
      </c>
      <c r="R60" s="35"/>
      <c r="U60" s="23"/>
    </row>
    <row r="61" spans="1:29" ht="26" customHeight="1">
      <c r="A61" s="57"/>
      <c r="B61" s="43"/>
      <c r="C61" s="26" t="s">
        <v>37</v>
      </c>
      <c r="D61" s="39">
        <f>[18]酒店25.01!$C$34</f>
        <v>-3139.1099999999569</v>
      </c>
      <c r="E61" s="39">
        <f>[15]酒店25.02!$D$34</f>
        <v>62157.469999999972</v>
      </c>
      <c r="F61" s="39">
        <f>[15]酒店25.03!$E$34</f>
        <v>67769.960000000021</v>
      </c>
      <c r="G61" s="39">
        <f>[19]酒店25.04!$F$34</f>
        <v>137170.65999999995</v>
      </c>
      <c r="H61" s="39"/>
      <c r="I61" s="39"/>
      <c r="J61" s="39"/>
      <c r="K61" s="39"/>
      <c r="L61" s="39"/>
      <c r="M61" s="39"/>
      <c r="N61" s="39"/>
      <c r="O61" s="39"/>
      <c r="P61" s="39"/>
      <c r="Q61" s="42">
        <f t="shared" si="11"/>
        <v>263958.98</v>
      </c>
      <c r="R61" s="35"/>
      <c r="U61" s="23"/>
    </row>
    <row r="62" spans="1:29" ht="68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40"/>
      <c r="S62" s="51" t="s">
        <v>20</v>
      </c>
      <c r="T62" s="51"/>
      <c r="U62" s="51"/>
      <c r="V62" s="51"/>
      <c r="W62" s="51"/>
      <c r="X62" s="51"/>
      <c r="Y62" s="51"/>
    </row>
    <row r="63" spans="1:29" ht="27" customHeight="1">
      <c r="A63" s="52"/>
      <c r="B63" s="34"/>
      <c r="C63" s="34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17"/>
      <c r="T63" s="54" t="s">
        <v>18</v>
      </c>
      <c r="U63" s="54" t="s">
        <v>14</v>
      </c>
      <c r="V63" s="46" t="s">
        <v>13</v>
      </c>
      <c r="W63" s="43" t="s">
        <v>11</v>
      </c>
      <c r="X63" s="43"/>
      <c r="Y63" s="43" t="s">
        <v>19</v>
      </c>
      <c r="Z63" s="48" t="s">
        <v>21</v>
      </c>
      <c r="AA63" s="2"/>
      <c r="AB63" s="2"/>
      <c r="AC63" s="2"/>
    </row>
    <row r="64" spans="1:29" ht="27" customHeight="1">
      <c r="A64" s="53"/>
      <c r="B64" s="34"/>
      <c r="C64" s="34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17"/>
      <c r="T64" s="54"/>
      <c r="U64" s="54"/>
      <c r="V64" s="46"/>
      <c r="W64" s="38" t="s">
        <v>10</v>
      </c>
      <c r="X64" s="28" t="s">
        <v>15</v>
      </c>
      <c r="Y64" s="43"/>
      <c r="Z64" s="48"/>
      <c r="AA64" s="12" t="s">
        <v>12</v>
      </c>
    </row>
    <row r="65" spans="1:29" ht="26" customHeight="1">
      <c r="A65" s="53"/>
      <c r="B65" s="34"/>
      <c r="C65" s="34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18" t="s">
        <v>0</v>
      </c>
      <c r="T65" s="11">
        <f>'[20]24年预算执行'!$AB$86</f>
        <v>179.39573426573429</v>
      </c>
      <c r="U65" s="16">
        <f>27000000/5/365/165</f>
        <v>89.663760896637612</v>
      </c>
      <c r="V65" s="16">
        <f>475000/30/165</f>
        <v>95.959595959595958</v>
      </c>
      <c r="W65" s="16">
        <f>U65+V65</f>
        <v>185.62335685623356</v>
      </c>
      <c r="X65" s="16">
        <f>W65*165*30/10000</f>
        <v>91.883561643835606</v>
      </c>
      <c r="Y65" s="16">
        <f>SUM(T65:V65)</f>
        <v>365.01909112196785</v>
      </c>
      <c r="Z65" s="24">
        <f>(T65+U65+V65)*165*30/10000</f>
        <v>180.68445010537408</v>
      </c>
      <c r="AA65" s="13">
        <f>27000000/10/365/165</f>
        <v>44.831880448318806</v>
      </c>
      <c r="AB65" s="14">
        <f>AA65+V65</f>
        <v>140.79147640791476</v>
      </c>
      <c r="AC65" s="13">
        <f>AB65*165*30</f>
        <v>696917.808219178</v>
      </c>
    </row>
    <row r="66" spans="1:29" ht="26" customHeight="1">
      <c r="R66" s="37"/>
      <c r="S66" s="18" t="s">
        <v>1</v>
      </c>
      <c r="T66" s="11">
        <f>[21]预算执行!$F$14</f>
        <v>139.57993946731236</v>
      </c>
      <c r="U66" s="16">
        <f>15000000/5/365/129</f>
        <v>63.714558776680462</v>
      </c>
      <c r="V66" s="16">
        <f>383778/30/129</f>
        <v>99.167441860465118</v>
      </c>
      <c r="W66" s="16">
        <f>U66+V66</f>
        <v>162.88200063714558</v>
      </c>
      <c r="X66" s="16">
        <f>W66*129*30/10000</f>
        <v>63.035334246575346</v>
      </c>
      <c r="Y66" s="16">
        <f>SUM(T66:V66)</f>
        <v>302.46194010445794</v>
      </c>
      <c r="Z66" s="24">
        <f>(T66+U66+V66)*129*30/10000</f>
        <v>117.05277082042522</v>
      </c>
      <c r="AA66" s="13">
        <f>15000000/10/365/129</f>
        <v>31.857279388340231</v>
      </c>
      <c r="AB66" s="14">
        <f>AA66+V66</f>
        <v>131.02472124880535</v>
      </c>
      <c r="AC66" s="13">
        <f>AB66*129*30</f>
        <v>507065.67123287672</v>
      </c>
    </row>
    <row r="67" spans="1:29" ht="26" customHeight="1">
      <c r="R67" s="37"/>
      <c r="S67" s="18" t="s">
        <v>2</v>
      </c>
      <c r="T67" s="28">
        <v>140</v>
      </c>
      <c r="U67" s="28" t="s">
        <v>16</v>
      </c>
      <c r="V67" s="28" t="s">
        <v>16</v>
      </c>
      <c r="W67" s="28"/>
      <c r="X67" s="28"/>
      <c r="Y67" s="28"/>
      <c r="Z67" s="28"/>
      <c r="AA67" s="15">
        <v>33</v>
      </c>
    </row>
  </sheetData>
  <mergeCells count="44">
    <mergeCell ref="B15:B17"/>
    <mergeCell ref="B19:B21"/>
    <mergeCell ref="B18:O18"/>
    <mergeCell ref="Z63:Z64"/>
    <mergeCell ref="A50:O50"/>
    <mergeCell ref="A62:Q62"/>
    <mergeCell ref="S62:Y62"/>
    <mergeCell ref="A63:A65"/>
    <mergeCell ref="W63:X63"/>
    <mergeCell ref="T63:T64"/>
    <mergeCell ref="U63:U64"/>
    <mergeCell ref="V63:V64"/>
    <mergeCell ref="Y63:Y64"/>
    <mergeCell ref="B59:B61"/>
    <mergeCell ref="A51:A61"/>
    <mergeCell ref="B35:B37"/>
    <mergeCell ref="A1:O1"/>
    <mergeCell ref="A14:O14"/>
    <mergeCell ref="A26:O26"/>
    <mergeCell ref="A38:O38"/>
    <mergeCell ref="B3:B5"/>
    <mergeCell ref="B7:B9"/>
    <mergeCell ref="B11:B13"/>
    <mergeCell ref="A3:A13"/>
    <mergeCell ref="B23:B25"/>
    <mergeCell ref="B22:O22"/>
    <mergeCell ref="A15:A25"/>
    <mergeCell ref="A27:A37"/>
    <mergeCell ref="B27:B29"/>
    <mergeCell ref="B31:B33"/>
    <mergeCell ref="B6:O6"/>
    <mergeCell ref="B10:O10"/>
    <mergeCell ref="B30:O30"/>
    <mergeCell ref="B34:O34"/>
    <mergeCell ref="B39:B41"/>
    <mergeCell ref="B42:O42"/>
    <mergeCell ref="A39:A49"/>
    <mergeCell ref="B46:O46"/>
    <mergeCell ref="B43:B45"/>
    <mergeCell ref="B58:O58"/>
    <mergeCell ref="B54:O54"/>
    <mergeCell ref="B51:B53"/>
    <mergeCell ref="B55:B57"/>
    <mergeCell ref="B47:B49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酒店历年情况</vt:lpstr>
    </vt:vector>
  </TitlesOfParts>
  <Company>熙科置业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壮志 周</dc:creator>
  <cp:lastModifiedBy>壮志 周</cp:lastModifiedBy>
  <dcterms:created xsi:type="dcterms:W3CDTF">2023-07-12T02:25:45Z</dcterms:created>
  <dcterms:modified xsi:type="dcterms:W3CDTF">2025-06-01T07:20:19Z</dcterms:modified>
</cp:coreProperties>
</file>