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505" yWindow="-15" windowWidth="14310" windowHeight="12855"/>
  </bookViews>
  <sheets>
    <sheet name="High Dose Extended Interval" sheetId="1" r:id="rId1"/>
    <sheet name="Conventional" sheetId="2" r:id="rId2"/>
    <sheet name="HDEI Calculations" sheetId="4" r:id="rId3"/>
    <sheet name="Conventional Calculations" sheetId="5" r:id="rId4"/>
  </sheets>
  <calcPr calcId="145621"/>
</workbook>
</file>

<file path=xl/calcChain.xml><?xml version="1.0" encoding="utf-8"?>
<calcChain xmlns="http://schemas.openxmlformats.org/spreadsheetml/2006/main">
  <c r="H3" i="5" l="1"/>
  <c r="H4" i="5"/>
  <c r="H5" i="5"/>
  <c r="H6" i="5"/>
  <c r="H11" i="5"/>
  <c r="H12" i="5"/>
  <c r="H13" i="5"/>
  <c r="H14" i="5"/>
  <c r="E17" i="5"/>
  <c r="E18" i="5"/>
  <c r="E15" i="5"/>
  <c r="E14" i="5"/>
  <c r="E13" i="5"/>
  <c r="E12" i="5"/>
  <c r="E11" i="5"/>
  <c r="E10" i="5"/>
  <c r="B9" i="5"/>
  <c r="E2" i="4" l="1"/>
  <c r="E6" i="4" l="1"/>
  <c r="D17" i="2"/>
  <c r="H8" i="5"/>
  <c r="H12" i="2" s="1"/>
  <c r="D20" i="2"/>
  <c r="D21" i="2"/>
  <c r="D18" i="2"/>
  <c r="D19" i="2"/>
  <c r="D9" i="5"/>
  <c r="E5" i="5"/>
  <c r="D17" i="5" l="1"/>
  <c r="D11" i="5"/>
  <c r="D15" i="2" s="1"/>
  <c r="E20" i="5"/>
  <c r="E21" i="5" s="1"/>
  <c r="D12" i="5"/>
  <c r="D16" i="2" s="1"/>
  <c r="E19" i="5"/>
  <c r="H15" i="5"/>
  <c r="E16" i="5"/>
  <c r="H7" i="5"/>
  <c r="H11" i="2" s="1"/>
  <c r="D14" i="5"/>
  <c r="D18" i="5"/>
  <c r="D15" i="5"/>
  <c r="H16" i="5" l="1"/>
  <c r="H20" i="2" s="1"/>
  <c r="H19" i="2"/>
  <c r="E22" i="5"/>
  <c r="E25" i="5" s="1"/>
  <c r="E24" i="5" l="1"/>
  <c r="E22" i="2"/>
  <c r="E23" i="5"/>
  <c r="E23" i="2" s="1"/>
  <c r="B13" i="5"/>
  <c r="B3" i="5"/>
  <c r="B4" i="5"/>
  <c r="B5" i="5"/>
  <c r="B2" i="5"/>
  <c r="B9" i="4"/>
  <c r="E11" i="4"/>
  <c r="E12" i="4"/>
  <c r="L5" i="4"/>
  <c r="K5" i="4"/>
  <c r="L4" i="4"/>
  <c r="K4" i="4"/>
  <c r="L3" i="4"/>
  <c r="K3" i="4"/>
  <c r="E13" i="4"/>
  <c r="E14" i="4"/>
  <c r="B5" i="4"/>
  <c r="B4" i="4"/>
  <c r="B3" i="4"/>
  <c r="B2" i="4"/>
  <c r="O6" i="4" l="1"/>
  <c r="E26" i="5"/>
  <c r="E24" i="2" s="1"/>
  <c r="B6" i="5"/>
  <c r="B7" i="5" s="1"/>
  <c r="B8" i="5" s="1"/>
  <c r="N6" i="4"/>
  <c r="N4" i="4"/>
  <c r="O4" i="4" s="1"/>
  <c r="N5" i="4"/>
  <c r="O5" i="4" s="1"/>
  <c r="N3" i="4"/>
  <c r="O3" i="4" s="1"/>
  <c r="B6" i="4"/>
  <c r="A8" i="4" s="1"/>
  <c r="B14" i="5" l="1"/>
  <c r="B18" i="5"/>
  <c r="B20" i="2" s="1"/>
  <c r="B16" i="2"/>
  <c r="B10" i="2"/>
  <c r="E15" i="4"/>
  <c r="H10" i="1" s="1"/>
  <c r="E6" i="5"/>
  <c r="E10" i="2" s="1"/>
  <c r="A8" i="5"/>
  <c r="A10" i="2" s="1"/>
  <c r="B10" i="5"/>
  <c r="B19" i="5" s="1"/>
  <c r="A10" i="1"/>
  <c r="B7" i="4"/>
  <c r="B8" i="4"/>
  <c r="E7" i="4" s="1"/>
  <c r="E3" i="5" l="1"/>
  <c r="E4" i="5" s="1"/>
  <c r="B21" i="2"/>
  <c r="B12" i="2"/>
  <c r="B10" i="4"/>
  <c r="B10" i="1"/>
  <c r="E11" i="1"/>
  <c r="E8" i="4" l="1"/>
  <c r="E12" i="1" s="1"/>
  <c r="B12" i="1"/>
  <c r="E8" i="2"/>
  <c r="E7" i="2"/>
</calcChain>
</file>

<file path=xl/comments1.xml><?xml version="1.0" encoding="utf-8"?>
<comments xmlns="http://schemas.openxmlformats.org/spreadsheetml/2006/main">
  <authors>
    <author>Joshua R Torrance</author>
  </authors>
  <commentList>
    <comment ref="D5" authorId="0">
      <text>
        <r>
          <rPr>
            <sz val="9"/>
            <color indexed="81"/>
            <rFont val="Tahoma"/>
            <family val="2"/>
          </rPr>
          <t xml:space="preserve">Adjusts dose based off serum level using the Hartford Nomogram
</t>
        </r>
        <r>
          <rPr>
            <b/>
            <sz val="9"/>
            <color indexed="81"/>
            <rFont val="Tahoma"/>
            <family val="2"/>
          </rPr>
          <t>NB:</t>
        </r>
        <r>
          <rPr>
            <sz val="9"/>
            <color indexed="81"/>
            <rFont val="Tahoma"/>
            <family val="2"/>
          </rPr>
          <t xml:space="preserve"> Only validated for gentamicin and tobramycin 7 mg/kg - cannot use for amikacin; the spreadsheet will correct for other doses, but this is validated and must be used with clinical judgement</t>
        </r>
      </text>
    </comment>
    <comment ref="G5" authorId="0">
      <text>
        <r>
          <rPr>
            <sz val="9"/>
            <color indexed="81"/>
            <rFont val="Tahoma"/>
            <family val="2"/>
          </rPr>
          <t xml:space="preserve">Adjusts dose based off serum level using the Hartford Nomogram
</t>
        </r>
        <r>
          <rPr>
            <b/>
            <sz val="9"/>
            <color indexed="81"/>
            <rFont val="Tahoma"/>
            <family val="2"/>
          </rPr>
          <t>Assumptions:</t>
        </r>
        <r>
          <rPr>
            <sz val="9"/>
            <color indexed="81"/>
            <rFont val="Tahoma"/>
            <family val="2"/>
          </rPr>
          <t xml:space="preserve"> Vd = 0.3 L/kg
</t>
        </r>
        <r>
          <rPr>
            <b/>
            <sz val="9"/>
            <color indexed="81"/>
            <rFont val="Tahoma"/>
            <family val="2"/>
          </rPr>
          <t>NB:</t>
        </r>
        <r>
          <rPr>
            <sz val="9"/>
            <color indexed="81"/>
            <rFont val="Tahoma"/>
            <family val="2"/>
          </rPr>
          <t xml:space="preserve"> Only validated for gentamicin and tobramycin 7 mg/kg or amikacin 15 mg/kg - the spreadsheet will correct for other doses, but this is not validated and must be used with clinical judgement</t>
        </r>
      </text>
    </comment>
    <comment ref="H6" authorId="0">
      <text>
        <r>
          <rPr>
            <sz val="12"/>
            <color indexed="81"/>
            <rFont val="Calibri"/>
            <family val="2"/>
            <scheme val="minor"/>
          </rPr>
          <t xml:space="preserve">If level is &lt; 2 mg/L leave at same interval unless patient is seriously ill or not improving
</t>
        </r>
      </text>
    </comment>
    <comment ref="D8" authorId="0">
      <text>
        <r>
          <rPr>
            <sz val="11"/>
            <color indexed="81"/>
            <rFont val="Calibri"/>
            <family val="2"/>
            <scheme val="minor"/>
          </rPr>
          <t>Empiric dosing recommendations based on weight and SCr</t>
        </r>
      </text>
    </comment>
    <comment ref="D9" authorId="0">
      <text>
        <r>
          <rPr>
            <sz val="11"/>
            <color indexed="81"/>
            <rFont val="Tahoma"/>
            <family val="2"/>
          </rPr>
          <t xml:space="preserve">Dose of 25-30 mg/kg (ABW) with no max; proceed with maintenance dose as per interval calculated below
</t>
        </r>
        <r>
          <rPr>
            <u/>
            <sz val="11"/>
            <color indexed="81"/>
            <rFont val="Tahoma"/>
            <family val="2"/>
          </rPr>
          <t>Recommended for:</t>
        </r>
        <r>
          <rPr>
            <sz val="11"/>
            <color indexed="81"/>
            <rFont val="Tahoma"/>
            <family val="2"/>
          </rPr>
          <t xml:space="preserve">
  - Severe infections where rapid attainment of target trough level of 15-20 mg/L is desired (e.g. vertebral osteomyelitis, MRSA pneumonia, epidural abscess, septic shock)
  - Patients with significant renal dysfunction in order to decrease time to target trough</t>
        </r>
      </text>
    </comment>
    <comment ref="A10" authorId="0">
      <text>
        <r>
          <rPr>
            <sz val="11"/>
            <color indexed="81"/>
            <rFont val="Tahoma"/>
            <family val="2"/>
          </rPr>
          <t>IBW should be used except when:
  - ABW &lt; IBW, then use ABW
  - ABW &gt; 130% x IBW, then use DW</t>
        </r>
      </text>
    </comment>
    <comment ref="E10" authorId="0">
      <text>
        <r>
          <rPr>
            <sz val="9"/>
            <color indexed="81"/>
            <rFont val="Tahoma"/>
            <family val="2"/>
          </rPr>
          <t>Gentamicin/Tobramycin: 5-7 mg/kg
Amikacin: 15 mg/kg</t>
        </r>
      </text>
    </comment>
    <comment ref="H10" authorId="0">
      <text>
        <r>
          <rPr>
            <sz val="11"/>
            <color indexed="81"/>
            <rFont val="Calibri"/>
            <family val="2"/>
            <scheme val="minor"/>
          </rPr>
          <t>If level is above the Q48H interval it is recommended to discontinue extended interval dosing and switch to conventional dosing
1) Hold next dose and obtain level in 24 hours
2) Use values to calculate patient PK values and recommend new dose</t>
        </r>
      </text>
    </comment>
    <comment ref="B11" authorId="0">
      <text>
        <r>
          <rPr>
            <sz val="11"/>
            <color indexed="81"/>
            <rFont val="Calibri"/>
            <family val="2"/>
            <scheme val="minor"/>
          </rPr>
          <t>Consider SCr = 88.4 μmol/L in the frail elderly</t>
        </r>
      </text>
    </comment>
    <comment ref="E12" authorId="0">
      <text>
        <r>
          <rPr>
            <sz val="11"/>
            <color indexed="81"/>
            <rFont val="Calibri"/>
            <family val="2"/>
            <scheme val="minor"/>
          </rPr>
          <t>CrCl ≥ 60 mL/min: Q24H
CrCl = 40-59 mL/min: Q36H
CrCl = 20-39 mL/min: Q48H
CrCl &lt; 20 mL/min: use conventional dosing</t>
        </r>
      </text>
    </comment>
  </commentList>
</comments>
</file>

<file path=xl/comments2.xml><?xml version="1.0" encoding="utf-8"?>
<comments xmlns="http://schemas.openxmlformats.org/spreadsheetml/2006/main">
  <authors>
    <author>Joshua R Torrance</author>
  </authors>
  <commentList>
    <comment ref="D5" authorId="0">
      <text>
        <r>
          <rPr>
            <sz val="11"/>
            <color indexed="81"/>
            <rFont val="Calibri"/>
            <family val="2"/>
            <scheme val="minor"/>
          </rPr>
          <t xml:space="preserve">Consider calculating PK calculation if the levels achieved with dosing adjustments is out of proportion to expectations
</t>
        </r>
        <r>
          <rPr>
            <u/>
            <sz val="11"/>
            <color indexed="81"/>
            <rFont val="Calibri"/>
            <family val="2"/>
            <scheme val="minor"/>
          </rPr>
          <t>Examples:</t>
        </r>
        <r>
          <rPr>
            <sz val="11"/>
            <color indexed="81"/>
            <rFont val="Calibri"/>
            <family val="2"/>
            <scheme val="minor"/>
          </rPr>
          <t xml:space="preserve">
  - Known or suspected severely altered V</t>
        </r>
        <r>
          <rPr>
            <sz val="9"/>
            <color indexed="81"/>
            <rFont val="Calibri"/>
            <family val="2"/>
            <scheme val="minor"/>
          </rPr>
          <t>d</t>
        </r>
        <r>
          <rPr>
            <sz val="11"/>
            <color indexed="81"/>
            <rFont val="Calibri"/>
            <family val="2"/>
            <scheme val="minor"/>
          </rPr>
          <t xml:space="preserve"> (neonates, critically ill, significant burns)
  - Known or suspected extremes in renal function</t>
        </r>
      </text>
    </comment>
    <comment ref="D6" authorId="0">
      <text>
        <r>
          <rPr>
            <sz val="11"/>
            <color indexed="81"/>
            <rFont val="Calibri"/>
            <family val="2"/>
            <scheme val="minor"/>
          </rPr>
          <t>This is used to calculate the estimated PK values for your patient based on CrCl and the estimates entered below</t>
        </r>
      </text>
    </comment>
    <comment ref="G6" authorId="0">
      <text>
        <r>
          <rPr>
            <sz val="11"/>
            <color indexed="81"/>
            <rFont val="Calibri"/>
            <family val="2"/>
            <scheme val="minor"/>
          </rPr>
          <t>This lets you estimate your C</t>
        </r>
        <r>
          <rPr>
            <sz val="9"/>
            <color indexed="81"/>
            <rFont val="Calibri"/>
            <family val="2"/>
            <scheme val="minor"/>
          </rPr>
          <t>max</t>
        </r>
        <r>
          <rPr>
            <sz val="11"/>
            <color indexed="81"/>
            <rFont val="Calibri"/>
            <family val="2"/>
            <scheme val="minor"/>
          </rPr>
          <t xml:space="preserve"> and C</t>
        </r>
        <r>
          <rPr>
            <sz val="9"/>
            <color indexed="81"/>
            <rFont val="Calibri"/>
            <family val="2"/>
            <scheme val="minor"/>
          </rPr>
          <t>min</t>
        </r>
        <r>
          <rPr>
            <sz val="11"/>
            <color indexed="81"/>
            <rFont val="Calibri"/>
            <family val="2"/>
            <scheme val="minor"/>
          </rPr>
          <t xml:space="preserve"> for a given Weight, Dose, Frequency, V</t>
        </r>
        <r>
          <rPr>
            <sz val="9"/>
            <color indexed="81"/>
            <rFont val="Calibri"/>
            <family val="2"/>
            <scheme val="minor"/>
          </rPr>
          <t>d</t>
        </r>
        <r>
          <rPr>
            <sz val="11"/>
            <color indexed="81"/>
            <rFont val="Calibri"/>
            <family val="2"/>
            <scheme val="minor"/>
          </rPr>
          <t>, and k</t>
        </r>
        <r>
          <rPr>
            <sz val="9"/>
            <color indexed="81"/>
            <rFont val="Calibri"/>
            <family val="2"/>
            <scheme val="minor"/>
          </rPr>
          <t>e</t>
        </r>
      </text>
    </comment>
    <comment ref="H7" authorId="0">
      <text>
        <r>
          <rPr>
            <b/>
            <sz val="11"/>
            <color indexed="81"/>
            <rFont val="Calibri"/>
            <family val="2"/>
            <scheme val="minor"/>
          </rPr>
          <t xml:space="preserve">Gentamicin/Tobramycin
</t>
        </r>
        <r>
          <rPr>
            <sz val="11"/>
            <color indexed="81"/>
            <rFont val="Calibri"/>
            <family val="2"/>
            <scheme val="minor"/>
          </rPr>
          <t xml:space="preserve">     - Synergy for Gram positive infections: N/A
     - Lower UTI: 3-4 mg/L
     - PID/chorioamnionitis: 6-7 mg/L
     - Pyelonephritis: 6-7 mg/L
     - Peritonitis: 6-7 mg/L
     - Soft tissue infections: 6-7 mg/L
     - Sepsis: 8-11 mg/L
     - Neutropenia: 8-11 mg/L
     - Burns: 8-11 mg/L
     - Pneumonia: 8-11 mg/L
     - Pseudomonas infections (non-urinary): 8-11 mg/L
     - Cystic Fibrosis: 12-15 mg/L
</t>
        </r>
        <r>
          <rPr>
            <b/>
            <sz val="11"/>
            <color indexed="81"/>
            <rFont val="Calibri"/>
            <family val="2"/>
            <scheme val="minor"/>
          </rPr>
          <t>Amikacin</t>
        </r>
        <r>
          <rPr>
            <sz val="11"/>
            <color indexed="81"/>
            <rFont val="Calibri"/>
            <family val="2"/>
            <scheme val="minor"/>
          </rPr>
          <t xml:space="preserve">
     - Moderate infections: 20-25 mg/L
     - Severe infections: 25-30 mg/L</t>
        </r>
      </text>
    </comment>
    <comment ref="H8" authorId="0">
      <text>
        <r>
          <rPr>
            <b/>
            <sz val="11"/>
            <color indexed="81"/>
            <rFont val="Calibri"/>
            <family val="2"/>
            <scheme val="minor"/>
          </rPr>
          <t>Gentamicin/Tobramycin</t>
        </r>
        <r>
          <rPr>
            <sz val="11"/>
            <color indexed="81"/>
            <rFont val="Calibri"/>
            <family val="2"/>
            <scheme val="minor"/>
          </rPr>
          <t xml:space="preserve">
     - Synergy for Gram positive infections: &lt; 1 mg/L
     - Lower UTI: &lt; 1 mg/L
     - PID/chorioamnionitis: &lt; 2 mg/L
     - Pyelonephritis: &lt; 2 mg/L
     - Peritonitis: &lt; 2 mg/L
     - Soft tissue infections: &lt; 2 mg/L
     - Sepsis: &lt; 2 mg/L
     - Neutropenia: &lt; 2 mg/L
     - Burns: &lt; 2 mg/L
     - Pneumonia: &lt; 2 mg/L
     - Pseudomonas infections (non-urinary): &lt; 2 mg/L
     - Cystic Fibrosis: &lt; 2 mg/L
</t>
        </r>
        <r>
          <rPr>
            <b/>
            <sz val="11"/>
            <color indexed="81"/>
            <rFont val="Calibri"/>
            <family val="2"/>
            <scheme val="minor"/>
          </rPr>
          <t>Amikacin</t>
        </r>
        <r>
          <rPr>
            <sz val="11"/>
            <color indexed="81"/>
            <rFont val="Calibri"/>
            <family val="2"/>
            <scheme val="minor"/>
          </rPr>
          <t xml:space="preserve">
     - Moderate infections: &lt; 4 mg/L
     - Severe infections: &lt; 8 mg/L</t>
        </r>
      </text>
    </comment>
    <comment ref="E9" authorId="0">
      <text>
        <r>
          <rPr>
            <sz val="11"/>
            <color indexed="81"/>
            <rFont val="Calibri"/>
            <family val="2"/>
            <scheme val="minor"/>
          </rPr>
          <t>Vd ranges from 0.25-0.35 L/kg
Uses ABW for most patients and DW in obese patients</t>
        </r>
      </text>
    </comment>
    <comment ref="A10" authorId="0">
      <text>
        <r>
          <rPr>
            <sz val="11"/>
            <color indexed="81"/>
            <rFont val="Tahoma"/>
            <family val="2"/>
          </rPr>
          <t>IBW should be used except when:
  - ABW &lt; IBW, then use ABW
  - ABW &gt; 130% x IBW, then use DW</t>
        </r>
      </text>
    </comment>
    <comment ref="B11" authorId="0">
      <text>
        <r>
          <rPr>
            <sz val="11"/>
            <color indexed="81"/>
            <rFont val="Calibri"/>
            <family val="2"/>
            <scheme val="minor"/>
          </rPr>
          <t>Consider SCr = 88.4 μmol/L in the frail elderly</t>
        </r>
      </text>
    </comment>
    <comment ref="D12" authorId="0">
      <text>
        <r>
          <rPr>
            <sz val="11"/>
            <color indexed="81"/>
            <rFont val="Calibri"/>
            <family val="2"/>
            <scheme val="minor"/>
          </rPr>
          <t>Used to calculate patient-specific PK values through two methods:
     - A peak and trough reading before/after the same infusion
     - Two serum levels with no infusion between them</t>
        </r>
      </text>
    </comment>
    <comment ref="G14" authorId="0">
      <text>
        <r>
          <rPr>
            <sz val="11"/>
            <color indexed="81"/>
            <rFont val="Calibri"/>
            <family val="2"/>
            <scheme val="minor"/>
          </rPr>
          <t>This lets you estimate your C</t>
        </r>
        <r>
          <rPr>
            <sz val="9"/>
            <color indexed="81"/>
            <rFont val="Calibri"/>
            <family val="2"/>
            <scheme val="minor"/>
          </rPr>
          <t>max</t>
        </r>
        <r>
          <rPr>
            <sz val="11"/>
            <color indexed="81"/>
            <rFont val="Calibri"/>
            <family val="2"/>
            <scheme val="minor"/>
          </rPr>
          <t xml:space="preserve"> and C</t>
        </r>
        <r>
          <rPr>
            <sz val="9"/>
            <color indexed="81"/>
            <rFont val="Calibri"/>
            <family val="2"/>
            <scheme val="minor"/>
          </rPr>
          <t>min</t>
        </r>
        <r>
          <rPr>
            <sz val="11"/>
            <color indexed="81"/>
            <rFont val="Calibri"/>
            <family val="2"/>
            <scheme val="minor"/>
          </rPr>
          <t xml:space="preserve"> for a given Weight, Dose, Frequency, V</t>
        </r>
        <r>
          <rPr>
            <sz val="9"/>
            <color indexed="81"/>
            <rFont val="Calibri"/>
            <family val="2"/>
            <scheme val="minor"/>
          </rPr>
          <t>d</t>
        </r>
        <r>
          <rPr>
            <sz val="11"/>
            <color indexed="81"/>
            <rFont val="Calibri"/>
            <family val="2"/>
            <scheme val="minor"/>
          </rPr>
          <t>, and k</t>
        </r>
        <r>
          <rPr>
            <sz val="9"/>
            <color indexed="81"/>
            <rFont val="Calibri"/>
            <family val="2"/>
            <scheme val="minor"/>
          </rPr>
          <t>e</t>
        </r>
      </text>
    </comment>
    <comment ref="B19" authorId="0">
      <text>
        <r>
          <rPr>
            <sz val="11"/>
            <color indexed="81"/>
            <rFont val="Calibri"/>
            <family val="2"/>
            <scheme val="minor"/>
          </rPr>
          <t>Maintenance Dose = 1.5-2 mg/kg (based on the calculated weight above)
Round dose to the nearest 10 mg</t>
        </r>
      </text>
    </comment>
  </commentList>
</comments>
</file>

<file path=xl/comments3.xml><?xml version="1.0" encoding="utf-8"?>
<comments xmlns="http://schemas.openxmlformats.org/spreadsheetml/2006/main">
  <authors>
    <author>Joshua R Torrance</author>
  </authors>
  <commentList>
    <comment ref="D1" authorId="0">
      <text>
        <r>
          <rPr>
            <sz val="9"/>
            <color indexed="81"/>
            <rFont val="Tahoma"/>
            <family val="2"/>
          </rPr>
          <t xml:space="preserve">Adjusts dose based off serum level using the Hartford Nomogram
</t>
        </r>
        <r>
          <rPr>
            <b/>
            <sz val="9"/>
            <color indexed="81"/>
            <rFont val="Tahoma"/>
            <family val="2"/>
          </rPr>
          <t>NB:</t>
        </r>
        <r>
          <rPr>
            <sz val="9"/>
            <color indexed="81"/>
            <rFont val="Tahoma"/>
            <family val="2"/>
          </rPr>
          <t xml:space="preserve"> Only validated for gentamicin and tobramycin 7 mg/kg - cannot use for amikacin; the spreadsheet will correct for other doses, but this is validated and must be used with clinical judgement</t>
        </r>
      </text>
    </comment>
  </commentList>
</comments>
</file>

<file path=xl/comments4.xml><?xml version="1.0" encoding="utf-8"?>
<comments xmlns="http://schemas.openxmlformats.org/spreadsheetml/2006/main">
  <authors>
    <author>Joshua R Torrance</author>
  </authors>
  <commentList>
    <comment ref="D1" authorId="0">
      <text>
        <r>
          <rPr>
            <sz val="11"/>
            <color indexed="81"/>
            <rFont val="Calibri"/>
            <family val="2"/>
            <scheme val="minor"/>
          </rPr>
          <t xml:space="preserve">Consider calculating PK calculation if the levels achieved with dosing adjustments is out of proportion to expectations
</t>
        </r>
        <r>
          <rPr>
            <u/>
            <sz val="11"/>
            <color indexed="81"/>
            <rFont val="Calibri"/>
            <family val="2"/>
            <scheme val="minor"/>
          </rPr>
          <t>Examples:</t>
        </r>
        <r>
          <rPr>
            <sz val="11"/>
            <color indexed="81"/>
            <rFont val="Calibri"/>
            <family val="2"/>
            <scheme val="minor"/>
          </rPr>
          <t xml:space="preserve">
  - Known or suspected severely altered V</t>
        </r>
        <r>
          <rPr>
            <sz val="9"/>
            <color indexed="81"/>
            <rFont val="Calibri"/>
            <family val="2"/>
            <scheme val="minor"/>
          </rPr>
          <t>d</t>
        </r>
        <r>
          <rPr>
            <sz val="11"/>
            <color indexed="81"/>
            <rFont val="Calibri"/>
            <family val="2"/>
            <scheme val="minor"/>
          </rPr>
          <t xml:space="preserve"> (neonates, critically ill, significant burns)
  - Known or suspected extremes in renal function</t>
        </r>
      </text>
    </comment>
    <comment ref="D2" authorId="0">
      <text>
        <r>
          <rPr>
            <sz val="11"/>
            <color indexed="81"/>
            <rFont val="Calibri"/>
            <family val="2"/>
            <scheme val="minor"/>
          </rPr>
          <t>This is used to calculate the estimated PK values for your patient based on CrCl and the estimates entered below</t>
        </r>
      </text>
    </comment>
    <comment ref="G2" authorId="0">
      <text>
        <r>
          <rPr>
            <sz val="11"/>
            <color indexed="81"/>
            <rFont val="Calibri"/>
            <family val="2"/>
            <scheme val="minor"/>
          </rPr>
          <t>This lets you estimate your C</t>
        </r>
        <r>
          <rPr>
            <sz val="9"/>
            <color indexed="81"/>
            <rFont val="Calibri"/>
            <family val="2"/>
            <scheme val="minor"/>
          </rPr>
          <t>max</t>
        </r>
        <r>
          <rPr>
            <sz val="11"/>
            <color indexed="81"/>
            <rFont val="Calibri"/>
            <family val="2"/>
            <scheme val="minor"/>
          </rPr>
          <t xml:space="preserve"> and C</t>
        </r>
        <r>
          <rPr>
            <sz val="9"/>
            <color indexed="81"/>
            <rFont val="Calibri"/>
            <family val="2"/>
            <scheme val="minor"/>
          </rPr>
          <t>min</t>
        </r>
        <r>
          <rPr>
            <sz val="11"/>
            <color indexed="81"/>
            <rFont val="Calibri"/>
            <family val="2"/>
            <scheme val="minor"/>
          </rPr>
          <t xml:space="preserve"> for a given Weight, Dose, Frequency, V</t>
        </r>
        <r>
          <rPr>
            <sz val="9"/>
            <color indexed="81"/>
            <rFont val="Calibri"/>
            <family val="2"/>
            <scheme val="minor"/>
          </rPr>
          <t>d</t>
        </r>
        <r>
          <rPr>
            <sz val="11"/>
            <color indexed="81"/>
            <rFont val="Calibri"/>
            <family val="2"/>
            <scheme val="minor"/>
          </rPr>
          <t>, and k</t>
        </r>
        <r>
          <rPr>
            <sz val="9"/>
            <color indexed="81"/>
            <rFont val="Calibri"/>
            <family val="2"/>
            <scheme val="minor"/>
          </rPr>
          <t>e</t>
        </r>
      </text>
    </comment>
    <comment ref="E5" authorId="0">
      <text>
        <r>
          <rPr>
            <sz val="11"/>
            <color indexed="81"/>
            <rFont val="Calibri"/>
            <family val="2"/>
            <scheme val="minor"/>
          </rPr>
          <t>Vd ranges from 0.25-0.35 L/kg
Uses ABW for most patients and DW in obese patients</t>
        </r>
      </text>
    </comment>
    <comment ref="D8" authorId="0">
      <text>
        <r>
          <rPr>
            <sz val="11"/>
            <color indexed="81"/>
            <rFont val="Calibri"/>
            <family val="2"/>
            <scheme val="minor"/>
          </rPr>
          <t>Used to calculate patient-specific PK values through two methods:
     - A peak and trough reading before/after the same infusion
     - Two serum levels with no infusion between them</t>
        </r>
      </text>
    </comment>
    <comment ref="G10" authorId="0">
      <text>
        <r>
          <rPr>
            <sz val="11"/>
            <color indexed="81"/>
            <rFont val="Calibri"/>
            <family val="2"/>
            <scheme val="minor"/>
          </rPr>
          <t>This lets you estimate your C</t>
        </r>
        <r>
          <rPr>
            <sz val="9"/>
            <color indexed="81"/>
            <rFont val="Calibri"/>
            <family val="2"/>
            <scheme val="minor"/>
          </rPr>
          <t>max</t>
        </r>
        <r>
          <rPr>
            <sz val="11"/>
            <color indexed="81"/>
            <rFont val="Calibri"/>
            <family val="2"/>
            <scheme val="minor"/>
          </rPr>
          <t xml:space="preserve"> and C</t>
        </r>
        <r>
          <rPr>
            <sz val="9"/>
            <color indexed="81"/>
            <rFont val="Calibri"/>
            <family val="2"/>
            <scheme val="minor"/>
          </rPr>
          <t>min</t>
        </r>
        <r>
          <rPr>
            <sz val="11"/>
            <color indexed="81"/>
            <rFont val="Calibri"/>
            <family val="2"/>
            <scheme val="minor"/>
          </rPr>
          <t xml:space="preserve"> for a given Weight, Dose, Frequency, V</t>
        </r>
        <r>
          <rPr>
            <sz val="9"/>
            <color indexed="81"/>
            <rFont val="Calibri"/>
            <family val="2"/>
            <scheme val="minor"/>
          </rPr>
          <t>d</t>
        </r>
        <r>
          <rPr>
            <sz val="11"/>
            <color indexed="81"/>
            <rFont val="Calibri"/>
            <family val="2"/>
            <scheme val="minor"/>
          </rPr>
          <t>, and k</t>
        </r>
        <r>
          <rPr>
            <sz val="9"/>
            <color indexed="81"/>
            <rFont val="Calibri"/>
            <family val="2"/>
            <scheme val="minor"/>
          </rPr>
          <t>e</t>
        </r>
      </text>
    </comment>
  </commentList>
</comments>
</file>

<file path=xl/sharedStrings.xml><?xml version="1.0" encoding="utf-8"?>
<sst xmlns="http://schemas.openxmlformats.org/spreadsheetml/2006/main" count="163" uniqueCount="78">
  <si>
    <t>PATIENT DATA</t>
  </si>
  <si>
    <t xml:space="preserve">Age: </t>
  </si>
  <si>
    <t xml:space="preserve">Gender: </t>
  </si>
  <si>
    <t>Male</t>
  </si>
  <si>
    <t xml:space="preserve">Height: </t>
  </si>
  <si>
    <t xml:space="preserve">Weight: </t>
  </si>
  <si>
    <t xml:space="preserve">SCr: </t>
  </si>
  <si>
    <t xml:space="preserve">CrCl: </t>
  </si>
  <si>
    <t>Dose</t>
  </si>
  <si>
    <t>EMPIRIC DOSING</t>
  </si>
  <si>
    <t>LOADING DOSE</t>
  </si>
  <si>
    <t>MAINTENANCE DOSE</t>
  </si>
  <si>
    <t xml:space="preserve">Dose/Weight: </t>
  </si>
  <si>
    <t xml:space="preserve">Dose: </t>
  </si>
  <si>
    <t xml:space="preserve">Frequency: </t>
  </si>
  <si>
    <t>DOSE ADJUSTMENTS</t>
  </si>
  <si>
    <t>PHARMACOKINETIC CONSULT</t>
  </si>
  <si>
    <r>
      <t>Estimated t</t>
    </r>
    <r>
      <rPr>
        <b/>
        <sz val="9"/>
        <color theme="1"/>
        <rFont val="Calibri"/>
        <family val="2"/>
        <scheme val="minor"/>
      </rPr>
      <t>½</t>
    </r>
    <r>
      <rPr>
        <b/>
        <sz val="11"/>
        <color theme="1"/>
        <rFont val="Calibri"/>
        <family val="2"/>
        <scheme val="minor"/>
      </rPr>
      <t xml:space="preserve"> = </t>
    </r>
  </si>
  <si>
    <r>
      <t>C</t>
    </r>
    <r>
      <rPr>
        <b/>
        <sz val="9"/>
        <color theme="1"/>
        <rFont val="Calibri"/>
        <family val="2"/>
        <scheme val="minor"/>
      </rPr>
      <t>max</t>
    </r>
    <r>
      <rPr>
        <b/>
        <sz val="11"/>
        <color theme="1"/>
        <rFont val="Calibri"/>
        <family val="2"/>
        <scheme val="minor"/>
      </rPr>
      <t xml:space="preserve"> = </t>
    </r>
  </si>
  <si>
    <t xml:space="preserve">IBW: </t>
  </si>
  <si>
    <r>
      <t>C</t>
    </r>
    <r>
      <rPr>
        <b/>
        <sz val="9"/>
        <color theme="1"/>
        <rFont val="Calibri"/>
        <family val="2"/>
        <scheme val="minor"/>
      </rPr>
      <t>min</t>
    </r>
    <r>
      <rPr>
        <b/>
        <sz val="11"/>
        <color theme="1"/>
        <rFont val="Calibri"/>
        <family val="2"/>
        <scheme val="minor"/>
      </rPr>
      <t xml:space="preserve"> = </t>
    </r>
  </si>
  <si>
    <t xml:space="preserve">DW: </t>
  </si>
  <si>
    <r>
      <t>Estimated V</t>
    </r>
    <r>
      <rPr>
        <b/>
        <sz val="9"/>
        <color theme="1"/>
        <rFont val="Calibri"/>
        <family val="2"/>
        <scheme val="minor"/>
      </rPr>
      <t>d</t>
    </r>
    <r>
      <rPr>
        <b/>
        <sz val="11"/>
        <color theme="1"/>
        <rFont val="Calibri"/>
        <family val="2"/>
        <scheme val="minor"/>
      </rPr>
      <t xml:space="preserve"> = </t>
    </r>
  </si>
  <si>
    <t>PK VALUE CALCULATIONS</t>
  </si>
  <si>
    <t xml:space="preserve">Infusion Stop: </t>
  </si>
  <si>
    <t>Δt =</t>
  </si>
  <si>
    <t>t =</t>
  </si>
  <si>
    <r>
      <t>k</t>
    </r>
    <r>
      <rPr>
        <b/>
        <sz val="9"/>
        <color theme="1"/>
        <rFont val="Calibri"/>
        <family val="2"/>
        <scheme val="minor"/>
      </rPr>
      <t>e</t>
    </r>
    <r>
      <rPr>
        <b/>
        <sz val="11"/>
        <color theme="1"/>
        <rFont val="Calibri"/>
        <family val="2"/>
        <scheme val="minor"/>
      </rPr>
      <t xml:space="preserve"> =</t>
    </r>
  </si>
  <si>
    <r>
      <t>t</t>
    </r>
    <r>
      <rPr>
        <b/>
        <sz val="9"/>
        <color theme="1"/>
        <rFont val="Calibri"/>
        <family val="2"/>
        <scheme val="minor"/>
      </rPr>
      <t>½</t>
    </r>
    <r>
      <rPr>
        <b/>
        <sz val="11"/>
        <color theme="1"/>
        <rFont val="Calibri"/>
        <family val="2"/>
        <scheme val="minor"/>
      </rPr>
      <t xml:space="preserve"> = </t>
    </r>
  </si>
  <si>
    <r>
      <t>V</t>
    </r>
    <r>
      <rPr>
        <b/>
        <sz val="9"/>
        <color theme="1"/>
        <rFont val="Calibri"/>
        <family val="2"/>
        <scheme val="minor"/>
      </rPr>
      <t>d</t>
    </r>
    <r>
      <rPr>
        <b/>
        <sz val="11"/>
        <color theme="1"/>
        <rFont val="Calibri"/>
        <family val="2"/>
        <scheme val="minor"/>
      </rPr>
      <t xml:space="preserve"> = </t>
    </r>
  </si>
  <si>
    <t>LEVEL CALCULATIONS</t>
  </si>
  <si>
    <t>Frequency</t>
  </si>
  <si>
    <t>INITIAL DOSE</t>
  </si>
  <si>
    <t>HARTFORD NOMOGRAM</t>
  </si>
  <si>
    <t>Slope</t>
  </si>
  <si>
    <t>Y-Intercept</t>
  </si>
  <si>
    <t>Q48H Line</t>
  </si>
  <si>
    <t>Q36H Line</t>
  </si>
  <si>
    <t>Q24H Line</t>
  </si>
  <si>
    <t>Current Level</t>
  </si>
  <si>
    <t xml:space="preserve">Time Collected: </t>
  </si>
  <si>
    <t xml:space="preserve">Start of Infusion: </t>
  </si>
  <si>
    <t xml:space="preserve">Current Level: </t>
  </si>
  <si>
    <t>--</t>
  </si>
  <si>
    <t>x₁</t>
  </si>
  <si>
    <t>y₁</t>
  </si>
  <si>
    <t>x₂</t>
  </si>
  <si>
    <t>y₂</t>
  </si>
  <si>
    <t xml:space="preserve">New Frequency: </t>
  </si>
  <si>
    <t>x₃</t>
  </si>
  <si>
    <t>y₃</t>
  </si>
  <si>
    <t>Aminoglycoside Dosing Tool: High Dose Extended Interval Dosing</t>
  </si>
  <si>
    <r>
      <t>Estimated k</t>
    </r>
    <r>
      <rPr>
        <b/>
        <sz val="9"/>
        <color theme="1"/>
        <rFont val="Calibri"/>
        <family val="2"/>
        <scheme val="minor"/>
      </rPr>
      <t>e</t>
    </r>
    <r>
      <rPr>
        <b/>
        <sz val="11"/>
        <color theme="1"/>
        <rFont val="Calibri"/>
        <family val="2"/>
        <scheme val="minor"/>
      </rPr>
      <t xml:space="preserve"> = </t>
    </r>
  </si>
  <si>
    <r>
      <t>C</t>
    </r>
    <r>
      <rPr>
        <b/>
        <sz val="9"/>
        <rFont val="Calibri"/>
        <family val="2"/>
        <scheme val="minor"/>
      </rPr>
      <t>max</t>
    </r>
    <r>
      <rPr>
        <b/>
        <sz val="11"/>
        <rFont val="Calibri"/>
        <family val="2"/>
        <scheme val="minor"/>
      </rPr>
      <t xml:space="preserve"> = </t>
    </r>
  </si>
  <si>
    <r>
      <t>C</t>
    </r>
    <r>
      <rPr>
        <b/>
        <sz val="9"/>
        <rFont val="Calibri"/>
        <family val="2"/>
        <scheme val="minor"/>
      </rPr>
      <t>min</t>
    </r>
    <r>
      <rPr>
        <b/>
        <sz val="11"/>
        <rFont val="Calibri"/>
        <family val="2"/>
        <scheme val="minor"/>
      </rPr>
      <t xml:space="preserve"> = </t>
    </r>
  </si>
  <si>
    <r>
      <t>V</t>
    </r>
    <r>
      <rPr>
        <b/>
        <sz val="9"/>
        <rFont val="Calibri"/>
        <family val="2"/>
        <scheme val="minor"/>
      </rPr>
      <t>d</t>
    </r>
    <r>
      <rPr>
        <b/>
        <sz val="11"/>
        <rFont val="Calibri"/>
        <family val="2"/>
        <scheme val="minor"/>
      </rPr>
      <t xml:space="preserve"> = </t>
    </r>
  </si>
  <si>
    <r>
      <t>k</t>
    </r>
    <r>
      <rPr>
        <b/>
        <sz val="9"/>
        <rFont val="Calibri"/>
        <family val="2"/>
        <scheme val="minor"/>
      </rPr>
      <t>e</t>
    </r>
    <r>
      <rPr>
        <b/>
        <sz val="11"/>
        <rFont val="Calibri"/>
        <family val="2"/>
        <scheme val="minor"/>
      </rPr>
      <t xml:space="preserve"> = </t>
    </r>
  </si>
  <si>
    <t>PK VALUE ESTIMATES</t>
  </si>
  <si>
    <t>DOSAGE CALCUATIONS</t>
  </si>
  <si>
    <t xml:space="preserve">Desired Peak: </t>
  </si>
  <si>
    <t xml:space="preserve">Desired Trough: </t>
  </si>
  <si>
    <t xml:space="preserve">Interval: </t>
  </si>
  <si>
    <t>LEVEL CALCULATION</t>
  </si>
  <si>
    <t>DOSAGE CALCULATION</t>
  </si>
  <si>
    <t>t₁ =</t>
  </si>
  <si>
    <t>t₂ =</t>
  </si>
  <si>
    <t>Gentamicin/Tobramycin Dosing Tool: Conventional Dosing</t>
  </si>
  <si>
    <r>
      <rPr>
        <b/>
        <sz val="11"/>
        <color theme="1"/>
        <rFont val="Calibri"/>
        <family val="2"/>
        <scheme val="minor"/>
      </rPr>
      <t>Contraindications:</t>
    </r>
    <r>
      <rPr>
        <sz val="9"/>
        <color theme="1"/>
        <rFont val="Calibri"/>
        <family val="2"/>
        <scheme val="minor"/>
      </rPr>
      <t xml:space="preserve">
</t>
    </r>
    <r>
      <rPr>
        <sz val="8"/>
        <color theme="1"/>
        <rFont val="Calibri"/>
        <family val="2"/>
        <scheme val="minor"/>
      </rPr>
      <t xml:space="preserve">     - Hemodialysis, hemoperfusion, or peritoneal dialysis
     - Gram positive infections where aminoglycosides are used for synergy
     - Patients with rapid clearance of drugs (e.g. burns &gt; 20% BSA)
     - Endocarditis
     - Surgical prophylaxis (use conventional dosing)</t>
    </r>
    <r>
      <rPr>
        <sz val="9"/>
        <color theme="1"/>
        <rFont val="Calibri"/>
        <family val="2"/>
        <scheme val="minor"/>
      </rPr>
      <t xml:space="preserve">
</t>
    </r>
    <r>
      <rPr>
        <b/>
        <sz val="11"/>
        <color theme="1"/>
        <rFont val="Calibri"/>
        <family val="2"/>
        <scheme val="minor"/>
      </rPr>
      <t>Precautions:</t>
    </r>
    <r>
      <rPr>
        <sz val="9"/>
        <color theme="1"/>
        <rFont val="Calibri"/>
        <family val="2"/>
        <scheme val="minor"/>
      </rPr>
      <t xml:space="preserve">
</t>
    </r>
    <r>
      <rPr>
        <sz val="8"/>
        <color theme="1"/>
        <rFont val="Calibri"/>
        <family val="2"/>
        <scheme val="minor"/>
      </rPr>
      <t xml:space="preserve">     - Patients with chronic ascites or serious liver disease
     - Patients with known auditory or vestibular disease or pre-existing impairement
     - Pregnacy/post-partum due to altered Vd</t>
    </r>
  </si>
  <si>
    <t xml:space="preserve">Drug: </t>
  </si>
  <si>
    <t>Gentamicin</t>
  </si>
  <si>
    <t>OTHER MONITORING</t>
  </si>
  <si>
    <r>
      <t>Indications for Monitoring:</t>
    </r>
    <r>
      <rPr>
        <sz val="11"/>
        <color theme="1"/>
        <rFont val="Calibri"/>
        <family val="2"/>
        <scheme val="minor"/>
      </rPr>
      <t xml:space="preserve">
</t>
    </r>
    <r>
      <rPr>
        <sz val="8"/>
        <color theme="1"/>
        <rFont val="Calibri"/>
        <family val="2"/>
        <scheme val="minor"/>
      </rPr>
      <t xml:space="preserve">- Receiving &gt; 3-5 days of therapy
- Presence of renal dysfunction or significant changes in renal function
- Patients with a large Vd (e.g. third spacing, ascites)
- Age &gt; 65 years
- Concurrent nephrotoxic drugs (e.g. amphotericin B, cyclosporine)
</t>
    </r>
    <r>
      <rPr>
        <b/>
        <sz val="11"/>
        <color theme="1"/>
        <rFont val="Calibri"/>
        <family val="2"/>
        <scheme val="minor"/>
      </rPr>
      <t xml:space="preserve">When to Draw Levels:
</t>
    </r>
    <r>
      <rPr>
        <sz val="8"/>
        <color theme="1"/>
        <rFont val="Calibri"/>
        <family val="2"/>
        <scheme val="minor"/>
      </rPr>
      <t>- Hartford Nomograph: Within 6-14 hours (8 after first dose) post dose; or
- Trough level before next dose
- Repeat levels at least weekly (may monitor more often in renal dysfunction or concomittant nephortoxic drugs</t>
    </r>
  </si>
  <si>
    <t>AMINOGLYCOSIDE</t>
  </si>
  <si>
    <r>
      <rPr>
        <b/>
        <sz val="12"/>
        <color theme="1"/>
        <rFont val="Calibri"/>
        <family val="2"/>
        <scheme val="minor"/>
      </rPr>
      <t>Monitoring Guidelines:</t>
    </r>
    <r>
      <rPr>
        <b/>
        <sz val="11"/>
        <color theme="1"/>
        <rFont val="Calibri"/>
        <family val="2"/>
        <scheme val="minor"/>
      </rPr>
      <t xml:space="preserve">
  </t>
    </r>
    <r>
      <rPr>
        <sz val="11"/>
        <color theme="1"/>
        <rFont val="Calibri"/>
        <family val="2"/>
        <scheme val="minor"/>
      </rPr>
      <t>- Order trough and peak levels at steady state (~3-4 doses in patients with normal renal function
  - If using gentamicin for synergy then only need trough levels to rule out toxicity in patients with poor renal function, on concurrent nephrotoxic drugs, or receiving prolonged therapy (&gt; 5 days)
  - Order trough 0-60 minutes before infusion and peak 30-60 minutes after infusion
  - Order repeat levels once a week; may order more frequently for patients with poor renal function, changing renal function, concomittant nephrotoxic drugs, or an increase of SCr ≥ 40 μmol/L or 50% of baseline</t>
    </r>
  </si>
  <si>
    <r>
      <rPr>
        <b/>
        <sz val="11"/>
        <color theme="1"/>
        <rFont val="Calibri"/>
        <family val="2"/>
        <scheme val="minor"/>
      </rPr>
      <t xml:space="preserve">SCr: </t>
    </r>
    <r>
      <rPr>
        <sz val="11"/>
        <color theme="1"/>
        <rFont val="Calibri"/>
        <family val="2"/>
        <scheme val="minor"/>
      </rPr>
      <t>Baseline and then Q2-3D</t>
    </r>
  </si>
  <si>
    <r>
      <rPr>
        <b/>
        <sz val="11"/>
        <color theme="1"/>
        <rFont val="Calibri"/>
        <family val="2"/>
        <scheme val="minor"/>
      </rPr>
      <t>Ototoxicity:</t>
    </r>
    <r>
      <rPr>
        <sz val="11"/>
        <color theme="1"/>
        <rFont val="Calibri"/>
        <family val="2"/>
        <scheme val="minor"/>
      </rPr>
      <t xml:space="preserve"> patient should be instructed to monitor for changes in hearing, balance, nausea; auditory testing recommended for patients receiving ≥ 7 days of therapy or if ototoxicity is suspected</t>
    </r>
  </si>
  <si>
    <r>
      <rPr>
        <b/>
        <sz val="11"/>
        <color theme="1"/>
        <rFont val="Calibri"/>
        <family val="2"/>
        <scheme val="minor"/>
      </rPr>
      <t>SCr:</t>
    </r>
    <r>
      <rPr>
        <sz val="11"/>
        <color theme="1"/>
        <rFont val="Calibri"/>
        <family val="2"/>
        <scheme val="minor"/>
      </rPr>
      <t xml:space="preserve"> Baseline and then Q2-3D</t>
    </r>
  </si>
  <si>
    <t>C1 &amp; C2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</si>
</sst>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0&quot; years&quot;"/>
    <numFmt numFmtId="165" formatCode="0.0&quot; cm&quot;"/>
    <numFmt numFmtId="166" formatCode="0.0&quot; kg&quot;"/>
    <numFmt numFmtId="167" formatCode="0.0&quot; μmol/L&quot;"/>
    <numFmt numFmtId="168" formatCode="0&quot; mL/min&quot;"/>
    <numFmt numFmtId="169" formatCode="0&quot; mg/kg&quot;"/>
    <numFmt numFmtId="170" formatCode="0&quot; mg&quot;"/>
    <numFmt numFmtId="171" formatCode="0.0000&quot; h⁻¹&quot;"/>
    <numFmt numFmtId="172" formatCode="0.0&quot; h&quot;"/>
    <numFmt numFmtId="173" formatCode="0.0&quot; mg/kg&quot;"/>
    <numFmt numFmtId="174" formatCode="&quot;Q&quot;0&quot;H&quot;"/>
    <numFmt numFmtId="175" formatCode="yyyy\-mm\-dd\ hh:mm"/>
    <numFmt numFmtId="176" formatCode="0.0&quot; mg/L&quot;"/>
    <numFmt numFmtId="177" formatCode="0.000"/>
    <numFmt numFmtId="178" formatCode="0.0&quot; L&quot;"/>
    <numFmt numFmtId="179" formatCode="0.00&quot; L/kg&quot;"/>
    <numFmt numFmtId="180" formatCode="&quot;Q&quot;0.0&quot;H&quot;"/>
  </numFmts>
  <fonts count="19"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color indexed="81"/>
      <name val="Tahoma"/>
      <family val="2"/>
    </font>
    <font>
      <sz val="11"/>
      <color indexed="81"/>
      <name val="Calibri"/>
      <family val="2"/>
      <scheme val="minor"/>
    </font>
    <font>
      <u/>
      <sz val="11"/>
      <color indexed="81"/>
      <name val="Tahoma"/>
      <family val="2"/>
    </font>
    <font>
      <b/>
      <sz val="9"/>
      <color theme="1"/>
      <name val="Calibri"/>
      <family val="2"/>
      <scheme val="minor"/>
    </font>
    <font>
      <b/>
      <sz val="11"/>
      <name val="Calibri"/>
      <family val="2"/>
      <scheme val="minor"/>
    </font>
    <font>
      <sz val="11"/>
      <name val="Calibri"/>
      <family val="2"/>
      <scheme val="minor"/>
    </font>
    <font>
      <b/>
      <sz val="9"/>
      <name val="Calibri"/>
      <family val="2"/>
      <scheme val="minor"/>
    </font>
    <font>
      <u/>
      <sz val="11"/>
      <color indexed="81"/>
      <name val="Calibri"/>
      <family val="2"/>
      <scheme val="minor"/>
    </font>
    <font>
      <sz val="9"/>
      <color indexed="81"/>
      <name val="Calibri"/>
      <family val="2"/>
      <scheme val="minor"/>
    </font>
    <font>
      <sz val="9"/>
      <color indexed="81"/>
      <name val="Tahoma"/>
      <family val="2"/>
    </font>
    <font>
      <b/>
      <sz val="9"/>
      <color indexed="81"/>
      <name val="Tahoma"/>
      <family val="2"/>
    </font>
    <font>
      <sz val="9"/>
      <color theme="1"/>
      <name val="Calibri"/>
      <family val="2"/>
      <scheme val="minor"/>
    </font>
    <font>
      <sz val="8"/>
      <color theme="1"/>
      <name val="Calibri"/>
      <family val="2"/>
      <scheme val="minor"/>
    </font>
    <font>
      <sz val="12"/>
      <color indexed="81"/>
      <name val="Calibri"/>
      <family val="2"/>
      <scheme val="minor"/>
    </font>
    <font>
      <b/>
      <sz val="11"/>
      <color indexed="8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53CF27"/>
        <bgColor indexed="64"/>
      </patternFill>
    </fill>
    <fill>
      <patternFill patternType="solid">
        <fgColor theme="6" tint="0.79998168889431442"/>
        <bgColor indexed="64"/>
      </patternFill>
    </fill>
    <fill>
      <patternFill patternType="solid">
        <fgColor theme="0"/>
        <bgColor indexed="64"/>
      </patternFill>
    </fill>
  </fills>
  <borders count="36">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63">
    <xf numFmtId="0" fontId="0" fillId="0" borderId="0" xfId="0"/>
    <xf numFmtId="0" fontId="1" fillId="0" borderId="3" xfId="0" applyFont="1" applyBorder="1" applyAlignment="1" applyProtection="1">
      <alignment horizontal="right" vertical="top"/>
    </xf>
    <xf numFmtId="0" fontId="1" fillId="0" borderId="5" xfId="0" applyFont="1" applyBorder="1" applyAlignment="1" applyProtection="1">
      <alignment horizontal="right" vertical="top"/>
    </xf>
    <xf numFmtId="166" fontId="0" fillId="0" borderId="6" xfId="0" applyNumberFormat="1" applyBorder="1" applyAlignment="1" applyProtection="1">
      <alignment horizontal="left" vertical="top"/>
    </xf>
    <xf numFmtId="0" fontId="1" fillId="0" borderId="7" xfId="0" applyFont="1" applyBorder="1" applyAlignment="1" applyProtection="1">
      <alignment horizontal="right" vertical="top"/>
    </xf>
    <xf numFmtId="168" fontId="0" fillId="0" borderId="8" xfId="0" applyNumberFormat="1" applyBorder="1" applyAlignment="1" applyProtection="1">
      <alignment horizontal="left" vertical="top"/>
    </xf>
    <xf numFmtId="0" fontId="1" fillId="0" borderId="3" xfId="0" applyFont="1" applyBorder="1" applyAlignment="1" applyProtection="1">
      <alignment horizontal="right" vertical="center"/>
    </xf>
    <xf numFmtId="0" fontId="1" fillId="0" borderId="7" xfId="0" applyFont="1" applyBorder="1" applyAlignment="1" applyProtection="1">
      <alignment horizontal="right" vertical="center"/>
    </xf>
    <xf numFmtId="0" fontId="0" fillId="0" borderId="0" xfId="0" applyProtection="1"/>
    <xf numFmtId="0" fontId="8" fillId="0" borderId="3" xfId="0" applyFont="1" applyBorder="1" applyAlignment="1" applyProtection="1">
      <alignment horizontal="right" vertical="top"/>
    </xf>
    <xf numFmtId="0" fontId="8" fillId="0" borderId="3" xfId="0" applyFont="1" applyFill="1" applyBorder="1" applyAlignment="1" applyProtection="1">
      <alignment horizontal="right" vertical="top"/>
    </xf>
    <xf numFmtId="176" fontId="9" fillId="0" borderId="4" xfId="0" applyNumberFormat="1" applyFont="1" applyBorder="1" applyAlignment="1" applyProtection="1">
      <alignment horizontal="left" vertical="top"/>
    </xf>
    <xf numFmtId="0" fontId="8" fillId="0" borderId="7" xfId="0" applyFont="1" applyBorder="1" applyAlignment="1" applyProtection="1">
      <alignment horizontal="right" vertical="top"/>
    </xf>
    <xf numFmtId="49" fontId="8" fillId="0" borderId="3" xfId="0" applyNumberFormat="1" applyFont="1" applyBorder="1" applyAlignment="1" applyProtection="1">
      <alignment horizontal="right" vertical="top"/>
    </xf>
    <xf numFmtId="176" fontId="9" fillId="0" borderId="8" xfId="0" applyNumberFormat="1" applyFont="1" applyBorder="1" applyAlignment="1" applyProtection="1">
      <alignment horizontal="left" vertical="top"/>
    </xf>
    <xf numFmtId="0" fontId="1" fillId="0" borderId="17" xfId="0" applyFont="1" applyBorder="1" applyAlignment="1" applyProtection="1">
      <alignment horizontal="right" vertical="center"/>
    </xf>
    <xf numFmtId="166" fontId="0" fillId="0" borderId="4" xfId="0" applyNumberFormat="1" applyBorder="1" applyAlignment="1" applyProtection="1">
      <alignment horizontal="left" vertical="center"/>
    </xf>
    <xf numFmtId="0" fontId="1" fillId="0" borderId="5" xfId="0" applyFont="1" applyBorder="1" applyAlignment="1" applyProtection="1">
      <alignment horizontal="right" vertical="center"/>
    </xf>
    <xf numFmtId="166" fontId="0" fillId="0" borderId="6" xfId="0" applyNumberFormat="1" applyBorder="1" applyAlignment="1" applyProtection="1">
      <alignment horizontal="left" vertical="center"/>
    </xf>
    <xf numFmtId="168" fontId="0" fillId="0" borderId="8" xfId="0" applyNumberFormat="1" applyBorder="1" applyAlignment="1" applyProtection="1">
      <alignment horizontal="left" vertical="center"/>
    </xf>
    <xf numFmtId="172" fontId="0" fillId="0" borderId="4" xfId="0" applyNumberFormat="1" applyFill="1" applyBorder="1" applyAlignment="1" applyProtection="1">
      <alignment horizontal="left" vertical="center"/>
    </xf>
    <xf numFmtId="172" fontId="0" fillId="0" borderId="4" xfId="0" applyNumberFormat="1" applyBorder="1" applyAlignment="1" applyProtection="1">
      <alignment horizontal="left" vertical="center"/>
    </xf>
    <xf numFmtId="0" fontId="1" fillId="0" borderId="3" xfId="0" applyFont="1" applyFill="1" applyBorder="1" applyAlignment="1" applyProtection="1">
      <alignment horizontal="right" vertical="center"/>
    </xf>
    <xf numFmtId="171" fontId="0" fillId="0" borderId="4" xfId="0" applyNumberFormat="1" applyBorder="1" applyAlignment="1" applyProtection="1">
      <alignment horizontal="left" vertical="center"/>
    </xf>
    <xf numFmtId="176" fontId="0" fillId="0" borderId="4" xfId="0" applyNumberFormat="1" applyBorder="1" applyAlignment="1" applyProtection="1">
      <alignment horizontal="left" vertical="center"/>
    </xf>
    <xf numFmtId="0" fontId="0" fillId="4" borderId="4" xfId="0" applyFill="1" applyBorder="1" applyAlignment="1" applyProtection="1">
      <alignment horizontal="left" vertical="top"/>
      <protection locked="0"/>
    </xf>
    <xf numFmtId="165" fontId="0" fillId="4" borderId="4" xfId="0" applyNumberFormat="1" applyFill="1" applyBorder="1" applyAlignment="1" applyProtection="1">
      <alignment horizontal="left" vertical="top"/>
      <protection locked="0"/>
    </xf>
    <xf numFmtId="166" fontId="0" fillId="4" borderId="4" xfId="0" applyNumberFormat="1" applyFill="1" applyBorder="1" applyAlignment="1" applyProtection="1">
      <alignment horizontal="left" vertical="top"/>
      <protection locked="0"/>
    </xf>
    <xf numFmtId="167" fontId="0" fillId="4" borderId="4" xfId="0" applyNumberFormat="1" applyFill="1" applyBorder="1" applyAlignment="1" applyProtection="1">
      <alignment horizontal="left" vertical="top"/>
      <protection locked="0"/>
    </xf>
    <xf numFmtId="170" fontId="9" fillId="4" borderId="4" xfId="0" applyNumberFormat="1" applyFont="1" applyFill="1" applyBorder="1" applyAlignment="1" applyProtection="1">
      <alignment horizontal="left" vertical="top"/>
      <protection locked="0"/>
    </xf>
    <xf numFmtId="174" fontId="9" fillId="4" borderId="4" xfId="0" applyNumberFormat="1" applyFont="1" applyFill="1" applyBorder="1" applyAlignment="1" applyProtection="1">
      <alignment horizontal="left" vertical="top"/>
      <protection locked="0"/>
    </xf>
    <xf numFmtId="171" fontId="9" fillId="4" borderId="4" xfId="0" applyNumberFormat="1" applyFont="1" applyFill="1" applyBorder="1" applyAlignment="1" applyProtection="1">
      <alignment horizontal="left" vertical="top"/>
      <protection locked="0"/>
    </xf>
    <xf numFmtId="0" fontId="3" fillId="0" borderId="0" xfId="0" applyFont="1" applyFill="1" applyBorder="1" applyAlignment="1" applyProtection="1"/>
    <xf numFmtId="164" fontId="0" fillId="4" borderId="12" xfId="0" applyNumberFormat="1" applyFill="1" applyBorder="1" applyAlignment="1" applyProtection="1">
      <alignment horizontal="left" vertical="center"/>
    </xf>
    <xf numFmtId="167" fontId="0" fillId="4" borderId="4" xfId="0" applyNumberFormat="1" applyFill="1" applyBorder="1" applyAlignment="1" applyProtection="1">
      <alignment horizontal="left" vertical="center"/>
    </xf>
    <xf numFmtId="170" fontId="0" fillId="0" borderId="8" xfId="0" applyNumberFormat="1" applyBorder="1" applyAlignment="1" applyProtection="1">
      <alignment horizontal="left" vertical="center"/>
    </xf>
    <xf numFmtId="174" fontId="0" fillId="0" borderId="8" xfId="0" applyNumberFormat="1" applyBorder="1" applyAlignment="1" applyProtection="1">
      <alignment horizontal="left" vertical="center"/>
    </xf>
    <xf numFmtId="175" fontId="0" fillId="4" borderId="4" xfId="0" applyNumberFormat="1" applyFill="1" applyBorder="1" applyAlignment="1" applyProtection="1">
      <alignment horizontal="left" vertical="center"/>
    </xf>
    <xf numFmtId="164" fontId="0" fillId="4" borderId="4" xfId="0" applyNumberFormat="1" applyFill="1" applyBorder="1" applyAlignment="1" applyProtection="1">
      <alignment horizontal="left" vertical="center"/>
      <protection locked="0"/>
    </xf>
    <xf numFmtId="0" fontId="0" fillId="4" borderId="4" xfId="0" applyFill="1" applyBorder="1" applyAlignment="1" applyProtection="1">
      <alignment horizontal="left" vertical="center"/>
      <protection locked="0"/>
    </xf>
    <xf numFmtId="165" fontId="0" fillId="4" borderId="4" xfId="0" applyNumberFormat="1" applyFill="1" applyBorder="1" applyAlignment="1" applyProtection="1">
      <alignment horizontal="left" vertical="center"/>
      <protection locked="0"/>
    </xf>
    <xf numFmtId="166" fontId="0" fillId="4" borderId="4" xfId="0" applyNumberFormat="1" applyFill="1" applyBorder="1" applyAlignment="1" applyProtection="1">
      <alignment horizontal="left" vertical="center"/>
      <protection locked="0"/>
    </xf>
    <xf numFmtId="167" fontId="0" fillId="4" borderId="4" xfId="0" applyNumberFormat="1" applyFill="1" applyBorder="1" applyAlignment="1" applyProtection="1">
      <alignment horizontal="left" vertical="center"/>
      <protection locked="0"/>
    </xf>
    <xf numFmtId="49" fontId="1" fillId="0" borderId="17" xfId="0" applyNumberFormat="1" applyFont="1" applyBorder="1" applyAlignment="1" applyProtection="1">
      <alignment horizontal="right" vertical="center"/>
    </xf>
    <xf numFmtId="171" fontId="0" fillId="0" borderId="12" xfId="0" applyNumberFormat="1" applyBorder="1" applyAlignment="1" applyProtection="1">
      <alignment horizontal="left" vertical="center"/>
    </xf>
    <xf numFmtId="179" fontId="0" fillId="4" borderId="4" xfId="0" applyNumberFormat="1" applyFill="1" applyBorder="1" applyAlignment="1" applyProtection="1">
      <alignment horizontal="left" vertical="center"/>
      <protection locked="0"/>
    </xf>
    <xf numFmtId="178" fontId="9" fillId="4" borderId="4" xfId="0" applyNumberFormat="1" applyFont="1" applyFill="1" applyBorder="1" applyAlignment="1" applyProtection="1">
      <alignment horizontal="left" vertical="top"/>
      <protection locked="0"/>
    </xf>
    <xf numFmtId="176" fontId="0" fillId="4" borderId="4" xfId="0" applyNumberFormat="1" applyFill="1" applyBorder="1" applyAlignment="1" applyProtection="1">
      <alignment horizontal="left" vertical="center"/>
    </xf>
    <xf numFmtId="178" fontId="0" fillId="0" borderId="8" xfId="0" applyNumberFormat="1" applyBorder="1" applyAlignment="1" applyProtection="1">
      <alignment horizontal="left" vertical="center"/>
    </xf>
    <xf numFmtId="179" fontId="0" fillId="4" borderId="4" xfId="0" applyNumberFormat="1" applyFill="1" applyBorder="1" applyAlignment="1" applyProtection="1">
      <alignment horizontal="left" vertical="center"/>
    </xf>
    <xf numFmtId="0" fontId="8" fillId="0" borderId="3" xfId="0" applyFont="1" applyBorder="1" applyAlignment="1" applyProtection="1">
      <alignment horizontal="right" vertical="center"/>
    </xf>
    <xf numFmtId="170" fontId="9" fillId="4" borderId="4" xfId="0" applyNumberFormat="1" applyFont="1" applyFill="1" applyBorder="1" applyAlignment="1" applyProtection="1">
      <alignment horizontal="left" vertical="center"/>
    </xf>
    <xf numFmtId="174" fontId="9" fillId="4" borderId="4" xfId="0" applyNumberFormat="1" applyFont="1" applyFill="1" applyBorder="1" applyAlignment="1" applyProtection="1">
      <alignment horizontal="left" vertical="center"/>
    </xf>
    <xf numFmtId="175" fontId="9" fillId="4" borderId="4" xfId="0" applyNumberFormat="1" applyFont="1" applyFill="1" applyBorder="1" applyAlignment="1" applyProtection="1">
      <alignment horizontal="left" vertical="center"/>
    </xf>
    <xf numFmtId="176" fontId="9" fillId="4" borderId="4" xfId="0" applyNumberFormat="1" applyFont="1" applyFill="1" applyBorder="1" applyAlignment="1" applyProtection="1">
      <alignment horizontal="left" vertical="center"/>
    </xf>
    <xf numFmtId="0" fontId="8" fillId="0" borderId="17" xfId="0" applyFont="1" applyFill="1" applyBorder="1" applyAlignment="1" applyProtection="1">
      <alignment horizontal="right" vertical="center"/>
    </xf>
    <xf numFmtId="0" fontId="8" fillId="0" borderId="3" xfId="0" applyFont="1" applyFill="1" applyBorder="1" applyAlignment="1" applyProtection="1">
      <alignment horizontal="right" vertical="center"/>
    </xf>
    <xf numFmtId="49" fontId="8" fillId="0" borderId="3" xfId="0" applyNumberFormat="1" applyFont="1" applyBorder="1" applyAlignment="1" applyProtection="1">
      <alignment horizontal="right" vertical="center"/>
    </xf>
    <xf numFmtId="0" fontId="8" fillId="0" borderId="7" xfId="0" applyFont="1" applyBorder="1" applyAlignment="1" applyProtection="1">
      <alignment horizontal="right" vertical="center"/>
    </xf>
    <xf numFmtId="170" fontId="0" fillId="0" borderId="4" xfId="0" applyNumberFormat="1" applyBorder="1" applyAlignment="1" applyProtection="1">
      <alignment horizontal="left" vertical="center"/>
    </xf>
    <xf numFmtId="180" fontId="0" fillId="0" borderId="8" xfId="0" applyNumberFormat="1" applyBorder="1" applyAlignment="1" applyProtection="1">
      <alignment horizontal="left" vertical="center"/>
    </xf>
    <xf numFmtId="170" fontId="9" fillId="4" borderId="12" xfId="0" applyNumberFormat="1" applyFont="1" applyFill="1" applyBorder="1" applyAlignment="1" applyProtection="1">
      <alignment horizontal="left" vertical="center"/>
    </xf>
    <xf numFmtId="171" fontId="9" fillId="4" borderId="4" xfId="0" applyNumberFormat="1" applyFont="1" applyFill="1" applyBorder="1" applyAlignment="1" applyProtection="1">
      <alignment horizontal="left" vertical="center"/>
    </xf>
    <xf numFmtId="178" fontId="9" fillId="4" borderId="4" xfId="0" applyNumberFormat="1" applyFont="1" applyFill="1" applyBorder="1" applyAlignment="1" applyProtection="1">
      <alignment horizontal="left" vertical="center"/>
    </xf>
    <xf numFmtId="176" fontId="9" fillId="0" borderId="4" xfId="0" applyNumberFormat="1" applyFont="1" applyBorder="1" applyAlignment="1" applyProtection="1">
      <alignment horizontal="left" vertical="center"/>
    </xf>
    <xf numFmtId="176" fontId="9" fillId="0" borderId="8" xfId="0" applyNumberFormat="1" applyFont="1" applyBorder="1" applyAlignment="1" applyProtection="1">
      <alignment horizontal="left" vertical="center"/>
    </xf>
    <xf numFmtId="0" fontId="0" fillId="4" borderId="4" xfId="0" applyFill="1" applyBorder="1" applyAlignment="1" applyProtection="1">
      <alignment horizontal="left" vertical="center"/>
    </xf>
    <xf numFmtId="165" fontId="0" fillId="4" borderId="4" xfId="0" applyNumberFormat="1" applyFill="1" applyBorder="1" applyAlignment="1" applyProtection="1">
      <alignment horizontal="left" vertical="center"/>
    </xf>
    <xf numFmtId="166" fontId="0" fillId="4" borderId="4" xfId="0" applyNumberFormat="1" applyFill="1" applyBorder="1" applyAlignment="1" applyProtection="1">
      <alignment horizontal="left" vertical="center"/>
    </xf>
    <xf numFmtId="0" fontId="1" fillId="0" borderId="7" xfId="0" applyFont="1" applyFill="1" applyBorder="1" applyAlignment="1" applyProtection="1">
      <alignment horizontal="right" vertical="center"/>
    </xf>
    <xf numFmtId="0" fontId="1" fillId="0" borderId="1" xfId="0" applyFont="1" applyBorder="1" applyAlignment="1" applyProtection="1">
      <alignment horizontal="right" vertical="center"/>
    </xf>
    <xf numFmtId="0" fontId="0" fillId="0" borderId="0" xfId="0" applyBorder="1" applyProtection="1"/>
    <xf numFmtId="176" fontId="0" fillId="4" borderId="4" xfId="0" applyNumberFormat="1" applyFill="1" applyBorder="1" applyAlignment="1" applyProtection="1">
      <alignment horizontal="left" vertical="center"/>
      <protection locked="0"/>
    </xf>
    <xf numFmtId="178" fontId="0" fillId="4" borderId="4" xfId="0" applyNumberFormat="1" applyFill="1" applyBorder="1" applyAlignment="1" applyProtection="1">
      <alignment horizontal="left" vertical="center"/>
      <protection locked="0"/>
    </xf>
    <xf numFmtId="171" fontId="0" fillId="4" borderId="4" xfId="0" applyNumberFormat="1" applyFill="1" applyBorder="1" applyAlignment="1" applyProtection="1">
      <alignment horizontal="left" vertical="center"/>
      <protection locked="0"/>
    </xf>
    <xf numFmtId="170" fontId="0" fillId="4" borderId="4" xfId="0" applyNumberFormat="1" applyFill="1" applyBorder="1" applyAlignment="1" applyProtection="1">
      <alignment horizontal="left" vertical="center"/>
      <protection locked="0"/>
    </xf>
    <xf numFmtId="174" fontId="0" fillId="4" borderId="4" xfId="0" applyNumberFormat="1" applyFill="1" applyBorder="1" applyAlignment="1" applyProtection="1">
      <alignment horizontal="left" vertical="center"/>
      <protection locked="0"/>
    </xf>
    <xf numFmtId="175" fontId="0" fillId="4" borderId="4" xfId="0" applyNumberFormat="1" applyFill="1" applyBorder="1" applyAlignment="1" applyProtection="1">
      <alignment horizontal="left" vertical="center"/>
      <protection locked="0"/>
    </xf>
    <xf numFmtId="173" fontId="0" fillId="4" borderId="2" xfId="0" applyNumberFormat="1" applyFill="1" applyBorder="1" applyAlignment="1" applyProtection="1">
      <alignment horizontal="left" vertical="center"/>
      <protection locked="0"/>
    </xf>
    <xf numFmtId="0" fontId="1" fillId="0" borderId="1" xfId="0" applyFont="1" applyFill="1" applyBorder="1" applyAlignment="1" applyProtection="1">
      <alignment horizontal="right" vertical="center"/>
    </xf>
    <xf numFmtId="0" fontId="0" fillId="3" borderId="18" xfId="0" applyFill="1" applyBorder="1" applyProtection="1"/>
    <xf numFmtId="0" fontId="1" fillId="3" borderId="18" xfId="0" applyFont="1" applyFill="1" applyBorder="1" applyAlignment="1" applyProtection="1">
      <alignment horizontal="center"/>
    </xf>
    <xf numFmtId="169" fontId="0" fillId="4" borderId="4" xfId="0" applyNumberFormat="1" applyFill="1" applyBorder="1" applyAlignment="1" applyProtection="1">
      <alignment horizontal="left" vertical="center"/>
    </xf>
    <xf numFmtId="0" fontId="0" fillId="0" borderId="18" xfId="0" applyBorder="1" applyProtection="1"/>
    <xf numFmtId="0" fontId="0" fillId="0" borderId="18" xfId="0" quotePrefix="1" applyBorder="1" applyAlignment="1" applyProtection="1">
      <alignment horizontal="center" vertical="center"/>
    </xf>
    <xf numFmtId="0" fontId="0" fillId="0" borderId="18" xfId="0" applyBorder="1" applyAlignment="1" applyProtection="1">
      <alignment horizontal="center" vertical="center"/>
    </xf>
    <xf numFmtId="1" fontId="0" fillId="0" borderId="18" xfId="0" applyNumberFormat="1" applyBorder="1" applyAlignment="1" applyProtection="1">
      <alignment horizontal="center" vertical="center"/>
    </xf>
    <xf numFmtId="177" fontId="0" fillId="0" borderId="18" xfId="0" applyNumberFormat="1" applyBorder="1" applyAlignment="1" applyProtection="1">
      <alignment horizontal="center" vertical="center"/>
    </xf>
    <xf numFmtId="0" fontId="1" fillId="0" borderId="5" xfId="0" applyFont="1" applyBorder="1" applyAlignment="1" applyProtection="1">
      <alignment horizontal="right" vertical="center" wrapText="1"/>
    </xf>
    <xf numFmtId="173" fontId="0" fillId="4" borderId="4" xfId="0" applyNumberFormat="1" applyFill="1" applyBorder="1" applyAlignment="1" applyProtection="1">
      <alignment horizontal="left" vertical="center"/>
    </xf>
    <xf numFmtId="0" fontId="1" fillId="0" borderId="3" xfId="0" applyFont="1" applyBorder="1" applyAlignment="1" applyProtection="1">
      <alignment horizontal="right"/>
    </xf>
    <xf numFmtId="0" fontId="1" fillId="0" borderId="7" xfId="0" applyFont="1" applyBorder="1" applyAlignment="1" applyProtection="1">
      <alignment horizontal="right"/>
    </xf>
    <xf numFmtId="173" fontId="0" fillId="4" borderId="4" xfId="0" applyNumberFormat="1" applyFill="1" applyBorder="1" applyAlignment="1" applyProtection="1">
      <alignment horizontal="left" vertical="center"/>
      <protection locked="0"/>
    </xf>
    <xf numFmtId="0" fontId="1" fillId="0" borderId="17" xfId="0" applyFont="1" applyBorder="1" applyAlignment="1" applyProtection="1">
      <alignment horizontal="right" vertical="top"/>
    </xf>
    <xf numFmtId="164" fontId="0" fillId="4" borderId="12" xfId="0" applyNumberFormat="1" applyFill="1" applyBorder="1" applyAlignment="1" applyProtection="1">
      <alignment horizontal="left" vertical="top"/>
      <protection locked="0"/>
    </xf>
    <xf numFmtId="0" fontId="1" fillId="0" borderId="13" xfId="0" applyFont="1" applyBorder="1" applyAlignment="1" applyProtection="1">
      <alignment horizontal="right"/>
    </xf>
    <xf numFmtId="0" fontId="0" fillId="0" borderId="0" xfId="0" applyAlignment="1" applyProtection="1">
      <alignment wrapText="1"/>
    </xf>
    <xf numFmtId="0" fontId="15" fillId="0" borderId="0" xfId="0" applyFont="1" applyAlignment="1" applyProtection="1">
      <alignment vertical="top" wrapText="1"/>
    </xf>
    <xf numFmtId="0" fontId="0" fillId="4" borderId="14" xfId="0" applyFill="1" applyBorder="1" applyProtection="1">
      <protection locked="0"/>
    </xf>
    <xf numFmtId="0" fontId="0" fillId="0" borderId="0" xfId="0" applyFont="1" applyProtection="1"/>
    <xf numFmtId="49" fontId="1" fillId="0" borderId="3" xfId="0" applyNumberFormat="1" applyFont="1" applyBorder="1" applyAlignment="1" applyProtection="1">
      <alignment horizontal="right" vertical="center"/>
    </xf>
    <xf numFmtId="0" fontId="0" fillId="0" borderId="17" xfId="0" applyBorder="1" applyAlignment="1" applyProtection="1">
      <alignment horizontal="left" vertical="top"/>
    </xf>
    <xf numFmtId="0" fontId="0" fillId="0" borderId="29" xfId="0" applyBorder="1" applyAlignment="1" applyProtection="1">
      <alignment horizontal="left" vertical="top"/>
    </xf>
    <xf numFmtId="0" fontId="0" fillId="0" borderId="12" xfId="0" applyBorder="1" applyAlignment="1" applyProtection="1">
      <alignment horizontal="left" vertical="top"/>
    </xf>
    <xf numFmtId="0" fontId="0" fillId="0" borderId="7" xfId="0" applyBorder="1" applyAlignment="1" applyProtection="1">
      <alignment horizontal="left" vertical="top" wrapText="1"/>
    </xf>
    <xf numFmtId="0" fontId="0" fillId="0" borderId="31" xfId="0" applyBorder="1" applyAlignment="1" applyProtection="1">
      <alignment horizontal="left" vertical="top" wrapText="1"/>
    </xf>
    <xf numFmtId="0" fontId="0" fillId="0" borderId="8" xfId="0" applyBorder="1" applyAlignment="1" applyProtection="1">
      <alignment horizontal="left" vertical="top" wrapText="1"/>
    </xf>
    <xf numFmtId="0" fontId="0" fillId="0" borderId="0" xfId="0" applyFont="1" applyAlignment="1" applyProtection="1">
      <alignment horizontal="center"/>
    </xf>
    <xf numFmtId="0" fontId="0" fillId="0" borderId="0" xfId="0" applyAlignment="1" applyProtection="1">
      <alignment horizontal="center"/>
    </xf>
    <xf numFmtId="0" fontId="1" fillId="0" borderId="0" xfId="0" applyFont="1" applyAlignment="1" applyProtection="1">
      <alignment horizontal="left" vertical="top" wrapText="1"/>
    </xf>
    <xf numFmtId="0" fontId="1" fillId="0" borderId="0" xfId="0" applyFont="1" applyAlignment="1" applyProtection="1">
      <alignment horizontal="left" vertical="top"/>
    </xf>
    <xf numFmtId="0" fontId="3" fillId="2" borderId="13" xfId="0" applyFont="1" applyFill="1" applyBorder="1" applyAlignment="1" applyProtection="1">
      <alignment horizontal="center"/>
    </xf>
    <xf numFmtId="0" fontId="3" fillId="2" borderId="14" xfId="0" applyFont="1" applyFill="1" applyBorder="1" applyAlignment="1" applyProtection="1">
      <alignment horizontal="center"/>
    </xf>
    <xf numFmtId="0" fontId="3" fillId="2" borderId="32" xfId="0" applyFont="1" applyFill="1" applyBorder="1" applyAlignment="1" applyProtection="1">
      <alignment horizontal="center"/>
    </xf>
    <xf numFmtId="0" fontId="15" fillId="0" borderId="0" xfId="0" applyFont="1" applyAlignment="1" applyProtection="1">
      <alignment horizontal="left" vertical="top" wrapText="1"/>
    </xf>
    <xf numFmtId="0" fontId="2" fillId="0" borderId="0" xfId="0" applyFont="1" applyAlignment="1" applyProtection="1">
      <alignment horizontal="center"/>
    </xf>
    <xf numFmtId="0" fontId="3" fillId="2" borderId="9" xfId="0" applyFont="1" applyFill="1" applyBorder="1" applyAlignment="1" applyProtection="1">
      <alignment horizontal="center"/>
    </xf>
    <xf numFmtId="0" fontId="3" fillId="2" borderId="10" xfId="0" applyFont="1" applyFill="1" applyBorder="1" applyAlignment="1" applyProtection="1">
      <alignment horizontal="center"/>
    </xf>
    <xf numFmtId="0" fontId="1" fillId="3" borderId="15" xfId="0" applyFont="1" applyFill="1" applyBorder="1" applyAlignment="1" applyProtection="1">
      <alignment horizontal="center"/>
    </xf>
    <xf numFmtId="0" fontId="1" fillId="3" borderId="16" xfId="0" applyFont="1" applyFill="1" applyBorder="1" applyAlignment="1" applyProtection="1">
      <alignment horizontal="center"/>
    </xf>
    <xf numFmtId="0" fontId="3" fillId="2" borderId="25" xfId="0" applyFont="1" applyFill="1" applyBorder="1" applyAlignment="1" applyProtection="1">
      <alignment horizontal="center"/>
    </xf>
    <xf numFmtId="0" fontId="3" fillId="2" borderId="26" xfId="0" applyFont="1" applyFill="1" applyBorder="1" applyAlignment="1" applyProtection="1">
      <alignment horizontal="center"/>
    </xf>
    <xf numFmtId="0" fontId="3" fillId="2" borderId="15" xfId="0" applyFont="1" applyFill="1" applyBorder="1" applyAlignment="1" applyProtection="1">
      <alignment horizontal="center"/>
    </xf>
    <xf numFmtId="0" fontId="3" fillId="2" borderId="16" xfId="0" applyFont="1" applyFill="1" applyBorder="1" applyAlignment="1" applyProtection="1">
      <alignment horizontal="center"/>
    </xf>
    <xf numFmtId="0" fontId="0" fillId="5" borderId="30" xfId="0" applyFill="1" applyBorder="1" applyAlignment="1" applyProtection="1">
      <alignment horizontal="left" vertical="top"/>
    </xf>
    <xf numFmtId="0" fontId="0" fillId="5" borderId="0" xfId="0" applyFill="1" applyBorder="1" applyAlignment="1" applyProtection="1">
      <alignment horizontal="left" vertical="top"/>
    </xf>
    <xf numFmtId="0" fontId="3" fillId="2" borderId="1" xfId="0" applyFont="1" applyFill="1" applyBorder="1" applyAlignment="1" applyProtection="1">
      <alignment horizontal="center"/>
    </xf>
    <xf numFmtId="0" fontId="3" fillId="2" borderId="2" xfId="0" applyFont="1" applyFill="1" applyBorder="1" applyAlignment="1" applyProtection="1">
      <alignment horizontal="center"/>
    </xf>
    <xf numFmtId="0" fontId="0" fillId="0" borderId="0" xfId="0" applyFont="1" applyAlignment="1" applyProtection="1">
      <alignment horizontal="left" vertical="top" wrapText="1"/>
    </xf>
    <xf numFmtId="0" fontId="8" fillId="3" borderId="1" xfId="0" applyFont="1" applyFill="1" applyBorder="1" applyAlignment="1" applyProtection="1">
      <alignment horizontal="center"/>
    </xf>
    <xf numFmtId="0" fontId="8" fillId="3" borderId="2" xfId="0" applyFont="1" applyFill="1" applyBorder="1" applyAlignment="1" applyProtection="1">
      <alignment horizontal="center"/>
    </xf>
    <xf numFmtId="0" fontId="3" fillId="2" borderId="19" xfId="0" applyFont="1" applyFill="1" applyBorder="1" applyAlignment="1" applyProtection="1">
      <alignment horizontal="center"/>
    </xf>
    <xf numFmtId="0" fontId="0" fillId="5" borderId="28" xfId="0" applyFill="1" applyBorder="1" applyAlignment="1" applyProtection="1">
      <alignment horizontal="left" vertical="top"/>
    </xf>
    <xf numFmtId="0" fontId="0" fillId="5" borderId="27" xfId="0" applyFill="1" applyBorder="1" applyAlignment="1" applyProtection="1">
      <alignment horizontal="left" vertical="top"/>
    </xf>
    <xf numFmtId="0" fontId="0" fillId="5" borderId="20" xfId="0" applyFill="1" applyBorder="1" applyAlignment="1" applyProtection="1">
      <alignment horizontal="left" vertical="top"/>
    </xf>
    <xf numFmtId="0" fontId="0" fillId="0" borderId="11" xfId="0" applyBorder="1" applyAlignment="1" applyProtection="1">
      <alignment horizontal="left" vertical="top"/>
    </xf>
    <xf numFmtId="0" fontId="1" fillId="3" borderId="1" xfId="0" applyFont="1" applyFill="1" applyBorder="1" applyAlignment="1" applyProtection="1">
      <alignment horizontal="center"/>
    </xf>
    <xf numFmtId="0" fontId="1" fillId="3" borderId="2" xfId="0" applyFont="1" applyFill="1" applyBorder="1" applyAlignment="1" applyProtection="1">
      <alignment horizontal="center"/>
    </xf>
    <xf numFmtId="0" fontId="3" fillId="2" borderId="21" xfId="0" applyFont="1" applyFill="1" applyBorder="1" applyAlignment="1" applyProtection="1">
      <alignment horizontal="center"/>
    </xf>
    <xf numFmtId="0" fontId="3" fillId="2" borderId="22" xfId="0" applyFont="1" applyFill="1" applyBorder="1" applyAlignment="1" applyProtection="1">
      <alignment horizontal="center"/>
    </xf>
    <xf numFmtId="0" fontId="1" fillId="3" borderId="13" xfId="0" applyFont="1" applyFill="1" applyBorder="1" applyAlignment="1" applyProtection="1">
      <alignment horizontal="center"/>
    </xf>
    <xf numFmtId="0" fontId="1" fillId="3" borderId="14" xfId="0" applyFont="1" applyFill="1" applyBorder="1" applyAlignment="1" applyProtection="1">
      <alignment horizontal="center"/>
    </xf>
    <xf numFmtId="0" fontId="8" fillId="3" borderId="13" xfId="0" applyFont="1" applyFill="1" applyBorder="1" applyAlignment="1" applyProtection="1">
      <alignment horizontal="center"/>
    </xf>
    <xf numFmtId="0" fontId="8" fillId="3" borderId="14" xfId="0" applyFont="1" applyFill="1" applyBorder="1" applyAlignment="1" applyProtection="1">
      <alignment horizontal="center"/>
    </xf>
    <xf numFmtId="0" fontId="1" fillId="4" borderId="23" xfId="0" applyFont="1" applyFill="1" applyBorder="1" applyAlignment="1" applyProtection="1">
      <alignment horizontal="center"/>
    </xf>
    <xf numFmtId="0" fontId="1" fillId="4" borderId="24" xfId="0" applyFont="1" applyFill="1" applyBorder="1" applyAlignment="1" applyProtection="1">
      <alignment horizontal="center"/>
    </xf>
    <xf numFmtId="0" fontId="0" fillId="0" borderId="19" xfId="0" applyBorder="1" applyAlignment="1" applyProtection="1">
      <alignment horizontal="left" vertical="top"/>
    </xf>
    <xf numFmtId="0" fontId="0" fillId="0" borderId="26" xfId="0" applyBorder="1" applyAlignment="1" applyProtection="1">
      <alignment horizontal="left" vertical="top"/>
    </xf>
    <xf numFmtId="0" fontId="0" fillId="0" borderId="0" xfId="0" applyBorder="1" applyAlignment="1" applyProtection="1">
      <alignment horizontal="left" vertical="top"/>
    </xf>
    <xf numFmtId="0" fontId="0" fillId="0" borderId="27" xfId="0" applyBorder="1" applyAlignment="1" applyProtection="1">
      <alignment horizontal="left" vertical="top"/>
    </xf>
    <xf numFmtId="0" fontId="0" fillId="0" borderId="28" xfId="0" applyBorder="1" applyAlignment="1" applyProtection="1">
      <alignment horizontal="left" vertical="top"/>
    </xf>
    <xf numFmtId="0" fontId="0" fillId="0" borderId="20" xfId="0" applyBorder="1" applyAlignment="1" applyProtection="1">
      <alignment horizontal="left" vertical="top"/>
    </xf>
    <xf numFmtId="0" fontId="0" fillId="0" borderId="9" xfId="0" applyBorder="1" applyAlignment="1" applyProtection="1">
      <alignment horizontal="left" vertical="top"/>
    </xf>
    <xf numFmtId="0" fontId="0" fillId="0" borderId="10" xfId="0" applyBorder="1" applyAlignment="1" applyProtection="1">
      <alignment horizontal="left" vertical="top"/>
    </xf>
    <xf numFmtId="165" fontId="0" fillId="4" borderId="12" xfId="0" applyNumberFormat="1" applyFill="1" applyBorder="1" applyAlignment="1" applyProtection="1">
      <alignment horizontal="left" vertical="center"/>
    </xf>
    <xf numFmtId="166" fontId="0" fillId="4" borderId="12" xfId="0" applyNumberFormat="1" applyFill="1" applyBorder="1" applyAlignment="1" applyProtection="1">
      <alignment horizontal="left" vertical="center"/>
    </xf>
    <xf numFmtId="0" fontId="1" fillId="0" borderId="33" xfId="0" applyFont="1" applyFill="1" applyBorder="1" applyAlignment="1" applyProtection="1">
      <alignment horizontal="right" vertical="center"/>
    </xf>
    <xf numFmtId="170" fontId="0" fillId="0" borderId="27" xfId="0" applyNumberFormat="1" applyBorder="1" applyAlignment="1" applyProtection="1">
      <alignment horizontal="left"/>
    </xf>
    <xf numFmtId="176" fontId="0" fillId="4" borderId="2" xfId="0" applyNumberFormat="1" applyFill="1" applyBorder="1" applyAlignment="1" applyProtection="1">
      <alignment horizontal="left" vertical="center"/>
    </xf>
    <xf numFmtId="178" fontId="0" fillId="4" borderId="4" xfId="0" applyNumberFormat="1" applyFill="1" applyBorder="1" applyAlignment="1" applyProtection="1">
      <alignment horizontal="left" vertical="center"/>
    </xf>
    <xf numFmtId="171" fontId="0" fillId="4" borderId="4" xfId="0" applyNumberFormat="1" applyFill="1" applyBorder="1" applyAlignment="1" applyProtection="1">
      <alignment horizontal="left" vertical="center"/>
    </xf>
    <xf numFmtId="0" fontId="8" fillId="4" borderId="34" xfId="0" applyFont="1" applyFill="1" applyBorder="1" applyAlignment="1" applyProtection="1">
      <alignment horizontal="center" vertical="center"/>
      <protection locked="0"/>
    </xf>
    <xf numFmtId="0" fontId="8" fillId="4" borderId="35"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colors>
    <mruColors>
      <color rgb="FF53CF2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CA" sz="1200"/>
              <a:t>Extended</a:t>
            </a:r>
            <a:r>
              <a:rPr lang="en-CA" sz="1200" baseline="0"/>
              <a:t> Interval Aminoglycoside Nomogram (Hartford)</a:t>
            </a:r>
            <a:endParaRPr lang="en-CA" sz="1200"/>
          </a:p>
        </c:rich>
      </c:tx>
      <c:layout>
        <c:manualLayout>
          <c:xMode val="edge"/>
          <c:yMode val="edge"/>
          <c:x val="0.20986999883303789"/>
          <c:y val="5.7568469702156788E-2"/>
        </c:manualLayout>
      </c:layout>
      <c:overlay val="1"/>
    </c:title>
    <c:autoTitleDeleted val="0"/>
    <c:plotArea>
      <c:layout>
        <c:manualLayout>
          <c:layoutTarget val="inner"/>
          <c:xMode val="edge"/>
          <c:yMode val="edge"/>
          <c:x val="9.1138017647640429E-2"/>
          <c:y val="2.8896887889013873E-2"/>
          <c:w val="0.88032031142929956"/>
          <c:h val="0.81790726159230098"/>
        </c:manualLayout>
      </c:layout>
      <c:scatterChart>
        <c:scatterStyle val="lineMarker"/>
        <c:varyColors val="0"/>
        <c:ser>
          <c:idx val="0"/>
          <c:order val="0"/>
          <c:tx>
            <c:v>Q48H</c:v>
          </c:tx>
          <c:spPr>
            <a:ln w="28575">
              <a:noFill/>
            </a:ln>
          </c:spPr>
          <c:trendline>
            <c:trendlineType val="linear"/>
            <c:dispRSqr val="0"/>
            <c:dispEq val="0"/>
          </c:trendline>
          <c:xVal>
            <c:numRef>
              <c:f>('HDEI Calculations'!$J$3,'HDEI Calculations'!$L$3)</c:f>
              <c:numCache>
                <c:formatCode>0.000</c:formatCode>
                <c:ptCount val="2"/>
                <c:pt idx="0" formatCode="0">
                  <c:v>0</c:v>
                </c:pt>
                <c:pt idx="1">
                  <c:v>17.987276415268301</c:v>
                </c:pt>
              </c:numCache>
            </c:numRef>
          </c:xVal>
          <c:yVal>
            <c:numRef>
              <c:f>('HDEI Calculations'!$K$3,'HDEI Calculations'!$M$3)</c:f>
              <c:numCache>
                <c:formatCode>0</c:formatCode>
                <c:ptCount val="2"/>
                <c:pt idx="0" formatCode="0.000">
                  <c:v>19.509</c:v>
                </c:pt>
                <c:pt idx="1">
                  <c:v>0</c:v>
                </c:pt>
              </c:numCache>
            </c:numRef>
          </c:yVal>
          <c:smooth val="0"/>
        </c:ser>
        <c:ser>
          <c:idx val="1"/>
          <c:order val="1"/>
          <c:tx>
            <c:v>Q36H</c:v>
          </c:tx>
          <c:spPr>
            <a:ln w="28575">
              <a:noFill/>
            </a:ln>
          </c:spPr>
          <c:trendline>
            <c:trendlineType val="linear"/>
            <c:dispRSqr val="0"/>
            <c:dispEq val="0"/>
          </c:trendline>
          <c:xVal>
            <c:numRef>
              <c:f>('HDEI Calculations'!$J$4,'HDEI Calculations'!$L$4)</c:f>
              <c:numCache>
                <c:formatCode>0.000</c:formatCode>
                <c:ptCount val="2"/>
                <c:pt idx="0" formatCode="0">
                  <c:v>0</c:v>
                </c:pt>
                <c:pt idx="1">
                  <c:v>16.418829323735554</c:v>
                </c:pt>
              </c:numCache>
            </c:numRef>
          </c:xVal>
          <c:yVal>
            <c:numRef>
              <c:f>('HDEI Calculations'!$K$4,'HDEI Calculations'!$M$4)</c:f>
              <c:numCache>
                <c:formatCode>0</c:formatCode>
                <c:ptCount val="2"/>
                <c:pt idx="0" formatCode="0.000">
                  <c:v>17.335000000000001</c:v>
                </c:pt>
                <c:pt idx="1">
                  <c:v>0</c:v>
                </c:pt>
              </c:numCache>
            </c:numRef>
          </c:yVal>
          <c:smooth val="0"/>
        </c:ser>
        <c:ser>
          <c:idx val="2"/>
          <c:order val="2"/>
          <c:tx>
            <c:v>Q24H</c:v>
          </c:tx>
          <c:spPr>
            <a:ln w="28575">
              <a:noFill/>
            </a:ln>
          </c:spPr>
          <c:trendline>
            <c:trendlineType val="linear"/>
            <c:dispRSqr val="0"/>
            <c:dispEq val="0"/>
          </c:trendline>
          <c:xVal>
            <c:numRef>
              <c:f>('HDEI Calculations'!$J$5,'HDEI Calculations'!$L$5)</c:f>
              <c:numCache>
                <c:formatCode>0.000</c:formatCode>
                <c:ptCount val="2"/>
                <c:pt idx="0" formatCode="0">
                  <c:v>0</c:v>
                </c:pt>
                <c:pt idx="1">
                  <c:v>16.567247386759583</c:v>
                </c:pt>
              </c:numCache>
            </c:numRef>
          </c:xVal>
          <c:yVal>
            <c:numRef>
              <c:f>('HDEI Calculations'!$K$5,'HDEI Calculations'!$M$5)</c:f>
              <c:numCache>
                <c:formatCode>0</c:formatCode>
                <c:ptCount val="2"/>
                <c:pt idx="0" formatCode="0.000">
                  <c:v>11.887</c:v>
                </c:pt>
                <c:pt idx="1">
                  <c:v>0</c:v>
                </c:pt>
              </c:numCache>
            </c:numRef>
          </c:yVal>
          <c:smooth val="0"/>
        </c:ser>
        <c:ser>
          <c:idx val="3"/>
          <c:order val="3"/>
          <c:tx>
            <c:v>Current Level</c:v>
          </c:tx>
          <c:spPr>
            <a:ln w="28575">
              <a:noFill/>
            </a:ln>
          </c:spPr>
          <c:marker>
            <c:symbol val="x"/>
            <c:size val="6"/>
          </c:marker>
          <c:dPt>
            <c:idx val="0"/>
            <c:marker>
              <c:spPr>
                <a:noFill/>
                <a:ln w="31750" cap="rnd">
                  <a:solidFill>
                    <a:schemeClr val="tx1"/>
                  </a:solidFill>
                </a:ln>
              </c:spPr>
            </c:marker>
            <c:bubble3D val="0"/>
            <c:spPr>
              <a:ln w="41275">
                <a:noFill/>
              </a:ln>
            </c:spPr>
          </c:dPt>
          <c:xVal>
            <c:numRef>
              <c:f>'HDEI Calculations'!$N$6</c:f>
            </c:numRef>
          </c:xVal>
          <c:yVal>
            <c:numRef>
              <c:f>'HDEI Calculations'!$O$6</c:f>
              <c:numCache>
                <c:formatCode>General</c:formatCode>
                <c:ptCount val="1"/>
                <c:pt idx="0">
                  <c:v>0</c:v>
                </c:pt>
              </c:numCache>
            </c:numRef>
          </c:yVal>
          <c:smooth val="0"/>
        </c:ser>
        <c:dLbls>
          <c:showLegendKey val="0"/>
          <c:showVal val="0"/>
          <c:showCatName val="0"/>
          <c:showSerName val="0"/>
          <c:showPercent val="0"/>
          <c:showBubbleSize val="0"/>
        </c:dLbls>
        <c:axId val="134536576"/>
        <c:axId val="135169536"/>
      </c:scatterChart>
      <c:valAx>
        <c:axId val="134536576"/>
        <c:scaling>
          <c:orientation val="minMax"/>
          <c:max val="14"/>
          <c:min val="6"/>
        </c:scaling>
        <c:delete val="0"/>
        <c:axPos val="b"/>
        <c:title>
          <c:tx>
            <c:rich>
              <a:bodyPr/>
              <a:lstStyle/>
              <a:p>
                <a:pPr>
                  <a:defRPr/>
                </a:pPr>
                <a:r>
                  <a:rPr lang="en-CA"/>
                  <a:t>Time between</a:t>
                </a:r>
                <a:r>
                  <a:rPr lang="en-CA" baseline="0"/>
                  <a:t> start of infusion and sample draw (h)</a:t>
                </a:r>
              </a:p>
            </c:rich>
          </c:tx>
          <c:layout/>
          <c:overlay val="0"/>
        </c:title>
        <c:numFmt formatCode="0" sourceLinked="1"/>
        <c:majorTickMark val="in"/>
        <c:minorTickMark val="in"/>
        <c:tickLblPos val="nextTo"/>
        <c:crossAx val="135169536"/>
        <c:crosses val="autoZero"/>
        <c:crossBetween val="midCat"/>
        <c:majorUnit val="1"/>
        <c:minorUnit val="0.5"/>
      </c:valAx>
      <c:valAx>
        <c:axId val="135169536"/>
        <c:scaling>
          <c:orientation val="minMax"/>
          <c:max val="14"/>
          <c:min val="2"/>
        </c:scaling>
        <c:delete val="0"/>
        <c:axPos val="l"/>
        <c:majorGridlines/>
        <c:title>
          <c:tx>
            <c:rich>
              <a:bodyPr rot="-5400000" vert="horz"/>
              <a:lstStyle/>
              <a:p>
                <a:pPr>
                  <a:defRPr/>
                </a:pPr>
                <a:r>
                  <a:rPr lang="en-CA"/>
                  <a:t>Serum getmaicin</a:t>
                </a:r>
                <a:r>
                  <a:rPr lang="en-CA" baseline="0"/>
                  <a:t> level (mg/L)</a:t>
                </a:r>
                <a:endParaRPr lang="en-CA"/>
              </a:p>
            </c:rich>
          </c:tx>
          <c:layout/>
          <c:overlay val="0"/>
        </c:title>
        <c:numFmt formatCode="0" sourceLinked="0"/>
        <c:majorTickMark val="in"/>
        <c:minorTickMark val="in"/>
        <c:tickLblPos val="nextTo"/>
        <c:crossAx val="134536576"/>
        <c:crosses val="autoZero"/>
        <c:crossBetween val="midCat"/>
        <c:majorUnit val="2"/>
        <c:minorUnit val="1"/>
      </c:valAx>
    </c:plotArea>
    <c:plotVisOnly val="1"/>
    <c:dispBlanksAs val="gap"/>
    <c:showDLblsOverMax val="0"/>
  </c:chart>
  <c:printSettings>
    <c:headerFooter/>
    <c:pageMargins b="1" l="1" r="1" t="1" header="0.5" footer="0.5"/>
    <c:pageSetup orientation="portrait"/>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12</xdr:row>
      <xdr:rowOff>104775</xdr:rowOff>
    </xdr:from>
    <xdr:to>
      <xdr:col>8</xdr:col>
      <xdr:colOff>19049</xdr:colOff>
      <xdr:row>33</xdr:row>
      <xdr:rowOff>104775</xdr:rowOff>
    </xdr:to>
    <xdr:graphicFrame macro="">
      <xdr:nvGraphicFramePr>
        <xdr:cNvPr id="3" name="Extended Interval Aminoglycoside Nomogram (Hartford)"/>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0.10105</cdr:x>
      <cdr:y>0.15489</cdr:y>
    </cdr:from>
    <cdr:to>
      <cdr:x>0.19686</cdr:x>
      <cdr:y>0.23913</cdr:y>
    </cdr:to>
    <cdr:sp macro="" textlink="">
      <cdr:nvSpPr>
        <cdr:cNvPr id="2" name="TextBox 1"/>
        <cdr:cNvSpPr txBox="1"/>
      </cdr:nvSpPr>
      <cdr:spPr>
        <a:xfrm xmlns:a="http://schemas.openxmlformats.org/drawingml/2006/main">
          <a:off x="552450" y="542925"/>
          <a:ext cx="523875" cy="2952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b="1"/>
            <a:t>Q48H</a:t>
          </a:r>
        </a:p>
      </cdr:txBody>
    </cdr:sp>
  </cdr:relSizeAnchor>
  <cdr:relSizeAnchor xmlns:cdr="http://schemas.openxmlformats.org/drawingml/2006/chartDrawing">
    <cdr:from>
      <cdr:x>0.10163</cdr:x>
      <cdr:y>0.29438</cdr:y>
    </cdr:from>
    <cdr:to>
      <cdr:x>0.19744</cdr:x>
      <cdr:y>0.37862</cdr:y>
    </cdr:to>
    <cdr:sp macro="" textlink="">
      <cdr:nvSpPr>
        <cdr:cNvPr id="3" name="TextBox 1"/>
        <cdr:cNvSpPr txBox="1"/>
      </cdr:nvSpPr>
      <cdr:spPr>
        <a:xfrm xmlns:a="http://schemas.openxmlformats.org/drawingml/2006/main">
          <a:off x="555625" y="1031875"/>
          <a:ext cx="523875" cy="2952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CA" sz="1100" b="1"/>
            <a:t>Q36H</a:t>
          </a:r>
        </a:p>
      </cdr:txBody>
    </cdr:sp>
  </cdr:relSizeAnchor>
  <cdr:relSizeAnchor xmlns:cdr="http://schemas.openxmlformats.org/drawingml/2006/chartDrawing">
    <cdr:from>
      <cdr:x>0.09408</cdr:x>
      <cdr:y>0.49345</cdr:y>
    </cdr:from>
    <cdr:to>
      <cdr:x>0.1899</cdr:x>
      <cdr:y>0.57769</cdr:y>
    </cdr:to>
    <cdr:sp macro="" textlink="">
      <cdr:nvSpPr>
        <cdr:cNvPr id="4" name="TextBox 1"/>
        <cdr:cNvSpPr txBox="1"/>
      </cdr:nvSpPr>
      <cdr:spPr>
        <a:xfrm xmlns:a="http://schemas.openxmlformats.org/drawingml/2006/main">
          <a:off x="617410" y="1974056"/>
          <a:ext cx="628833" cy="33699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CA" sz="1100" b="1"/>
            <a:t>Q24H</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8"/>
  <sheetViews>
    <sheetView tabSelected="1" workbookViewId="0">
      <selection activeCell="B6" sqref="B6"/>
    </sheetView>
  </sheetViews>
  <sheetFormatPr defaultRowHeight="15" x14ac:dyDescent="0.25"/>
  <cols>
    <col min="1" max="1" width="14" style="8" bestFit="1" customWidth="1"/>
    <col min="2" max="2" width="11.28515625" style="8" bestFit="1" customWidth="1"/>
    <col min="3" max="3" width="5.7109375" style="8" customWidth="1"/>
    <col min="4" max="4" width="15.85546875" style="8" bestFit="1" customWidth="1"/>
    <col min="5" max="5" width="11.140625" style="8" bestFit="1" customWidth="1"/>
    <col min="6" max="6" width="5.7109375" style="8" customWidth="1"/>
    <col min="7" max="7" width="16.28515625" style="8" bestFit="1" customWidth="1"/>
    <col min="8" max="8" width="15.5703125" style="8" bestFit="1" customWidth="1"/>
    <col min="9" max="16384" width="9.140625" style="8"/>
  </cols>
  <sheetData>
    <row r="1" spans="1:9" ht="18.75" x14ac:dyDescent="0.3">
      <c r="A1" s="115" t="s">
        <v>51</v>
      </c>
      <c r="B1" s="115"/>
      <c r="C1" s="115"/>
      <c r="D1" s="115"/>
      <c r="E1" s="115"/>
      <c r="F1" s="115"/>
      <c r="G1" s="115"/>
      <c r="H1" s="115"/>
    </row>
    <row r="2" spans="1:9" ht="6.95" customHeight="1" x14ac:dyDescent="0.25">
      <c r="A2" s="107"/>
      <c r="B2" s="107"/>
      <c r="C2" s="107"/>
      <c r="D2" s="107"/>
      <c r="E2" s="107"/>
      <c r="F2" s="107"/>
      <c r="G2" s="107"/>
      <c r="H2" s="107"/>
    </row>
    <row r="3" spans="1:9" ht="133.5" customHeight="1" x14ac:dyDescent="0.25">
      <c r="A3" s="109" t="s">
        <v>71</v>
      </c>
      <c r="B3" s="110"/>
      <c r="C3" s="110"/>
      <c r="D3" s="110"/>
      <c r="E3" s="114" t="s">
        <v>67</v>
      </c>
      <c r="F3" s="114"/>
      <c r="G3" s="114"/>
      <c r="H3" s="114"/>
      <c r="I3" s="97"/>
    </row>
    <row r="4" spans="1:9" ht="6.95" customHeight="1" thickBot="1" x14ac:dyDescent="0.3">
      <c r="A4" s="108"/>
      <c r="B4" s="108"/>
      <c r="C4" s="108"/>
      <c r="D4" s="108"/>
      <c r="E4" s="108"/>
      <c r="F4" s="108"/>
      <c r="G4" s="108"/>
      <c r="H4" s="108"/>
    </row>
    <row r="5" spans="1:9" ht="16.5" thickBot="1" x14ac:dyDescent="0.3">
      <c r="A5" s="111" t="s">
        <v>0</v>
      </c>
      <c r="B5" s="112"/>
      <c r="D5" s="111" t="s">
        <v>72</v>
      </c>
      <c r="E5" s="112"/>
      <c r="F5" s="32"/>
      <c r="G5" s="120" t="s">
        <v>15</v>
      </c>
      <c r="H5" s="121"/>
    </row>
    <row r="6" spans="1:9" ht="15.75" thickBot="1" x14ac:dyDescent="0.3">
      <c r="A6" s="93" t="s">
        <v>1</v>
      </c>
      <c r="B6" s="94"/>
      <c r="D6" s="95" t="s">
        <v>68</v>
      </c>
      <c r="E6" s="98" t="s">
        <v>69</v>
      </c>
      <c r="F6" s="71"/>
      <c r="G6" s="90" t="s">
        <v>42</v>
      </c>
      <c r="H6" s="72"/>
    </row>
    <row r="7" spans="1:9" ht="15.75" thickBot="1" x14ac:dyDescent="0.3">
      <c r="A7" s="1" t="s">
        <v>2</v>
      </c>
      <c r="B7" s="25" t="s">
        <v>3</v>
      </c>
      <c r="F7" s="71"/>
      <c r="G7" s="6" t="s">
        <v>12</v>
      </c>
      <c r="H7" s="92"/>
    </row>
    <row r="8" spans="1:9" ht="16.5" thickBot="1" x14ac:dyDescent="0.3">
      <c r="A8" s="1" t="s">
        <v>4</v>
      </c>
      <c r="B8" s="26"/>
      <c r="D8" s="116" t="s">
        <v>9</v>
      </c>
      <c r="E8" s="117"/>
      <c r="F8" s="71"/>
      <c r="G8" s="90" t="s">
        <v>40</v>
      </c>
      <c r="H8" s="77"/>
    </row>
    <row r="9" spans="1:9" x14ac:dyDescent="0.25">
      <c r="A9" s="1" t="s">
        <v>5</v>
      </c>
      <c r="B9" s="27"/>
      <c r="D9" s="118" t="s">
        <v>32</v>
      </c>
      <c r="E9" s="119"/>
      <c r="F9" s="71"/>
      <c r="G9" s="90" t="s">
        <v>41</v>
      </c>
      <c r="H9" s="77"/>
    </row>
    <row r="10" spans="1:9" ht="15.75" thickBot="1" x14ac:dyDescent="0.3">
      <c r="A10" s="2" t="str">
        <f>'HDEI Calculations'!A8</f>
        <v xml:space="preserve">Calc Wt: </v>
      </c>
      <c r="B10" s="3" t="str">
        <f>'HDEI Calculations'!B8</f>
        <v/>
      </c>
      <c r="D10" s="6" t="s">
        <v>12</v>
      </c>
      <c r="E10" s="92">
        <v>6</v>
      </c>
      <c r="F10" s="71"/>
      <c r="G10" s="91" t="s">
        <v>48</v>
      </c>
      <c r="H10" s="36" t="str">
        <f>'HDEI Calculations'!E15</f>
        <v/>
      </c>
    </row>
    <row r="11" spans="1:9" x14ac:dyDescent="0.25">
      <c r="A11" s="1" t="s">
        <v>6</v>
      </c>
      <c r="B11" s="28"/>
      <c r="D11" s="6" t="s">
        <v>13</v>
      </c>
      <c r="E11" s="59" t="str">
        <f>'HDEI Calculations'!E7</f>
        <v/>
      </c>
      <c r="F11" s="71"/>
    </row>
    <row r="12" spans="1:9" ht="15.75" thickBot="1" x14ac:dyDescent="0.3">
      <c r="A12" s="4" t="s">
        <v>7</v>
      </c>
      <c r="B12" s="5" t="str">
        <f>'HDEI Calculations'!B10</f>
        <v/>
      </c>
      <c r="D12" s="7" t="s">
        <v>14</v>
      </c>
      <c r="E12" s="36" t="str">
        <f>'HDEI Calculations'!E8</f>
        <v/>
      </c>
    </row>
    <row r="34" spans="1:8" ht="15.75" thickBot="1" x14ac:dyDescent="0.3"/>
    <row r="35" spans="1:8" ht="16.5" thickBot="1" x14ac:dyDescent="0.3">
      <c r="A35" s="111" t="s">
        <v>70</v>
      </c>
      <c r="B35" s="113"/>
      <c r="C35" s="113"/>
      <c r="D35" s="113"/>
      <c r="E35" s="113"/>
      <c r="F35" s="113"/>
      <c r="G35" s="113"/>
      <c r="H35" s="112"/>
    </row>
    <row r="36" spans="1:8" x14ac:dyDescent="0.25">
      <c r="A36" s="101" t="s">
        <v>74</v>
      </c>
      <c r="B36" s="102"/>
      <c r="C36" s="102"/>
      <c r="D36" s="102"/>
      <c r="E36" s="102"/>
      <c r="F36" s="102"/>
      <c r="G36" s="102"/>
      <c r="H36" s="103"/>
    </row>
    <row r="37" spans="1:8" ht="30" customHeight="1" thickBot="1" x14ac:dyDescent="0.3">
      <c r="A37" s="104" t="s">
        <v>75</v>
      </c>
      <c r="B37" s="105"/>
      <c r="C37" s="105"/>
      <c r="D37" s="105"/>
      <c r="E37" s="105"/>
      <c r="F37" s="105"/>
      <c r="G37" s="105"/>
      <c r="H37" s="106"/>
    </row>
    <row r="38" spans="1:8" x14ac:dyDescent="0.25">
      <c r="A38" s="96"/>
      <c r="B38" s="96"/>
      <c r="C38" s="96"/>
      <c r="D38" s="96"/>
    </row>
  </sheetData>
  <mergeCells count="13">
    <mergeCell ref="A1:H1"/>
    <mergeCell ref="A5:B5"/>
    <mergeCell ref="D8:E8"/>
    <mergeCell ref="D9:E9"/>
    <mergeCell ref="G5:H5"/>
    <mergeCell ref="A36:H36"/>
    <mergeCell ref="A37:H37"/>
    <mergeCell ref="A2:H2"/>
    <mergeCell ref="A4:H4"/>
    <mergeCell ref="A3:D3"/>
    <mergeCell ref="D5:E5"/>
    <mergeCell ref="A35:H35"/>
    <mergeCell ref="E3:H3"/>
  </mergeCells>
  <dataValidations xWindow="555" yWindow="461" count="9">
    <dataValidation type="list" allowBlank="1" showInputMessage="1" showErrorMessage="1" sqref="B7">
      <formula1>"Male,Female"</formula1>
    </dataValidation>
    <dataValidation type="decimal" allowBlank="1" showInputMessage="1" showErrorMessage="1" prompt="Height in cm" sqref="B8">
      <formula1>0</formula1>
      <formula2>250</formula2>
    </dataValidation>
    <dataValidation type="decimal" allowBlank="1" showInputMessage="1" showErrorMessage="1" prompt="Weight in kg" sqref="B9">
      <formula1>0</formula1>
      <formula2>1000</formula2>
    </dataValidation>
    <dataValidation type="decimal" allowBlank="1" showInputMessage="1" showErrorMessage="1" prompt="Age in years" sqref="B6">
      <formula1>0</formula1>
      <formula2>150</formula2>
    </dataValidation>
    <dataValidation type="decimal" allowBlank="1" showInputMessage="1" showErrorMessage="1" prompt="SCr in μmol/L" sqref="B11">
      <formula1>0</formula1>
      <formula2>5000</formula2>
    </dataValidation>
    <dataValidation type="decimal" allowBlank="1" showInputMessage="1" showErrorMessage="1" prompt="Dose in mg/kg" sqref="E10 H7">
      <formula1>0</formula1>
      <formula2>20</formula2>
    </dataValidation>
    <dataValidation type="decimal" allowBlank="1" showInputMessage="1" showErrorMessage="1" prompt="Level in mg/L" sqref="H6">
      <formula1>0</formula1>
      <formula2>50</formula2>
    </dataValidation>
    <dataValidation allowBlank="1" showInputMessage="1" showErrorMessage="1" prompt="Time in YYYY-MM-DD HH:MM" sqref="H8:H9"/>
    <dataValidation type="list" allowBlank="1" showInputMessage="1" showErrorMessage="1" sqref="E6">
      <formula1>"Gentamicin, Tobramycin, Amikacin"</formula1>
    </dataValidation>
  </dataValidations>
  <pageMargins left="0.25" right="0.25" top="0.75" bottom="0.75" header="0.3" footer="0.3"/>
  <pageSetup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8"/>
  <sheetViews>
    <sheetView workbookViewId="0">
      <selection activeCell="K9" sqref="K9"/>
    </sheetView>
  </sheetViews>
  <sheetFormatPr defaultRowHeight="15" x14ac:dyDescent="0.25"/>
  <cols>
    <col min="1" max="1" width="14" style="8" bestFit="1" customWidth="1"/>
    <col min="2" max="2" width="12.28515625" style="8" bestFit="1" customWidth="1"/>
    <col min="3" max="3" width="5.7109375" style="8" customWidth="1"/>
    <col min="4" max="4" width="14" style="8" bestFit="1" customWidth="1"/>
    <col min="5" max="5" width="15.5703125" style="8" bestFit="1" customWidth="1"/>
    <col min="6" max="6" width="5.7109375" style="8" customWidth="1"/>
    <col min="7" max="7" width="15.5703125" style="8" bestFit="1" customWidth="1"/>
    <col min="8" max="8" width="9.42578125" style="8" bestFit="1" customWidth="1"/>
    <col min="9" max="16384" width="9.140625" style="8"/>
  </cols>
  <sheetData>
    <row r="1" spans="1:9" ht="18.75" x14ac:dyDescent="0.3">
      <c r="A1" s="115" t="s">
        <v>66</v>
      </c>
      <c r="B1" s="115"/>
      <c r="C1" s="115"/>
      <c r="D1" s="115"/>
      <c r="E1" s="115"/>
      <c r="F1" s="115"/>
      <c r="G1" s="115"/>
      <c r="H1" s="115"/>
      <c r="I1" s="115"/>
    </row>
    <row r="2" spans="1:9" s="99" customFormat="1" ht="6.95" customHeight="1" x14ac:dyDescent="0.25">
      <c r="A2" s="107"/>
      <c r="B2" s="107"/>
      <c r="C2" s="107"/>
      <c r="D2" s="107"/>
      <c r="E2" s="107"/>
      <c r="F2" s="107"/>
      <c r="G2" s="107"/>
      <c r="H2" s="107"/>
      <c r="I2" s="107"/>
    </row>
    <row r="3" spans="1:9" s="99" customFormat="1" ht="107.25" customHeight="1" x14ac:dyDescent="0.25">
      <c r="A3" s="128" t="s">
        <v>73</v>
      </c>
      <c r="B3" s="128"/>
      <c r="C3" s="128"/>
      <c r="D3" s="128"/>
      <c r="E3" s="128"/>
      <c r="F3" s="128"/>
      <c r="G3" s="128"/>
      <c r="H3" s="128"/>
      <c r="I3" s="128"/>
    </row>
    <row r="4" spans="1:9" ht="15" customHeight="1" thickBot="1" x14ac:dyDescent="0.3"/>
    <row r="5" spans="1:9" ht="16.5" thickBot="1" x14ac:dyDescent="0.3">
      <c r="A5" s="126" t="s">
        <v>0</v>
      </c>
      <c r="B5" s="127"/>
      <c r="D5" s="120" t="s">
        <v>16</v>
      </c>
      <c r="E5" s="131"/>
      <c r="F5" s="131"/>
      <c r="G5" s="131"/>
      <c r="H5" s="121"/>
    </row>
    <row r="6" spans="1:9" x14ac:dyDescent="0.25">
      <c r="A6" s="6" t="s">
        <v>1</v>
      </c>
      <c r="B6" s="38"/>
      <c r="D6" s="136" t="s">
        <v>57</v>
      </c>
      <c r="E6" s="137"/>
      <c r="F6" s="125"/>
      <c r="G6" s="129" t="s">
        <v>63</v>
      </c>
      <c r="H6" s="130"/>
    </row>
    <row r="7" spans="1:9" x14ac:dyDescent="0.25">
      <c r="A7" s="6" t="s">
        <v>2</v>
      </c>
      <c r="B7" s="39" t="s">
        <v>3</v>
      </c>
      <c r="D7" s="100" t="s">
        <v>52</v>
      </c>
      <c r="E7" s="23" t="str">
        <f>'Conventional Calculations'!E3</f>
        <v/>
      </c>
      <c r="F7" s="125"/>
      <c r="G7" s="22" t="s">
        <v>59</v>
      </c>
      <c r="H7" s="72"/>
    </row>
    <row r="8" spans="1:9" x14ac:dyDescent="0.25">
      <c r="A8" s="6" t="s">
        <v>4</v>
      </c>
      <c r="B8" s="40"/>
      <c r="D8" s="6" t="s">
        <v>17</v>
      </c>
      <c r="E8" s="21" t="str">
        <f>'Conventional Calculations'!E4</f>
        <v/>
      </c>
      <c r="F8" s="125"/>
      <c r="G8" s="22" t="s">
        <v>60</v>
      </c>
      <c r="H8" s="72"/>
    </row>
    <row r="9" spans="1:9" x14ac:dyDescent="0.25">
      <c r="A9" s="6" t="s">
        <v>5</v>
      </c>
      <c r="B9" s="41"/>
      <c r="D9" s="6" t="s">
        <v>22</v>
      </c>
      <c r="E9" s="45">
        <v>0.3</v>
      </c>
      <c r="F9" s="125"/>
      <c r="G9" s="6" t="s">
        <v>29</v>
      </c>
      <c r="H9" s="73"/>
    </row>
    <row r="10" spans="1:9" ht="15.75" thickBot="1" x14ac:dyDescent="0.3">
      <c r="A10" s="17" t="str">
        <f>'Conventional Calculations'!A8</f>
        <v xml:space="preserve">Calc Wt: </v>
      </c>
      <c r="B10" s="18" t="str">
        <f>'Conventional Calculations'!B8</f>
        <v/>
      </c>
      <c r="D10" s="7" t="s">
        <v>22</v>
      </c>
      <c r="E10" s="48" t="str">
        <f>'Conventional Calculations'!E6</f>
        <v/>
      </c>
      <c r="F10" s="125"/>
      <c r="G10" s="22" t="s">
        <v>27</v>
      </c>
      <c r="H10" s="74"/>
    </row>
    <row r="11" spans="1:9" ht="15.75" thickBot="1" x14ac:dyDescent="0.3">
      <c r="A11" s="6" t="s">
        <v>6</v>
      </c>
      <c r="B11" s="42"/>
      <c r="D11" s="124"/>
      <c r="E11" s="125"/>
      <c r="F11" s="125"/>
      <c r="G11" s="6" t="s">
        <v>13</v>
      </c>
      <c r="H11" s="59" t="str">
        <f>'Conventional Calculations'!H7</f>
        <v/>
      </c>
    </row>
    <row r="12" spans="1:9" ht="15.75" thickBot="1" x14ac:dyDescent="0.3">
      <c r="A12" s="7" t="s">
        <v>7</v>
      </c>
      <c r="B12" s="19" t="str">
        <f>'Conventional Calculations'!B10</f>
        <v/>
      </c>
      <c r="D12" s="129" t="s">
        <v>23</v>
      </c>
      <c r="E12" s="130"/>
      <c r="F12" s="125"/>
      <c r="G12" s="69" t="s">
        <v>61</v>
      </c>
      <c r="H12" s="60" t="str">
        <f>'Conventional Calculations'!H8</f>
        <v/>
      </c>
    </row>
    <row r="13" spans="1:9" ht="15.75" thickBot="1" x14ac:dyDescent="0.3">
      <c r="A13" s="135"/>
      <c r="B13" s="135"/>
      <c r="D13" s="161" t="s">
        <v>77</v>
      </c>
      <c r="E13" s="162"/>
      <c r="F13" s="125"/>
      <c r="G13" s="125"/>
      <c r="H13" s="133"/>
    </row>
    <row r="14" spans="1:9" ht="16.5" thickBot="1" x14ac:dyDescent="0.3">
      <c r="A14" s="122" t="s">
        <v>10</v>
      </c>
      <c r="B14" s="123"/>
      <c r="D14" s="6" t="s">
        <v>13</v>
      </c>
      <c r="E14" s="75"/>
      <c r="F14" s="125"/>
      <c r="G14" s="129" t="s">
        <v>62</v>
      </c>
      <c r="H14" s="130"/>
    </row>
    <row r="15" spans="1:9" x14ac:dyDescent="0.25">
      <c r="A15" s="70" t="s">
        <v>12</v>
      </c>
      <c r="B15" s="78">
        <v>2</v>
      </c>
      <c r="D15" s="22" t="str">
        <f>'Conventional Calculations'!D11</f>
        <v xml:space="preserve">Interval: </v>
      </c>
      <c r="E15" s="76"/>
      <c r="F15" s="125"/>
      <c r="G15" s="10" t="s">
        <v>8</v>
      </c>
      <c r="H15" s="29"/>
    </row>
    <row r="16" spans="1:9" ht="15.75" thickBot="1" x14ac:dyDescent="0.3">
      <c r="A16" s="7" t="s">
        <v>13</v>
      </c>
      <c r="B16" s="35" t="str">
        <f>'Conventional Calculations'!B14</f>
        <v/>
      </c>
      <c r="D16" s="6" t="str">
        <f>'Conventional Calculations'!D12</f>
        <v xml:space="preserve">Infusion Start: </v>
      </c>
      <c r="E16" s="77"/>
      <c r="F16" s="125"/>
      <c r="G16" s="10" t="s">
        <v>31</v>
      </c>
      <c r="H16" s="30"/>
    </row>
    <row r="17" spans="1:9" ht="15.75" thickBot="1" x14ac:dyDescent="0.3">
      <c r="A17" s="135"/>
      <c r="B17" s="135"/>
      <c r="D17" s="6" t="str">
        <f>'Conventional Calculations'!D13</f>
        <v xml:space="preserve">Infusion Stop: </v>
      </c>
      <c r="E17" s="77"/>
      <c r="F17" s="125"/>
      <c r="G17" s="13" t="s">
        <v>56</v>
      </c>
      <c r="H17" s="31"/>
    </row>
    <row r="18" spans="1:9" ht="16.5" thickBot="1" x14ac:dyDescent="0.3">
      <c r="A18" s="122" t="s">
        <v>11</v>
      </c>
      <c r="B18" s="123"/>
      <c r="D18" s="6" t="str">
        <f>IF(D13="","",IF(D13="Peak &amp; Trough Values","Peak =","C1 ="))</f>
        <v>C1 =</v>
      </c>
      <c r="E18" s="72"/>
      <c r="F18" s="125"/>
      <c r="G18" s="9" t="s">
        <v>55</v>
      </c>
      <c r="H18" s="46"/>
    </row>
    <row r="19" spans="1:9" x14ac:dyDescent="0.25">
      <c r="A19" s="70" t="s">
        <v>12</v>
      </c>
      <c r="B19" s="78">
        <v>1.5</v>
      </c>
      <c r="D19" s="6" t="str">
        <f>IF(D13="","",IF(D13="Peak &amp; Trough Values","Peak drawn: ","C1 drawn: "))</f>
        <v xml:space="preserve">C1 drawn: </v>
      </c>
      <c r="E19" s="77"/>
      <c r="F19" s="125"/>
      <c r="G19" s="9" t="s">
        <v>53</v>
      </c>
      <c r="H19" s="11" t="str">
        <f>'Conventional Calculations'!H15</f>
        <v/>
      </c>
    </row>
    <row r="20" spans="1:9" ht="15.75" thickBot="1" x14ac:dyDescent="0.3">
      <c r="A20" s="156" t="s">
        <v>13</v>
      </c>
      <c r="B20" s="157" t="str">
        <f>'Conventional Calculations'!B18</f>
        <v/>
      </c>
      <c r="D20" s="6" t="str">
        <f>IF(D13="","",IF(D13="Peak &amp; Trough Values","Trough =","C2 ="))</f>
        <v>C2 =</v>
      </c>
      <c r="E20" s="72"/>
      <c r="F20" s="125"/>
      <c r="G20" s="12" t="s">
        <v>54</v>
      </c>
      <c r="H20" s="14" t="str">
        <f>'Conventional Calculations'!H16</f>
        <v/>
      </c>
    </row>
    <row r="21" spans="1:9" ht="15.75" thickBot="1" x14ac:dyDescent="0.3">
      <c r="A21" s="7" t="s">
        <v>61</v>
      </c>
      <c r="B21" s="36" t="str">
        <f>'Conventional Calculations'!B19</f>
        <v/>
      </c>
      <c r="D21" s="6" t="str">
        <f>IF(D13="","",IF(D13="Peak &amp; Trough Values","Trough drawn: ","C2 drawn: "))</f>
        <v xml:space="preserve">C2 drawn: </v>
      </c>
      <c r="E21" s="77"/>
      <c r="F21" s="125"/>
      <c r="G21" s="125"/>
      <c r="H21" s="133"/>
    </row>
    <row r="22" spans="1:9" x14ac:dyDescent="0.25">
      <c r="D22" s="22" t="s">
        <v>27</v>
      </c>
      <c r="E22" s="23" t="str">
        <f>'Conventional Calculations'!E22</f>
        <v/>
      </c>
      <c r="F22" s="125"/>
      <c r="G22" s="125"/>
      <c r="H22" s="133"/>
    </row>
    <row r="23" spans="1:9" x14ac:dyDescent="0.25">
      <c r="D23" s="6" t="s">
        <v>28</v>
      </c>
      <c r="E23" s="21" t="str">
        <f>'Conventional Calculations'!E23</f>
        <v/>
      </c>
      <c r="F23" s="125"/>
      <c r="G23" s="125"/>
      <c r="H23" s="133"/>
    </row>
    <row r="24" spans="1:9" ht="15.75" thickBot="1" x14ac:dyDescent="0.3">
      <c r="D24" s="7" t="s">
        <v>29</v>
      </c>
      <c r="E24" s="48" t="str">
        <f>'Conventional Calculations'!E26</f>
        <v/>
      </c>
      <c r="F24" s="132"/>
      <c r="G24" s="132"/>
      <c r="H24" s="134"/>
    </row>
    <row r="25" spans="1:9" ht="15" customHeight="1" thickBot="1" x14ac:dyDescent="0.3"/>
    <row r="26" spans="1:9" ht="16.5" thickBot="1" x14ac:dyDescent="0.3">
      <c r="A26" s="111" t="s">
        <v>70</v>
      </c>
      <c r="B26" s="113"/>
      <c r="C26" s="113"/>
      <c r="D26" s="113"/>
      <c r="E26" s="113"/>
      <c r="F26" s="113"/>
      <c r="G26" s="113"/>
      <c r="H26" s="113"/>
      <c r="I26" s="112"/>
    </row>
    <row r="27" spans="1:9" x14ac:dyDescent="0.25">
      <c r="A27" s="101" t="s">
        <v>76</v>
      </c>
      <c r="B27" s="102"/>
      <c r="C27" s="102"/>
      <c r="D27" s="102"/>
      <c r="E27" s="102"/>
      <c r="F27" s="102"/>
      <c r="G27" s="102"/>
      <c r="H27" s="102"/>
      <c r="I27" s="103"/>
    </row>
    <row r="28" spans="1:9" ht="32.25" customHeight="1" thickBot="1" x14ac:dyDescent="0.3">
      <c r="A28" s="104" t="s">
        <v>75</v>
      </c>
      <c r="B28" s="105"/>
      <c r="C28" s="105"/>
      <c r="D28" s="105"/>
      <c r="E28" s="105"/>
      <c r="F28" s="105"/>
      <c r="G28" s="105"/>
      <c r="H28" s="105"/>
      <c r="I28" s="106"/>
    </row>
  </sheetData>
  <mergeCells count="21">
    <mergeCell ref="A5:B5"/>
    <mergeCell ref="A2:I2"/>
    <mergeCell ref="A1:I1"/>
    <mergeCell ref="A3:I3"/>
    <mergeCell ref="G14:H14"/>
    <mergeCell ref="G6:H6"/>
    <mergeCell ref="D5:H5"/>
    <mergeCell ref="F6:F24"/>
    <mergeCell ref="G13:H13"/>
    <mergeCell ref="G21:H24"/>
    <mergeCell ref="A13:B13"/>
    <mergeCell ref="A17:B17"/>
    <mergeCell ref="D6:E6"/>
    <mergeCell ref="D12:E12"/>
    <mergeCell ref="D13:E13"/>
    <mergeCell ref="A14:B14"/>
    <mergeCell ref="A26:I26"/>
    <mergeCell ref="A27:I27"/>
    <mergeCell ref="A28:I28"/>
    <mergeCell ref="A18:B18"/>
    <mergeCell ref="D11:E11"/>
  </mergeCells>
  <dataValidations count="17">
    <dataValidation type="decimal" allowBlank="1" showInputMessage="1" showErrorMessage="1" prompt="SCr in μmol/L" sqref="B11">
      <formula1>0</formula1>
      <formula2>5000</formula2>
    </dataValidation>
    <dataValidation type="decimal" allowBlank="1" showInputMessage="1" showErrorMessage="1" prompt="Age in years" sqref="B6">
      <formula1>0</formula1>
      <formula2>150</formula2>
    </dataValidation>
    <dataValidation type="decimal" allowBlank="1" showInputMessage="1" showErrorMessage="1" prompt="Weight in kg" sqref="B9">
      <formula1>0</formula1>
      <formula2>1000</formula2>
    </dataValidation>
    <dataValidation type="decimal" allowBlank="1" showInputMessage="1" showErrorMessage="1" prompt="Height in cm" sqref="B8">
      <formula1>0</formula1>
      <formula2>250</formula2>
    </dataValidation>
    <dataValidation type="list" allowBlank="1" showInputMessage="1" showErrorMessage="1" sqref="B7">
      <formula1>"Male,Female"</formula1>
    </dataValidation>
    <dataValidation type="decimal" allowBlank="1" showInputMessage="1" showErrorMessage="1" prompt="Vd in L/kg" sqref="E9">
      <formula1>0</formula1>
      <formula2>5</formula2>
    </dataValidation>
    <dataValidation type="list" allowBlank="1" showInputMessage="1" showErrorMessage="1" sqref="D13:E13">
      <formula1>"Peak &amp; Trough Values, C1 &amp; C2 (First Dose), C1 &amp; C2 (Other)"</formula1>
    </dataValidation>
    <dataValidation type="decimal" allowBlank="1" showInputMessage="1" showErrorMessage="1" prompt="dose in mg/kg" sqref="B15 B19">
      <formula1>0</formula1>
      <formula2>10</formula2>
    </dataValidation>
    <dataValidation type="decimal" allowBlank="1" showInputMessage="1" showErrorMessage="1" prompt="Dose in mg" sqref="H15">
      <formula1>0</formula1>
      <formula2>500</formula2>
    </dataValidation>
    <dataValidation type="decimal" allowBlank="1" showInputMessage="1" showErrorMessage="1" prompt="Interval in hours" sqref="H16 E15">
      <formula1>0</formula1>
      <formula2>200</formula2>
    </dataValidation>
    <dataValidation allowBlank="1" showInputMessage="1" showErrorMessage="1" prompt="Time in YYYY-MM-DD HH:MM" sqref="E16:E17 E19 E21"/>
    <dataValidation type="decimal" allowBlank="1" showInputMessage="1" showErrorMessage="1" prompt="Level in mg/L" sqref="H8">
      <formula1>0</formula1>
      <formula2>20</formula2>
    </dataValidation>
    <dataValidation type="decimal" allowBlank="1" showInputMessage="1" showErrorMessage="1" prompt="Vd in L" sqref="H9 H18">
      <formula1>0</formula1>
      <formula2>100</formula2>
    </dataValidation>
    <dataValidation type="decimal" allowBlank="1" showInputMessage="1" showErrorMessage="1" prompt="Ke in h⁻¹" sqref="H10 H17">
      <formula1>0</formula1>
      <formula2>5</formula2>
    </dataValidation>
    <dataValidation type="decimal" allowBlank="1" showInputMessage="1" showErrorMessage="1" prompt="Level in mg/L" sqref="H7 E20">
      <formula1>0</formula1>
      <formula2>50</formula2>
    </dataValidation>
    <dataValidation type="decimal" allowBlank="1" showInputMessage="1" showErrorMessage="1" prompt="Level in mg/L" sqref="E18">
      <formula1>0</formula1>
      <formula2>100</formula2>
    </dataValidation>
    <dataValidation type="decimal" allowBlank="1" showInputMessage="1" showErrorMessage="1" error="Please enter a value between 0 and 2500 mg" prompt="Dose in mg" sqref="E14">
      <formula1>0</formula1>
      <formula2>2500</formula2>
    </dataValidation>
  </dataValidations>
  <pageMargins left="0.25" right="0.25"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5"/>
  <sheetViews>
    <sheetView workbookViewId="0">
      <selection activeCell="O6" sqref="O6"/>
    </sheetView>
  </sheetViews>
  <sheetFormatPr defaultRowHeight="15" x14ac:dyDescent="0.25"/>
  <cols>
    <col min="1" max="1" width="13.5703125" style="8" bestFit="1" customWidth="1"/>
    <col min="2" max="2" width="12.28515625" style="8" bestFit="1" customWidth="1"/>
    <col min="3" max="3" width="4.7109375" style="8" customWidth="1"/>
    <col min="4" max="4" width="16.7109375" style="8" customWidth="1"/>
    <col min="5" max="5" width="15.5703125" style="8" bestFit="1" customWidth="1"/>
    <col min="6" max="6" width="4.7109375" style="8" customWidth="1"/>
    <col min="7" max="7" width="12.85546875" style="8" bestFit="1" customWidth="1"/>
    <col min="8" max="8" width="7.7109375" style="8" bestFit="1" customWidth="1"/>
    <col min="9" max="9" width="11" style="8" bestFit="1" customWidth="1"/>
    <col min="10" max="15" width="6.7109375" style="8" customWidth="1"/>
    <col min="16" max="16384" width="9.140625" style="8"/>
  </cols>
  <sheetData>
    <row r="1" spans="1:15" ht="16.5" thickBot="1" x14ac:dyDescent="0.3">
      <c r="A1" s="111" t="s">
        <v>0</v>
      </c>
      <c r="B1" s="112"/>
      <c r="D1" s="111" t="s">
        <v>72</v>
      </c>
      <c r="E1" s="112"/>
      <c r="G1" s="138" t="s">
        <v>33</v>
      </c>
      <c r="H1" s="139"/>
      <c r="I1" s="139"/>
      <c r="J1" s="139"/>
      <c r="K1" s="139"/>
      <c r="L1" s="139"/>
      <c r="M1" s="139"/>
      <c r="N1" s="139"/>
      <c r="O1" s="139"/>
    </row>
    <row r="2" spans="1:15" ht="15.75" thickBot="1" x14ac:dyDescent="0.3">
      <c r="A2" s="15" t="s">
        <v>1</v>
      </c>
      <c r="B2" s="33" t="str">
        <f>IF('High Dose Extended Interval'!B6="","",'High Dose Extended Interval'!B6)</f>
        <v/>
      </c>
      <c r="D2" s="95" t="s">
        <v>68</v>
      </c>
      <c r="E2" s="98" t="str">
        <f>IF('High Dose Extended Interval'!E6="","",'High Dose Extended Interval'!E6)</f>
        <v>Gentamicin</v>
      </c>
      <c r="G2" s="80"/>
      <c r="H2" s="81" t="s">
        <v>34</v>
      </c>
      <c r="I2" s="81" t="s">
        <v>35</v>
      </c>
      <c r="J2" s="81" t="s">
        <v>44</v>
      </c>
      <c r="K2" s="81" t="s">
        <v>45</v>
      </c>
      <c r="L2" s="81" t="s">
        <v>46</v>
      </c>
      <c r="M2" s="81" t="s">
        <v>47</v>
      </c>
      <c r="N2" s="81" t="s">
        <v>49</v>
      </c>
      <c r="O2" s="81" t="s">
        <v>50</v>
      </c>
    </row>
    <row r="3" spans="1:15" ht="15.75" thickBot="1" x14ac:dyDescent="0.3">
      <c r="A3" s="6" t="s">
        <v>2</v>
      </c>
      <c r="B3" s="66" t="str">
        <f>IF('High Dose Extended Interval'!B7="","",'High Dose Extended Interval'!B7)</f>
        <v>Male</v>
      </c>
      <c r="G3" s="83" t="s">
        <v>36</v>
      </c>
      <c r="H3" s="84">
        <v>-1.0846</v>
      </c>
      <c r="I3" s="85">
        <v>19.509</v>
      </c>
      <c r="J3" s="86">
        <v>0</v>
      </c>
      <c r="K3" s="87">
        <f>I3</f>
        <v>19.509</v>
      </c>
      <c r="L3" s="87">
        <f>(-I3)/H3</f>
        <v>17.987276415268301</v>
      </c>
      <c r="M3" s="86">
        <v>0</v>
      </c>
      <c r="N3" s="85" t="str">
        <f>IF(E13="","",IF(E14="","",(E13-E14)*24))</f>
        <v/>
      </c>
      <c r="O3" s="85" t="str">
        <f>IF(H3="","",IF(I3="","",IF(N3="","",(N3*H3)+I3)))</f>
        <v/>
      </c>
    </row>
    <row r="4" spans="1:15" ht="16.5" thickBot="1" x14ac:dyDescent="0.3">
      <c r="A4" s="6" t="s">
        <v>4</v>
      </c>
      <c r="B4" s="67" t="str">
        <f>IF('High Dose Extended Interval'!B8="","",'High Dose Extended Interval'!B8)</f>
        <v/>
      </c>
      <c r="D4" s="116" t="s">
        <v>9</v>
      </c>
      <c r="E4" s="117"/>
      <c r="G4" s="83" t="s">
        <v>37</v>
      </c>
      <c r="H4" s="84">
        <v>-1.0558000000000001</v>
      </c>
      <c r="I4" s="85">
        <v>17.335000000000001</v>
      </c>
      <c r="J4" s="86">
        <v>0</v>
      </c>
      <c r="K4" s="87">
        <f t="shared" ref="K4:K5" si="0">I4</f>
        <v>17.335000000000001</v>
      </c>
      <c r="L4" s="87">
        <f t="shared" ref="L4:L5" si="1">(-I4)/H4</f>
        <v>16.418829323735554</v>
      </c>
      <c r="M4" s="86">
        <v>0</v>
      </c>
      <c r="N4" s="85" t="str">
        <f>IF(E13="","",IF(E14="","",(E13-E14)*24))</f>
        <v/>
      </c>
      <c r="O4" s="85" t="str">
        <f>IF(H4="","",IF(I4="","",IF(N4="","",(N4*H4)+I4)))</f>
        <v/>
      </c>
    </row>
    <row r="5" spans="1:15" x14ac:dyDescent="0.25">
      <c r="A5" s="6" t="s">
        <v>5</v>
      </c>
      <c r="B5" s="68" t="str">
        <f>IF('High Dose Extended Interval'!B9="","",'High Dose Extended Interval'!B9)</f>
        <v/>
      </c>
      <c r="D5" s="136" t="s">
        <v>32</v>
      </c>
      <c r="E5" s="137"/>
      <c r="G5" s="83" t="s">
        <v>38</v>
      </c>
      <c r="H5" s="84">
        <v>-0.71750000000000003</v>
      </c>
      <c r="I5" s="85">
        <v>11.887</v>
      </c>
      <c r="J5" s="86">
        <v>0</v>
      </c>
      <c r="K5" s="87">
        <f t="shared" si="0"/>
        <v>11.887</v>
      </c>
      <c r="L5" s="87">
        <f t="shared" si="1"/>
        <v>16.567247386759583</v>
      </c>
      <c r="M5" s="86">
        <v>0</v>
      </c>
      <c r="N5" s="85" t="str">
        <f>IF(E13="","",IF(E14="","",(E13-E14)*24))</f>
        <v/>
      </c>
      <c r="O5" s="85" t="str">
        <f>IF(H5="","",IF(I5="","",IF(N5="","",(N5*H5)+I5)))</f>
        <v/>
      </c>
    </row>
    <row r="6" spans="1:15" x14ac:dyDescent="0.25">
      <c r="A6" s="6" t="s">
        <v>19</v>
      </c>
      <c r="B6" s="16" t="str">
        <f>IF(B4="","",IF(B3="Male",50+(0.92*(B4-150)),45.5+(0.92*(B4-150))))</f>
        <v/>
      </c>
      <c r="D6" s="6" t="s">
        <v>12</v>
      </c>
      <c r="E6" s="82">
        <f>IF('High Dose Extended Interval'!E10="","",'High Dose Extended Interval'!E10)</f>
        <v>6</v>
      </c>
      <c r="G6" s="83" t="s">
        <v>39</v>
      </c>
      <c r="H6" s="84" t="s">
        <v>43</v>
      </c>
      <c r="I6" s="84" t="s">
        <v>43</v>
      </c>
      <c r="J6" s="84" t="s">
        <v>43</v>
      </c>
      <c r="K6" s="84" t="s">
        <v>43</v>
      </c>
      <c r="L6" s="84" t="s">
        <v>43</v>
      </c>
      <c r="M6" s="84" t="s">
        <v>43</v>
      </c>
      <c r="N6" s="85" t="str">
        <f>IF(E13="","",IF(E14="","",(E13-E14)*24))</f>
        <v/>
      </c>
      <c r="O6" s="85" t="str">
        <f>IF(E2="","",IF(E11="","",IF(E12="","",IF(E2="Amikacin",IF(E12=15,E11/2,E11*7.5/E12),IF(E12=7,E11,E11*7/E12)))))</f>
        <v/>
      </c>
    </row>
    <row r="7" spans="1:15" x14ac:dyDescent="0.25">
      <c r="A7" s="6" t="s">
        <v>21</v>
      </c>
      <c r="B7" s="16" t="str">
        <f>IF(B5="","",IF(B6="","",((B5-B6)*0.4)+B6))</f>
        <v/>
      </c>
      <c r="D7" s="6" t="s">
        <v>13</v>
      </c>
      <c r="E7" s="59" t="str">
        <f>IF(B8="","",IF(E6="","",E6*B8))</f>
        <v/>
      </c>
    </row>
    <row r="8" spans="1:15" ht="15.75" thickBot="1" x14ac:dyDescent="0.3">
      <c r="A8" s="88" t="str">
        <f>IF(B5="","Calc Wt: ",IF(B6="","Calc Wt: ",IF(B5&lt;B6,"Calc Wt (ABW): ",IF(B5&gt;(B6*1.3),"Calc Wt (DW): ","Calc Wt (IBW): "))))</f>
        <v xml:space="preserve">Calc Wt: </v>
      </c>
      <c r="B8" s="18" t="str">
        <f>IF(B5="","",IF(B6="","",IF(B5&lt;B6,B5,IF(B5&gt;(B6*1.3),B7,B6))))</f>
        <v/>
      </c>
      <c r="D8" s="7" t="s">
        <v>14</v>
      </c>
      <c r="E8" s="36" t="str">
        <f>IF(B10="","",IF(B10&gt;=60,24,IF(B10&gt;=40,36,IF(B10&gt;=20,48,"--"))))</f>
        <v/>
      </c>
    </row>
    <row r="9" spans="1:15" ht="15.75" thickBot="1" x14ac:dyDescent="0.3">
      <c r="A9" s="6" t="s">
        <v>6</v>
      </c>
      <c r="B9" s="34" t="str">
        <f>IF('High Dose Extended Interval'!B11="","",'High Dose Extended Interval'!B11)</f>
        <v/>
      </c>
    </row>
    <row r="10" spans="1:15" ht="16.5" thickBot="1" x14ac:dyDescent="0.3">
      <c r="A10" s="7" t="s">
        <v>7</v>
      </c>
      <c r="B10" s="19" t="str">
        <f>IF(B2="","",IF(B3="","",IF(B8="","",IF(B9="","",IF(B3="Female",((140-B2)*B8)/B9,(((140-B2)*B8)/B9)*1.2)))))</f>
        <v/>
      </c>
      <c r="D10" s="120" t="s">
        <v>15</v>
      </c>
      <c r="E10" s="121"/>
    </row>
    <row r="11" spans="1:15" x14ac:dyDescent="0.25">
      <c r="D11" s="6" t="s">
        <v>42</v>
      </c>
      <c r="E11" s="47" t="str">
        <f>IF('High Dose Extended Interval'!H6="","",'High Dose Extended Interval'!H6)</f>
        <v/>
      </c>
    </row>
    <row r="12" spans="1:15" x14ac:dyDescent="0.25">
      <c r="D12" s="6" t="s">
        <v>12</v>
      </c>
      <c r="E12" s="89" t="str">
        <f>IF('High Dose Extended Interval'!H7="","",'High Dose Extended Interval'!H7)</f>
        <v/>
      </c>
    </row>
    <row r="13" spans="1:15" x14ac:dyDescent="0.25">
      <c r="D13" s="6" t="s">
        <v>40</v>
      </c>
      <c r="E13" s="37" t="str">
        <f>IF('High Dose Extended Interval'!H8="","",'High Dose Extended Interval'!H8)</f>
        <v/>
      </c>
    </row>
    <row r="14" spans="1:15" x14ac:dyDescent="0.25">
      <c r="D14" s="6" t="s">
        <v>41</v>
      </c>
      <c r="E14" s="37" t="str">
        <f>IF('High Dose Extended Interval'!H9="","",'High Dose Extended Interval'!H9)</f>
        <v/>
      </c>
    </row>
    <row r="15" spans="1:15" ht="15.75" thickBot="1" x14ac:dyDescent="0.3">
      <c r="D15" s="7" t="s">
        <v>48</v>
      </c>
      <c r="E15" s="36" t="str">
        <f>IF(E11&lt;2,"--",IF(O6="","",IF(O6&lt;O5,24,IF(O6&lt;O4,36,IF(O6&lt;O3,48,"--")))))</f>
        <v/>
      </c>
    </row>
  </sheetData>
  <dataConsolidate/>
  <mergeCells count="6">
    <mergeCell ref="G1:O1"/>
    <mergeCell ref="D4:E4"/>
    <mergeCell ref="D5:E5"/>
    <mergeCell ref="D10:E10"/>
    <mergeCell ref="A1:B1"/>
    <mergeCell ref="D1:E1"/>
  </mergeCells>
  <pageMargins left="0.25" right="0.25"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6"/>
  <sheetViews>
    <sheetView zoomScaleNormal="100" workbookViewId="0">
      <selection activeCell="E26" sqref="E26"/>
    </sheetView>
  </sheetViews>
  <sheetFormatPr defaultRowHeight="15" x14ac:dyDescent="0.25"/>
  <cols>
    <col min="1" max="1" width="15.140625" style="8" bestFit="1" customWidth="1"/>
    <col min="2" max="2" width="12.28515625" style="8" bestFit="1" customWidth="1"/>
    <col min="3" max="3" width="9.140625" style="8"/>
    <col min="4" max="4" width="16.28515625" style="8" customWidth="1"/>
    <col min="5" max="5" width="16" style="8" customWidth="1"/>
    <col min="6" max="6" width="2.7109375" style="8" customWidth="1"/>
    <col min="7" max="7" width="15.5703125" style="8" bestFit="1" customWidth="1"/>
    <col min="8" max="8" width="12" style="8" bestFit="1" customWidth="1"/>
    <col min="9" max="16384" width="9.140625" style="8"/>
  </cols>
  <sheetData>
    <row r="1" spans="1:8" ht="16.5" thickBot="1" x14ac:dyDescent="0.3">
      <c r="A1" s="111" t="s">
        <v>0</v>
      </c>
      <c r="B1" s="112"/>
      <c r="D1" s="120" t="s">
        <v>16</v>
      </c>
      <c r="E1" s="131"/>
      <c r="F1" s="131"/>
      <c r="G1" s="131"/>
      <c r="H1" s="121"/>
    </row>
    <row r="2" spans="1:8" ht="15.75" thickBot="1" x14ac:dyDescent="0.3">
      <c r="A2" s="15" t="s">
        <v>1</v>
      </c>
      <c r="B2" s="33" t="str">
        <f>IF(Conventional!B6="","",Conventional!B6)</f>
        <v/>
      </c>
      <c r="D2" s="140" t="s">
        <v>57</v>
      </c>
      <c r="E2" s="141"/>
      <c r="F2" s="148"/>
      <c r="G2" s="142" t="s">
        <v>58</v>
      </c>
      <c r="H2" s="143"/>
    </row>
    <row r="3" spans="1:8" x14ac:dyDescent="0.25">
      <c r="A3" s="6" t="s">
        <v>2</v>
      </c>
      <c r="B3" s="33" t="str">
        <f>IF(Conventional!B7="","",Conventional!B7)</f>
        <v>Male</v>
      </c>
      <c r="D3" s="43" t="s">
        <v>52</v>
      </c>
      <c r="E3" s="44" t="str">
        <f>IF(B10="","",(0.003*B10)+0.01)</f>
        <v/>
      </c>
      <c r="F3" s="148"/>
      <c r="G3" s="79" t="s">
        <v>59</v>
      </c>
      <c r="H3" s="158" t="str">
        <f>IF(Conventional!H7="","",Conventional!H7)</f>
        <v/>
      </c>
    </row>
    <row r="4" spans="1:8" x14ac:dyDescent="0.25">
      <c r="A4" s="6" t="s">
        <v>4</v>
      </c>
      <c r="B4" s="154" t="str">
        <f>IF(Conventional!B8="","",Conventional!B8)</f>
        <v/>
      </c>
      <c r="D4" s="6" t="s">
        <v>17</v>
      </c>
      <c r="E4" s="21" t="str">
        <f>IF(E3="","",0.693/E3)</f>
        <v/>
      </c>
      <c r="F4" s="148"/>
      <c r="G4" s="22" t="s">
        <v>60</v>
      </c>
      <c r="H4" s="47" t="str">
        <f>IF(Conventional!H8="","",Conventional!H8)</f>
        <v/>
      </c>
    </row>
    <row r="5" spans="1:8" x14ac:dyDescent="0.25">
      <c r="A5" s="6" t="s">
        <v>5</v>
      </c>
      <c r="B5" s="155" t="str">
        <f>IF(Conventional!B9="","",Conventional!B9)</f>
        <v/>
      </c>
      <c r="D5" s="6" t="s">
        <v>22</v>
      </c>
      <c r="E5" s="49">
        <f>IF(Conventional!E9="","",Conventional!E9)</f>
        <v>0.3</v>
      </c>
      <c r="F5" s="148"/>
      <c r="G5" s="6" t="s">
        <v>29</v>
      </c>
      <c r="H5" s="159" t="str">
        <f>IF(Conventional!H9="","",Conventional!H9)</f>
        <v/>
      </c>
    </row>
    <row r="6" spans="1:8" ht="15.75" thickBot="1" x14ac:dyDescent="0.3">
      <c r="A6" s="6" t="s">
        <v>19</v>
      </c>
      <c r="B6" s="16" t="str">
        <f>IF(B4="","",IF(B3="Male",50+(0.92*(B4-150)),45.5+(0.92*(B4-150))))</f>
        <v/>
      </c>
      <c r="D6" s="7" t="s">
        <v>22</v>
      </c>
      <c r="E6" s="48" t="str">
        <f>IF(B5="","",IF(B6="","",IF(B7="","",IF(E5="","",IF(B5 &gt; B6*1.3,B7*E5,B5*E5)))))</f>
        <v/>
      </c>
      <c r="F6" s="148"/>
      <c r="G6" s="22" t="s">
        <v>27</v>
      </c>
      <c r="H6" s="160" t="str">
        <f>IF(Conventional!H10="","",Conventional!H10)</f>
        <v/>
      </c>
    </row>
    <row r="7" spans="1:8" ht="15.75" thickBot="1" x14ac:dyDescent="0.3">
      <c r="A7" s="6" t="s">
        <v>21</v>
      </c>
      <c r="B7" s="16" t="str">
        <f>IF(B5="","",IF(B6="","",((B5-B6)*0.4)+B6))</f>
        <v/>
      </c>
      <c r="D7" s="152"/>
      <c r="E7" s="135"/>
      <c r="F7" s="148"/>
      <c r="G7" s="6" t="s">
        <v>13</v>
      </c>
      <c r="H7" s="59" t="str">
        <f>IF(H3="","",IF(H4="","",IF(H5="","",H5*(H3-H4))))</f>
        <v/>
      </c>
    </row>
    <row r="8" spans="1:8" ht="15.75" thickBot="1" x14ac:dyDescent="0.3">
      <c r="A8" s="17" t="str">
        <f>IF(B5="","Calc Wt: ",IF(B6="","Calc Wt: ",IF(B5&lt;B6,"Calc Wt (ABW): ",IF(B5&gt;(B6*1.3),"Calc Wt (DW): ","Calc Wt (IBW): "))))</f>
        <v xml:space="preserve">Calc Wt: </v>
      </c>
      <c r="B8" s="18" t="str">
        <f>IF(B5="","",IF(B6="","",IF(B5&lt;B6,B5,IF(B5&gt;(B6*1.3),B7,B6))))</f>
        <v/>
      </c>
      <c r="D8" s="142" t="s">
        <v>23</v>
      </c>
      <c r="E8" s="143"/>
      <c r="F8" s="148"/>
      <c r="G8" s="69" t="s">
        <v>61</v>
      </c>
      <c r="H8" s="60" t="str">
        <f>IF(H6="","",2.5*(0.693/H6))</f>
        <v/>
      </c>
    </row>
    <row r="9" spans="1:8" ht="15.75" thickBot="1" x14ac:dyDescent="0.3">
      <c r="A9" s="6" t="s">
        <v>6</v>
      </c>
      <c r="B9" s="34" t="str">
        <f>IF(Conventional!B11="","",Conventional!B11)</f>
        <v/>
      </c>
      <c r="D9" s="144" t="str">
        <f>IF(Conventional!D13="","",Conventional!D13)</f>
        <v>C1 &amp; C2 (Other)</v>
      </c>
      <c r="E9" s="145"/>
      <c r="F9" s="148"/>
      <c r="G9" s="135"/>
      <c r="H9" s="153"/>
    </row>
    <row r="10" spans="1:8" ht="15.75" thickBot="1" x14ac:dyDescent="0.3">
      <c r="A10" s="7" t="s">
        <v>7</v>
      </c>
      <c r="B10" s="19" t="str">
        <f>IF(B2="","",IF(B3="","",IF(B8="","",IF(B9="","",IF(B3="Female",((140-B2)*B8)/B9,(((140-B2)*B8)/B9)*1.2)))))</f>
        <v/>
      </c>
      <c r="D10" s="50" t="s">
        <v>13</v>
      </c>
      <c r="E10" s="51" t="str">
        <f>IF(Conventional!E14="","",Conventional!E14)</f>
        <v/>
      </c>
      <c r="F10" s="148"/>
      <c r="G10" s="142" t="s">
        <v>30</v>
      </c>
      <c r="H10" s="143"/>
    </row>
    <row r="11" spans="1:8" ht="15.75" thickBot="1" x14ac:dyDescent="0.3">
      <c r="D11" s="50" t="str">
        <f>IF(D9="C1 &amp; C2 (First Dose)","--", "Interval: ")</f>
        <v xml:space="preserve">Interval: </v>
      </c>
      <c r="E11" s="52" t="str">
        <f>IF(Conventional!E15="","",Conventional!E15)</f>
        <v/>
      </c>
      <c r="F11" s="148"/>
      <c r="G11" s="55" t="s">
        <v>8</v>
      </c>
      <c r="H11" s="61" t="str">
        <f>IF(Conventional!H15="","",Conventional!H15)</f>
        <v/>
      </c>
    </row>
    <row r="12" spans="1:8" ht="15.75" x14ac:dyDescent="0.25">
      <c r="A12" s="126" t="s">
        <v>10</v>
      </c>
      <c r="B12" s="127"/>
      <c r="D12" s="50" t="str">
        <f>IF(D9="C1 &amp; C2 (First Dose)","--", "Infusion Start: ")</f>
        <v xml:space="preserve">Infusion Start: </v>
      </c>
      <c r="E12" s="53" t="str">
        <f>IF(Conventional!E16="","",Conventional!E16)</f>
        <v/>
      </c>
      <c r="F12" s="148"/>
      <c r="G12" s="56" t="s">
        <v>31</v>
      </c>
      <c r="H12" s="52" t="str">
        <f>IF(Conventional!H16="","",Conventional!H16)</f>
        <v/>
      </c>
    </row>
    <row r="13" spans="1:8" x14ac:dyDescent="0.25">
      <c r="A13" s="6" t="s">
        <v>12</v>
      </c>
      <c r="B13" s="89">
        <f>IF(Conventional!B15="","",Conventional!B15)</f>
        <v>2</v>
      </c>
      <c r="D13" s="50" t="s">
        <v>24</v>
      </c>
      <c r="E13" s="53" t="str">
        <f>IF(Conventional!E17="","",Conventional!E17)</f>
        <v/>
      </c>
      <c r="F13" s="148"/>
      <c r="G13" s="57" t="s">
        <v>56</v>
      </c>
      <c r="H13" s="62" t="str">
        <f>IF(Conventional!H17="","",Conventional!H17)</f>
        <v/>
      </c>
    </row>
    <row r="14" spans="1:8" ht="15.75" thickBot="1" x14ac:dyDescent="0.3">
      <c r="A14" s="7" t="s">
        <v>13</v>
      </c>
      <c r="B14" s="35" t="str">
        <f>IF(B8="","",IF(B13="","",B8*B13))</f>
        <v/>
      </c>
      <c r="D14" s="6" t="str">
        <f>IF(D9="","",IF(D9="Peak &amp; Trough Values","Peak =","C1 ="))</f>
        <v>C1 =</v>
      </c>
      <c r="E14" s="54" t="str">
        <f>IF(Conventional!E18="","",Conventional!E18)</f>
        <v/>
      </c>
      <c r="F14" s="148"/>
      <c r="G14" s="50" t="s">
        <v>55</v>
      </c>
      <c r="H14" s="63" t="str">
        <f>IF(Conventional!H18="","",Conventional!H18)</f>
        <v/>
      </c>
    </row>
    <row r="15" spans="1:8" ht="15.75" thickBot="1" x14ac:dyDescent="0.3">
      <c r="D15" s="6" t="str">
        <f>IF(D9="","",IF(D9="Peak &amp; Trough Values","Peak drawn: ","C1 drawn: "))</f>
        <v xml:space="preserve">C1 drawn: </v>
      </c>
      <c r="E15" s="53" t="str">
        <f>IF(Conventional!E19="","",Conventional!E19)</f>
        <v/>
      </c>
      <c r="F15" s="148"/>
      <c r="G15" s="50" t="s">
        <v>53</v>
      </c>
      <c r="H15" s="64" t="str">
        <f>IF(H11="","",IF(H12="","",IF(H13="","",IF(H14="","",H11/(H14*(1-EXP(-H13*H12)))))))</f>
        <v/>
      </c>
    </row>
    <row r="16" spans="1:8" ht="16.5" thickBot="1" x14ac:dyDescent="0.3">
      <c r="A16" s="126" t="s">
        <v>11</v>
      </c>
      <c r="B16" s="127"/>
      <c r="D16" s="6" t="s">
        <v>64</v>
      </c>
      <c r="E16" s="20" t="str">
        <f>IF(E13="","",IF(E15="","",(E15-E13)*24))</f>
        <v/>
      </c>
      <c r="F16" s="148"/>
      <c r="G16" s="58" t="s">
        <v>54</v>
      </c>
      <c r="H16" s="65" t="str">
        <f>IF(H12="","",IF(H13="","",IF(H15="","",H15*EXP(-H13*H12))))</f>
        <v/>
      </c>
    </row>
    <row r="17" spans="1:8" x14ac:dyDescent="0.25">
      <c r="A17" s="6" t="s">
        <v>12</v>
      </c>
      <c r="B17" s="89">
        <v>1.5</v>
      </c>
      <c r="D17" s="6" t="str">
        <f>IF(D9="","",IF(D9="Peak &amp; Trough Values","Trough =","C2 ="))</f>
        <v>C2 =</v>
      </c>
      <c r="E17" s="47" t="str">
        <f>IF(Conventional!E20="","",Conventional!E20)</f>
        <v/>
      </c>
      <c r="F17" s="148"/>
      <c r="G17" s="146"/>
      <c r="H17" s="147"/>
    </row>
    <row r="18" spans="1:8" x14ac:dyDescent="0.25">
      <c r="A18" s="6" t="s">
        <v>13</v>
      </c>
      <c r="B18" s="59" t="str">
        <f>IF(B8="","",IF(B17="","",B8*B17))</f>
        <v/>
      </c>
      <c r="D18" s="6" t="str">
        <f>IF(D9="","",IF(D9="Peak &amp; Trough Values","Trough drawn: ","C2 drawn: "))</f>
        <v xml:space="preserve">C2 drawn: </v>
      </c>
      <c r="E18" s="37" t="str">
        <f>IF(Conventional!E21="","",Conventional!E21)</f>
        <v/>
      </c>
      <c r="F18" s="148"/>
      <c r="G18" s="148"/>
      <c r="H18" s="149"/>
    </row>
    <row r="19" spans="1:8" ht="15.75" thickBot="1" x14ac:dyDescent="0.3">
      <c r="A19" s="7" t="s">
        <v>61</v>
      </c>
      <c r="B19" s="36" t="str">
        <f>IF(B10="","",IF(B10&gt;=80,8,IF(B10&gt;=50,12,IF(B10&gt;=20,24,"--"))))</f>
        <v/>
      </c>
      <c r="D19" s="6" t="s">
        <v>65</v>
      </c>
      <c r="E19" s="21" t="str">
        <f>IF(D9="C1 &amp; C2 (First Dose)","--",IF(E12="","",IF(E18="","",(E12-E18)*24)))</f>
        <v/>
      </c>
      <c r="F19" s="148"/>
      <c r="G19" s="148"/>
      <c r="H19" s="149"/>
    </row>
    <row r="20" spans="1:8" x14ac:dyDescent="0.25">
      <c r="D20" s="22" t="s">
        <v>25</v>
      </c>
      <c r="E20" s="21" t="str">
        <f>IF(D9="","",IF(E15="","",IF(E18="","",IF(D9="Peak &amp; Trough Values",(E15-E18)*24,(E18-E15)*24))))</f>
        <v/>
      </c>
      <c r="F20" s="148"/>
      <c r="G20" s="148"/>
      <c r="H20" s="149"/>
    </row>
    <row r="21" spans="1:8" x14ac:dyDescent="0.25">
      <c r="D21" s="22" t="s">
        <v>26</v>
      </c>
      <c r="E21" s="21" t="str">
        <f>IF(D9="","",IF(E20="","",IF(D9="Peak &amp; Trough Values",IF(E11="","",E11-E20),E20)))</f>
        <v/>
      </c>
      <c r="F21" s="148"/>
      <c r="G21" s="148"/>
      <c r="H21" s="149"/>
    </row>
    <row r="22" spans="1:8" x14ac:dyDescent="0.25">
      <c r="D22" s="22" t="s">
        <v>27</v>
      </c>
      <c r="E22" s="23" t="str">
        <f>IF(E14="","",IF(E17="","",IF(E21="","",LN(E14/E17)/E21)))</f>
        <v/>
      </c>
      <c r="F22" s="148"/>
      <c r="G22" s="148"/>
      <c r="H22" s="149"/>
    </row>
    <row r="23" spans="1:8" x14ac:dyDescent="0.25">
      <c r="D23" s="6" t="s">
        <v>28</v>
      </c>
      <c r="E23" s="21" t="str">
        <f>IF(E22="","",0.693/E22)</f>
        <v/>
      </c>
      <c r="F23" s="148"/>
      <c r="G23" s="148"/>
      <c r="H23" s="149"/>
    </row>
    <row r="24" spans="1:8" x14ac:dyDescent="0.25">
      <c r="D24" s="6" t="s">
        <v>18</v>
      </c>
      <c r="E24" s="24" t="str">
        <f>IF(D9="","",IF(E14="","",IF(E16="","",IF(E22="","",E14/(EXP(-E22*E16))))))</f>
        <v/>
      </c>
      <c r="F24" s="148"/>
      <c r="G24" s="148"/>
      <c r="H24" s="149"/>
    </row>
    <row r="25" spans="1:8" x14ac:dyDescent="0.25">
      <c r="D25" s="6" t="s">
        <v>20</v>
      </c>
      <c r="E25" s="24" t="str">
        <f>IF(D9="","",IF(D9="C1 &amp; C2 (First Dose)","--",IF(D9="C1 &amp; C2 (Other)",IF(E14="","",E14),IF(E17="","",IF(E19="","",IF(E22="","",E17*(EXP(-E22*E19))))))))</f>
        <v/>
      </c>
      <c r="F25" s="148"/>
      <c r="G25" s="148"/>
      <c r="H25" s="149"/>
    </row>
    <row r="26" spans="1:8" ht="15.75" thickBot="1" x14ac:dyDescent="0.3">
      <c r="D26" s="7" t="s">
        <v>29</v>
      </c>
      <c r="E26" s="48" t="str">
        <f>IF(D9="","",IF(E10="","",IF(E24="","",IF(D9="C1 &amp; C2 (First Dose)",E10/E24,IF(E25="","",E10/(E24-E25))))))</f>
        <v/>
      </c>
      <c r="F26" s="150"/>
      <c r="G26" s="150"/>
      <c r="H26" s="151"/>
    </row>
  </sheetData>
  <mergeCells count="13">
    <mergeCell ref="G10:H10"/>
    <mergeCell ref="G2:H2"/>
    <mergeCell ref="D1:H1"/>
    <mergeCell ref="G17:H26"/>
    <mergeCell ref="F2:F26"/>
    <mergeCell ref="D7:E7"/>
    <mergeCell ref="G9:H9"/>
    <mergeCell ref="A1:B1"/>
    <mergeCell ref="A12:B12"/>
    <mergeCell ref="A16:B16"/>
    <mergeCell ref="D2:E2"/>
    <mergeCell ref="D8:E8"/>
    <mergeCell ref="D9:E9"/>
  </mergeCells>
  <dataValidations disablePrompts="1" xWindow="379" yWindow="299" count="1">
    <dataValidation type="decimal" allowBlank="1" showInputMessage="1" showErrorMessage="1" prompt="Vd in L/kg" sqref="E5">
      <formula1>0</formula1>
      <formula2>5</formula2>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 Dose Extended Interval</vt:lpstr>
      <vt:lpstr>Conventional</vt:lpstr>
      <vt:lpstr>HDEI Calculations</vt:lpstr>
      <vt:lpstr>Conventional Calculations</vt:lpstr>
    </vt:vector>
  </TitlesOfParts>
  <Company>diakov.net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R Torrance</dc:creator>
  <cp:lastModifiedBy>Joshua R Torrance</cp:lastModifiedBy>
  <cp:lastPrinted>2014-10-06T04:40:18Z</cp:lastPrinted>
  <dcterms:created xsi:type="dcterms:W3CDTF">2014-10-05T21:36:53Z</dcterms:created>
  <dcterms:modified xsi:type="dcterms:W3CDTF">2014-10-08T04:12:51Z</dcterms:modified>
</cp:coreProperties>
</file>