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osh's Files\Study Buffalo\Website\practicetools\pkaminoglycoside\resourc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 s="1"/>
  <c r="U7" i="1"/>
  <c r="V7" i="1" s="1"/>
  <c r="U14" i="1"/>
  <c r="V14" i="1" s="1"/>
  <c r="U15" i="1"/>
  <c r="V15" i="1" s="1"/>
  <c r="U22" i="1"/>
  <c r="U23" i="1"/>
  <c r="V23" i="1" s="1"/>
  <c r="Y5" i="1"/>
  <c r="Y6" i="1"/>
  <c r="Y13" i="1"/>
  <c r="Z13" i="1" s="1"/>
  <c r="Y14" i="1"/>
  <c r="Z14" i="1" s="1"/>
  <c r="Y21" i="1"/>
  <c r="Z21" i="1" s="1"/>
  <c r="Y22" i="1"/>
  <c r="Z22" i="1" s="1"/>
  <c r="Z5" i="1"/>
  <c r="Z6" i="1"/>
  <c r="V22" i="1"/>
  <c r="R5" i="1"/>
  <c r="R6" i="1"/>
  <c r="R13" i="1"/>
  <c r="R14" i="1"/>
  <c r="R21" i="1"/>
  <c r="R22" i="1"/>
  <c r="S5" i="1"/>
  <c r="S6" i="1"/>
  <c r="S13" i="1"/>
  <c r="S14" i="1"/>
  <c r="S21" i="1"/>
  <c r="S22" i="1"/>
  <c r="J6" i="1"/>
  <c r="N6" i="1" s="1"/>
  <c r="O6" i="1" s="1"/>
  <c r="J14" i="1"/>
  <c r="N14" i="1" s="1"/>
  <c r="O14" i="1" s="1"/>
  <c r="J22" i="1"/>
  <c r="N22" i="1" s="1"/>
  <c r="O22" i="1" s="1"/>
  <c r="J28" i="1"/>
  <c r="N28" i="1" s="1"/>
  <c r="O28" i="1" s="1"/>
  <c r="I5" i="1"/>
  <c r="I11" i="1"/>
  <c r="J11" i="1" s="1"/>
  <c r="I13" i="1"/>
  <c r="I19" i="1"/>
  <c r="J19" i="1" s="1"/>
  <c r="I21" i="1"/>
  <c r="I27" i="1"/>
  <c r="J27" i="1" s="1"/>
  <c r="I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5" i="1"/>
  <c r="J5" i="1" s="1"/>
  <c r="H6" i="1"/>
  <c r="I6" i="1" s="1"/>
  <c r="H7" i="1"/>
  <c r="Y7" i="1" s="1"/>
  <c r="Z7" i="1" s="1"/>
  <c r="H8" i="1"/>
  <c r="U8" i="1" s="1"/>
  <c r="V8" i="1" s="1"/>
  <c r="H9" i="1"/>
  <c r="U9" i="1" s="1"/>
  <c r="V9" i="1" s="1"/>
  <c r="H10" i="1"/>
  <c r="U10" i="1" s="1"/>
  <c r="V10" i="1" s="1"/>
  <c r="H11" i="1"/>
  <c r="U11" i="1" s="1"/>
  <c r="V11" i="1" s="1"/>
  <c r="H12" i="1"/>
  <c r="I12" i="1" s="1"/>
  <c r="J12" i="1" s="1"/>
  <c r="H13" i="1"/>
  <c r="J13" i="1" s="1"/>
  <c r="H14" i="1"/>
  <c r="I14" i="1" s="1"/>
  <c r="H15" i="1"/>
  <c r="Y15" i="1" s="1"/>
  <c r="Z15" i="1" s="1"/>
  <c r="H16" i="1"/>
  <c r="U16" i="1" s="1"/>
  <c r="V16" i="1" s="1"/>
  <c r="H17" i="1"/>
  <c r="U17" i="1" s="1"/>
  <c r="V17" i="1" s="1"/>
  <c r="H18" i="1"/>
  <c r="U18" i="1" s="1"/>
  <c r="V18" i="1" s="1"/>
  <c r="H19" i="1"/>
  <c r="U19" i="1" s="1"/>
  <c r="V19" i="1" s="1"/>
  <c r="H20" i="1"/>
  <c r="I20" i="1" s="1"/>
  <c r="J20" i="1" s="1"/>
  <c r="H21" i="1"/>
  <c r="J21" i="1" s="1"/>
  <c r="H22" i="1"/>
  <c r="I22" i="1" s="1"/>
  <c r="H23" i="1"/>
  <c r="Y23" i="1" s="1"/>
  <c r="Z23" i="1" s="1"/>
  <c r="H24" i="1"/>
  <c r="U24" i="1" s="1"/>
  <c r="V24" i="1" s="1"/>
  <c r="H25" i="1"/>
  <c r="U25" i="1" s="1"/>
  <c r="V25" i="1" s="1"/>
  <c r="H26" i="1"/>
  <c r="U26" i="1" s="1"/>
  <c r="V26" i="1" s="1"/>
  <c r="H27" i="1"/>
  <c r="U27" i="1" s="1"/>
  <c r="V27" i="1" s="1"/>
  <c r="H28" i="1"/>
  <c r="I28" i="1" s="1"/>
  <c r="H3" i="1"/>
  <c r="R3" i="1" s="1"/>
  <c r="S3" i="1" s="1"/>
  <c r="G3" i="1"/>
  <c r="N21" i="1" l="1"/>
  <c r="O21" i="1" s="1"/>
  <c r="K21" i="1"/>
  <c r="K13" i="1"/>
  <c r="N13" i="1"/>
  <c r="O13" i="1" s="1"/>
  <c r="K5" i="1"/>
  <c r="N5" i="1"/>
  <c r="O5" i="1" s="1"/>
  <c r="N12" i="1"/>
  <c r="O12" i="1" s="1"/>
  <c r="K12" i="1"/>
  <c r="N27" i="1"/>
  <c r="O27" i="1" s="1"/>
  <c r="K27" i="1"/>
  <c r="N20" i="1"/>
  <c r="O20" i="1" s="1"/>
  <c r="K20" i="1"/>
  <c r="N19" i="1"/>
  <c r="O19" i="1" s="1"/>
  <c r="K19" i="1"/>
  <c r="N11" i="1"/>
  <c r="O11" i="1" s="1"/>
  <c r="K11" i="1"/>
  <c r="I26" i="1"/>
  <c r="K28" i="1"/>
  <c r="I25" i="1"/>
  <c r="J26" i="1"/>
  <c r="J18" i="1"/>
  <c r="J10" i="1"/>
  <c r="R28" i="1"/>
  <c r="S28" i="1" s="1"/>
  <c r="R20" i="1"/>
  <c r="S20" i="1" s="1"/>
  <c r="R12" i="1"/>
  <c r="S12" i="1" s="1"/>
  <c r="Y28" i="1"/>
  <c r="Z28" i="1" s="1"/>
  <c r="Y20" i="1"/>
  <c r="Z20" i="1" s="1"/>
  <c r="Y12" i="1"/>
  <c r="Z12" i="1" s="1"/>
  <c r="U3" i="1"/>
  <c r="V3" i="1" s="1"/>
  <c r="U21" i="1"/>
  <c r="V21" i="1" s="1"/>
  <c r="U13" i="1"/>
  <c r="V13" i="1" s="1"/>
  <c r="U5" i="1"/>
  <c r="V5" i="1" s="1"/>
  <c r="I18" i="1"/>
  <c r="I17" i="1"/>
  <c r="I16" i="1"/>
  <c r="R27" i="1"/>
  <c r="S27" i="1" s="1"/>
  <c r="R19" i="1"/>
  <c r="S19" i="1" s="1"/>
  <c r="R11" i="1"/>
  <c r="S11" i="1" s="1"/>
  <c r="Y27" i="1"/>
  <c r="Z27" i="1" s="1"/>
  <c r="Y19" i="1"/>
  <c r="Z19" i="1" s="1"/>
  <c r="Y11" i="1"/>
  <c r="Z11" i="1" s="1"/>
  <c r="U28" i="1"/>
  <c r="V28" i="1" s="1"/>
  <c r="U20" i="1"/>
  <c r="V20" i="1" s="1"/>
  <c r="U12" i="1"/>
  <c r="V12" i="1" s="1"/>
  <c r="I10" i="1"/>
  <c r="I9" i="1"/>
  <c r="J9" i="1" s="1"/>
  <c r="I24" i="1"/>
  <c r="J25" i="1"/>
  <c r="J17" i="1"/>
  <c r="I23" i="1"/>
  <c r="I15" i="1"/>
  <c r="I7" i="1"/>
  <c r="J7" i="1" s="1"/>
  <c r="J24" i="1"/>
  <c r="J16" i="1"/>
  <c r="J8" i="1"/>
  <c r="R26" i="1"/>
  <c r="S26" i="1" s="1"/>
  <c r="R18" i="1"/>
  <c r="S18" i="1" s="1"/>
  <c r="R10" i="1"/>
  <c r="S10" i="1" s="1"/>
  <c r="Y26" i="1"/>
  <c r="Z26" i="1" s="1"/>
  <c r="Y18" i="1"/>
  <c r="Z18" i="1" s="1"/>
  <c r="Y10" i="1"/>
  <c r="Z10" i="1" s="1"/>
  <c r="I8" i="1"/>
  <c r="J23" i="1"/>
  <c r="J15" i="1"/>
  <c r="R25" i="1"/>
  <c r="S25" i="1" s="1"/>
  <c r="R17" i="1"/>
  <c r="S17" i="1" s="1"/>
  <c r="R9" i="1"/>
  <c r="S9" i="1" s="1"/>
  <c r="Y25" i="1"/>
  <c r="Z25" i="1" s="1"/>
  <c r="Y17" i="1"/>
  <c r="Z17" i="1" s="1"/>
  <c r="Y9" i="1"/>
  <c r="Z9" i="1" s="1"/>
  <c r="Y24" i="1"/>
  <c r="Z24" i="1" s="1"/>
  <c r="Y16" i="1"/>
  <c r="Z16" i="1" s="1"/>
  <c r="Y8" i="1"/>
  <c r="Z8" i="1" s="1"/>
  <c r="R24" i="1"/>
  <c r="S24" i="1" s="1"/>
  <c r="R16" i="1"/>
  <c r="S16" i="1" s="1"/>
  <c r="R8" i="1"/>
  <c r="S8" i="1" s="1"/>
  <c r="J3" i="1"/>
  <c r="K22" i="1"/>
  <c r="K14" i="1"/>
  <c r="K6" i="1"/>
  <c r="R23" i="1"/>
  <c r="S23" i="1" s="1"/>
  <c r="R15" i="1"/>
  <c r="S15" i="1" s="1"/>
  <c r="R7" i="1"/>
  <c r="S7" i="1" s="1"/>
  <c r="N9" i="1" l="1"/>
  <c r="O9" i="1" s="1"/>
  <c r="K9" i="1"/>
  <c r="N7" i="1"/>
  <c r="O7" i="1" s="1"/>
  <c r="K7" i="1"/>
  <c r="P12" i="1"/>
  <c r="AA12" i="1"/>
  <c r="W12" i="1"/>
  <c r="N3" i="1"/>
  <c r="O3" i="1" s="1"/>
  <c r="K3" i="1"/>
  <c r="N8" i="1"/>
  <c r="O8" i="1" s="1"/>
  <c r="K8" i="1"/>
  <c r="P22" i="1"/>
  <c r="AA22" i="1"/>
  <c r="W22" i="1"/>
  <c r="N24" i="1"/>
  <c r="O24" i="1" s="1"/>
  <c r="K24" i="1"/>
  <c r="K18" i="1"/>
  <c r="N18" i="1"/>
  <c r="O18" i="1" s="1"/>
  <c r="P5" i="1"/>
  <c r="AA5" i="1"/>
  <c r="W5" i="1"/>
  <c r="N25" i="1"/>
  <c r="O25" i="1" s="1"/>
  <c r="K25" i="1"/>
  <c r="N26" i="1"/>
  <c r="O26" i="1" s="1"/>
  <c r="K26" i="1"/>
  <c r="P20" i="1"/>
  <c r="AA20" i="1"/>
  <c r="W20" i="1"/>
  <c r="N16" i="1"/>
  <c r="O16" i="1" s="1"/>
  <c r="K16" i="1"/>
  <c r="AA19" i="1"/>
  <c r="W19" i="1"/>
  <c r="P19" i="1"/>
  <c r="P13" i="1"/>
  <c r="AA13" i="1"/>
  <c r="W13" i="1"/>
  <c r="N23" i="1"/>
  <c r="O23" i="1" s="1"/>
  <c r="K23" i="1"/>
  <c r="N10" i="1"/>
  <c r="O10" i="1" s="1"/>
  <c r="K10" i="1"/>
  <c r="P6" i="1"/>
  <c r="AA6" i="1"/>
  <c r="W6" i="1"/>
  <c r="P28" i="1"/>
  <c r="AA28" i="1"/>
  <c r="W28" i="1"/>
  <c r="AA27" i="1"/>
  <c r="W27" i="1"/>
  <c r="P27" i="1"/>
  <c r="P21" i="1"/>
  <c r="AA21" i="1"/>
  <c r="W21" i="1"/>
  <c r="AA11" i="1"/>
  <c r="W11" i="1"/>
  <c r="P11" i="1"/>
  <c r="P14" i="1"/>
  <c r="AA14" i="1"/>
  <c r="W14" i="1"/>
  <c r="N15" i="1"/>
  <c r="O15" i="1" s="1"/>
  <c r="K15" i="1"/>
  <c r="N17" i="1"/>
  <c r="O17" i="1" s="1"/>
  <c r="K17" i="1"/>
  <c r="P24" i="1" l="1"/>
  <c r="AA24" i="1"/>
  <c r="W24" i="1"/>
  <c r="W25" i="1"/>
  <c r="P25" i="1"/>
  <c r="AA25" i="1"/>
  <c r="P10" i="1"/>
  <c r="AA10" i="1"/>
  <c r="W10" i="1"/>
  <c r="AA17" i="1"/>
  <c r="P17" i="1"/>
  <c r="W17" i="1"/>
  <c r="P7" i="1"/>
  <c r="AA7" i="1"/>
  <c r="W7" i="1"/>
  <c r="P23" i="1"/>
  <c r="AA23" i="1"/>
  <c r="W23" i="1"/>
  <c r="P8" i="1"/>
  <c r="AA8" i="1"/>
  <c r="W8" i="1"/>
  <c r="P15" i="1"/>
  <c r="AA15" i="1"/>
  <c r="W15" i="1"/>
  <c r="AA9" i="1"/>
  <c r="W9" i="1"/>
  <c r="P9" i="1"/>
  <c r="P16" i="1"/>
  <c r="AA16" i="1"/>
  <c r="W16" i="1"/>
  <c r="W26" i="1"/>
  <c r="AA26" i="1"/>
  <c r="P26" i="1"/>
  <c r="AA18" i="1"/>
  <c r="P18" i="1"/>
  <c r="W18" i="1"/>
  <c r="P3" i="1"/>
  <c r="W3" i="1"/>
</calcChain>
</file>

<file path=xl/sharedStrings.xml><?xml version="1.0" encoding="utf-8"?>
<sst xmlns="http://schemas.openxmlformats.org/spreadsheetml/2006/main" count="94" uniqueCount="28">
  <si>
    <t>Age</t>
  </si>
  <si>
    <t>Sex</t>
  </si>
  <si>
    <t>Height</t>
  </si>
  <si>
    <t>Weight</t>
  </si>
  <si>
    <t>SCr</t>
  </si>
  <si>
    <t>BMI</t>
  </si>
  <si>
    <t>IBW</t>
  </si>
  <si>
    <t>DW</t>
  </si>
  <si>
    <t>CrCl</t>
  </si>
  <si>
    <t>HDEI Initial</t>
  </si>
  <si>
    <t>Dose</t>
  </si>
  <si>
    <t>Rounded Dose</t>
  </si>
  <si>
    <t>Interval</t>
  </si>
  <si>
    <t>Conventional Loading</t>
  </si>
  <si>
    <t>Maintenance Dose</t>
  </si>
  <si>
    <t>Synergy Dosing</t>
  </si>
  <si>
    <t>Female</t>
  </si>
  <si>
    <t>Male</t>
  </si>
  <si>
    <t>CW</t>
  </si>
  <si>
    <t>Dose/Wt</t>
  </si>
  <si>
    <t>Aminoglcyoside</t>
  </si>
  <si>
    <t>Amikacin</t>
  </si>
  <si>
    <t>Tobramycin</t>
  </si>
  <si>
    <t>Gentamicin</t>
  </si>
  <si>
    <t>SB</t>
  </si>
  <si>
    <t>Q48H</t>
  </si>
  <si>
    <t>Q24H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</si>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</sst>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K5" sqref="K5"/>
    </sheetView>
  </sheetViews>
  <sheetFormatPr defaultRowHeight="15" x14ac:dyDescent="0.25"/>
  <cols>
    <col min="2" max="2" width="4.42578125" bestFit="1" customWidth="1"/>
    <col min="3" max="3" width="7.5703125" bestFit="1" customWidth="1"/>
    <col min="4" max="4" width="6.85546875" bestFit="1" customWidth="1"/>
    <col min="5" max="5" width="7.42578125" bestFit="1" customWidth="1"/>
    <col min="6" max="11" width="7.7109375" customWidth="1"/>
    <col min="12" max="12" width="15.28515625" bestFit="1" customWidth="1"/>
    <col min="13" max="14" width="8.7109375" customWidth="1"/>
    <col min="15" max="15" width="14" bestFit="1" customWidth="1"/>
    <col min="16" max="18" width="8.7109375" customWidth="1"/>
    <col min="19" max="19" width="14" bestFit="1" customWidth="1"/>
    <col min="20" max="21" width="8.7109375" customWidth="1"/>
    <col min="22" max="22" width="14" bestFit="1" customWidth="1"/>
    <col min="23" max="25" width="8.7109375" customWidth="1"/>
    <col min="26" max="26" width="14" bestFit="1" customWidth="1"/>
    <col min="27" max="27" width="8.7109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9</v>
      </c>
      <c r="N1" s="2"/>
      <c r="O1" s="2"/>
      <c r="P1" s="2"/>
      <c r="Q1" s="1" t="s">
        <v>13</v>
      </c>
      <c r="R1" s="1"/>
      <c r="S1" s="1"/>
      <c r="T1" s="2" t="s">
        <v>14</v>
      </c>
      <c r="U1" s="2"/>
      <c r="V1" s="2"/>
      <c r="W1" s="2"/>
      <c r="X1" s="2" t="s">
        <v>15</v>
      </c>
      <c r="Y1" s="2"/>
      <c r="Z1" s="2"/>
      <c r="AA1" s="2"/>
    </row>
    <row r="2" spans="1:2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18</v>
      </c>
      <c r="K2" s="1" t="s">
        <v>8</v>
      </c>
      <c r="L2" s="1" t="s">
        <v>20</v>
      </c>
      <c r="M2" s="1" t="s">
        <v>19</v>
      </c>
      <c r="N2" s="1" t="s">
        <v>10</v>
      </c>
      <c r="O2" s="1" t="s">
        <v>11</v>
      </c>
      <c r="P2" s="1" t="s">
        <v>12</v>
      </c>
      <c r="Q2" s="1" t="s">
        <v>19</v>
      </c>
      <c r="R2" s="1" t="s">
        <v>10</v>
      </c>
      <c r="S2" s="1" t="s">
        <v>11</v>
      </c>
      <c r="T2" s="1" t="s">
        <v>19</v>
      </c>
      <c r="U2" s="1" t="s">
        <v>10</v>
      </c>
      <c r="V2" s="1" t="s">
        <v>11</v>
      </c>
      <c r="W2" s="1" t="s">
        <v>12</v>
      </c>
      <c r="X2" s="1" t="s">
        <v>19</v>
      </c>
      <c r="Y2" s="1" t="s">
        <v>10</v>
      </c>
      <c r="Z2" s="1" t="s">
        <v>11</v>
      </c>
      <c r="AA2" s="1" t="s">
        <v>12</v>
      </c>
    </row>
    <row r="3" spans="1:27" x14ac:dyDescent="0.25">
      <c r="A3" s="1"/>
      <c r="B3" s="3">
        <v>63</v>
      </c>
      <c r="C3" s="3" t="s">
        <v>16</v>
      </c>
      <c r="D3" s="3">
        <v>172</v>
      </c>
      <c r="E3" s="3">
        <v>135</v>
      </c>
      <c r="F3" s="3">
        <v>194</v>
      </c>
      <c r="G3" s="3">
        <f>ROUND(E3/(D3/100)^2, 1)</f>
        <v>45.6</v>
      </c>
      <c r="H3" s="3">
        <f>ROUND(IF(C3="Male",50+(0.92*(D3-150)),45.5+(0.92*(D3-150))), 1)</f>
        <v>65.7</v>
      </c>
      <c r="I3" s="3">
        <f>(0.4 * (E3-H3)) + H3</f>
        <v>93.42</v>
      </c>
      <c r="J3" s="3">
        <f>ROUND(IF(E3 &lt; H3, E3, IF(E3 &gt; H3 * 1.2, I3, H3)), 1)</f>
        <v>93.4</v>
      </c>
      <c r="K3" s="3">
        <f>ROUND(IF(C3="Male",((140-B3)*1.2*J3)/F3,((140-B3)*J3)/F3), 0)</f>
        <v>37</v>
      </c>
      <c r="L3" s="1" t="s">
        <v>21</v>
      </c>
      <c r="M3" s="1">
        <v>15</v>
      </c>
      <c r="N3" s="1">
        <f>M3*J3</f>
        <v>1401</v>
      </c>
      <c r="O3" s="1">
        <f>IF(L3="Amikacin",MROUND(N3,50),MROUND(N3,20))</f>
        <v>1400</v>
      </c>
      <c r="P3" s="1" t="str">
        <f>IF(K3 &lt; 20, "PK", IF(K3 &lt; 40, "Q48H", IF(K3 &lt; 60, "Q36H", "Q24H")))</f>
        <v>Q48H</v>
      </c>
      <c r="Q3" s="1">
        <v>7.5</v>
      </c>
      <c r="R3" s="1">
        <f>ROUND(Q3*H3,1)</f>
        <v>492.8</v>
      </c>
      <c r="S3" s="1">
        <f>IF(L3="Amikacin",MROUND(R3,25),MROUND(R3,20))</f>
        <v>500</v>
      </c>
      <c r="T3" s="1">
        <v>5.5</v>
      </c>
      <c r="U3" s="1">
        <f>ROUND(H3*T3,1)</f>
        <v>361.4</v>
      </c>
      <c r="V3" s="1">
        <f>IF(L3="Amikacin",MROUND(U3,25),MROUND(U3,20))</f>
        <v>350</v>
      </c>
      <c r="W3" s="1" t="str">
        <f>IF(K3 &lt; 20, "PK", IF(K3 &lt; 50, "Q24H", IF(K3 &lt; 80, "Q12H", "Q8H")))</f>
        <v>Q24H</v>
      </c>
      <c r="X3" s="1" t="s">
        <v>27</v>
      </c>
      <c r="Y3" s="1" t="s">
        <v>27</v>
      </c>
      <c r="Z3" s="1" t="s">
        <v>27</v>
      </c>
      <c r="AA3" s="1" t="s">
        <v>27</v>
      </c>
    </row>
    <row r="4" spans="1:27" x14ac:dyDescent="0.25">
      <c r="A4" s="1" t="s">
        <v>24</v>
      </c>
      <c r="B4" s="3">
        <v>63</v>
      </c>
      <c r="C4" s="3" t="s">
        <v>16</v>
      </c>
      <c r="D4" s="3">
        <v>172</v>
      </c>
      <c r="E4" s="3">
        <v>135</v>
      </c>
      <c r="F4" s="3">
        <v>194</v>
      </c>
      <c r="G4" s="3">
        <v>45.6</v>
      </c>
      <c r="H4" s="1">
        <v>65.7</v>
      </c>
      <c r="I4" s="1">
        <v>93.4</v>
      </c>
      <c r="J4" s="1" t="s">
        <v>7</v>
      </c>
      <c r="K4" s="1">
        <v>37</v>
      </c>
      <c r="L4" s="1" t="s">
        <v>21</v>
      </c>
      <c r="M4" s="1">
        <v>15</v>
      </c>
      <c r="N4" s="1">
        <v>1401</v>
      </c>
      <c r="O4" s="1">
        <v>1400</v>
      </c>
      <c r="P4" s="1" t="s">
        <v>25</v>
      </c>
      <c r="Q4" s="1">
        <v>7.5</v>
      </c>
      <c r="R4" s="1">
        <v>492.8</v>
      </c>
      <c r="S4" s="1">
        <v>500</v>
      </c>
      <c r="T4" s="1">
        <v>5.5</v>
      </c>
      <c r="U4" s="1">
        <v>361.4</v>
      </c>
      <c r="V4" s="1">
        <v>350</v>
      </c>
      <c r="W4" s="1" t="s">
        <v>26</v>
      </c>
      <c r="X4" s="1" t="s">
        <v>27</v>
      </c>
      <c r="Y4" s="1" t="s">
        <v>27</v>
      </c>
      <c r="Z4" s="1" t="s">
        <v>27</v>
      </c>
      <c r="AA4" s="1" t="s">
        <v>27</v>
      </c>
    </row>
    <row r="5" spans="1:27" x14ac:dyDescent="0.25">
      <c r="A5" s="1"/>
      <c r="B5" s="3">
        <v>87</v>
      </c>
      <c r="C5" s="3" t="s">
        <v>17</v>
      </c>
      <c r="D5" s="3">
        <v>161</v>
      </c>
      <c r="E5" s="3">
        <v>176</v>
      </c>
      <c r="F5" s="3">
        <v>146</v>
      </c>
      <c r="G5" s="3">
        <f>ROUND(E5/(D5/100)^2, 1)</f>
        <v>67.900000000000006</v>
      </c>
      <c r="H5" s="3">
        <f>ROUND(IF(C5="Male",50+(0.92*(D5-150)),45.5+(0.92*(D5-150))), 1)</f>
        <v>60.1</v>
      </c>
      <c r="I5" s="3">
        <f>(0.4 * (E5-H5)) + H5</f>
        <v>106.46000000000001</v>
      </c>
      <c r="J5" s="3">
        <f>ROUND(IF(E5 &lt; H5, E5, IF(E5 &gt; H5 * 1.2, I5, H5)), 1)</f>
        <v>106.5</v>
      </c>
      <c r="K5" s="3">
        <f>ROUND(IF(C5="Male",((140-B5)*1.2*J5)/F5,((140-B5)*J5)/F5), 0)</f>
        <v>46</v>
      </c>
      <c r="L5" s="1" t="s">
        <v>22</v>
      </c>
      <c r="M5" s="1">
        <v>5</v>
      </c>
      <c r="N5" s="1">
        <f t="shared" ref="N5:N28" si="0">M5*J5</f>
        <v>532.5</v>
      </c>
      <c r="O5" s="1">
        <f t="shared" ref="O5:O28" si="1">IF(L5="Amikacin",MROUND(N5,50),MROUND(N5,20))</f>
        <v>540</v>
      </c>
      <c r="P5" s="1" t="str">
        <f t="shared" ref="P5:P28" si="2">IF(K5 &lt; 20, "PK", IF(K5 &lt; 40, "Q48H", IF(K5 &lt; 60, "Q36H", "Q24H")))</f>
        <v>Q36H</v>
      </c>
      <c r="Q5" s="1">
        <v>2</v>
      </c>
      <c r="R5" s="1">
        <f t="shared" ref="R5:R28" si="3">ROUND(Q5*H5,1)</f>
        <v>120.2</v>
      </c>
      <c r="S5" s="1">
        <f t="shared" ref="S5:S28" si="4">IF(L5="Amikacin",MROUND(R5,25),MROUND(R5,20))</f>
        <v>120</v>
      </c>
      <c r="T5" s="1">
        <v>1.5</v>
      </c>
      <c r="U5" s="1">
        <f t="shared" ref="U5:U28" si="5">ROUND(H5*T5,1)</f>
        <v>90.2</v>
      </c>
      <c r="V5" s="1">
        <f t="shared" ref="V5:V28" si="6">IF(L5="Amikacin",MROUND(U5,25),MROUND(U5,20))</f>
        <v>100</v>
      </c>
      <c r="W5" s="1" t="str">
        <f t="shared" ref="W5:W28" si="7">IF(K5 &lt; 20, "PK", IF(K5 &lt; 50, "Q24H", IF(K5 &lt; 80, "Q12H", "Q8H")))</f>
        <v>Q24H</v>
      </c>
      <c r="X5" s="1">
        <v>1.5</v>
      </c>
      <c r="Y5" s="1">
        <f t="shared" ref="Y5:Y28" si="8">ROUND(H5*X5,1)</f>
        <v>90.2</v>
      </c>
      <c r="Z5" s="1">
        <f t="shared" ref="Z5:Z28" si="9">IF(L5="Amikacin",MROUND(Y5,25),MROUND(Y5,20))</f>
        <v>100</v>
      </c>
      <c r="AA5" s="1" t="str">
        <f t="shared" ref="AA5:AA28" si="10">IF(K5 &lt; 20, "PK", IF(K5 &lt; 50, "Q24H", IF(K5 &lt; 80, "Q12H", "Q8H")))</f>
        <v>Q24H</v>
      </c>
    </row>
    <row r="6" spans="1:27" x14ac:dyDescent="0.25">
      <c r="A6" s="1"/>
      <c r="B6" s="3">
        <v>34</v>
      </c>
      <c r="C6" s="3" t="s">
        <v>16</v>
      </c>
      <c r="D6" s="3">
        <v>175</v>
      </c>
      <c r="E6" s="3">
        <v>70</v>
      </c>
      <c r="F6" s="3">
        <v>145</v>
      </c>
      <c r="G6" s="3">
        <f>ROUND(E6/(D6/100)^2, 1)</f>
        <v>22.9</v>
      </c>
      <c r="H6" s="1">
        <f>ROUND(IF(C6="Male",50+(0.92*(D6-150)),45.5+(0.92*(D6-150))), 1)</f>
        <v>68.5</v>
      </c>
      <c r="I6" s="1">
        <f>(0.4 * (E6-H6)) + H6</f>
        <v>69.099999999999994</v>
      </c>
      <c r="J6" s="1">
        <f>ROUND(IF(E6 &lt; H6, E6, IF(E6 &gt; H6 * 1.2, I6, H6)), 1)</f>
        <v>68.5</v>
      </c>
      <c r="K6" s="1">
        <f>ROUND(IF(C6="Male",((140-B6)*1.2*J6)/F6,((140-B6)*J6)/F6), 0)</f>
        <v>50</v>
      </c>
      <c r="L6" s="1" t="s">
        <v>23</v>
      </c>
      <c r="M6" s="1">
        <v>7</v>
      </c>
      <c r="N6" s="1">
        <f t="shared" si="0"/>
        <v>479.5</v>
      </c>
      <c r="O6" s="1">
        <f t="shared" si="1"/>
        <v>480</v>
      </c>
      <c r="P6" s="1" t="str">
        <f t="shared" si="2"/>
        <v>Q36H</v>
      </c>
      <c r="Q6" s="1">
        <v>2</v>
      </c>
      <c r="R6" s="1">
        <f t="shared" si="3"/>
        <v>137</v>
      </c>
      <c r="S6" s="1">
        <f t="shared" si="4"/>
        <v>140</v>
      </c>
      <c r="T6" s="1">
        <v>2</v>
      </c>
      <c r="U6" s="1">
        <f t="shared" si="5"/>
        <v>137</v>
      </c>
      <c r="V6" s="1">
        <f t="shared" si="6"/>
        <v>140</v>
      </c>
      <c r="W6" s="1" t="str">
        <f t="shared" si="7"/>
        <v>Q12H</v>
      </c>
      <c r="X6" s="1">
        <v>2</v>
      </c>
      <c r="Y6" s="1">
        <f t="shared" si="8"/>
        <v>137</v>
      </c>
      <c r="Z6" s="1">
        <f t="shared" si="9"/>
        <v>140</v>
      </c>
      <c r="AA6" s="1" t="str">
        <f t="shared" si="10"/>
        <v>Q12H</v>
      </c>
    </row>
    <row r="7" spans="1:27" x14ac:dyDescent="0.25">
      <c r="A7" s="1"/>
      <c r="B7" s="3">
        <v>89</v>
      </c>
      <c r="C7" s="3" t="s">
        <v>16</v>
      </c>
      <c r="D7" s="3">
        <v>163</v>
      </c>
      <c r="E7" s="3">
        <v>80</v>
      </c>
      <c r="F7" s="3">
        <v>83</v>
      </c>
      <c r="G7" s="3">
        <f>ROUND(E7/(D7/100)^2, 1)</f>
        <v>30.1</v>
      </c>
      <c r="H7" s="1">
        <f>ROUND(IF(C7="Male",50+(0.92*(D7-150)),45.5+(0.92*(D7-150))), 1)</f>
        <v>57.5</v>
      </c>
      <c r="I7" s="1">
        <f>(0.4 * (E7-H7)) + H7</f>
        <v>66.5</v>
      </c>
      <c r="J7" s="1">
        <f>ROUND(IF(E7 &lt; H7, E7, IF(E7 &gt; H7 * 1.2, I7, H7)), 1)</f>
        <v>66.5</v>
      </c>
      <c r="K7" s="1">
        <f>ROUND(IF(C7="Male",((140-B7)*1.2*J7)/F7,((140-B7)*J7)/F7), 0)</f>
        <v>41</v>
      </c>
      <c r="L7" s="1" t="s">
        <v>23</v>
      </c>
      <c r="M7" s="1">
        <v>6</v>
      </c>
      <c r="N7" s="1">
        <f t="shared" si="0"/>
        <v>399</v>
      </c>
      <c r="O7" s="1">
        <f t="shared" si="1"/>
        <v>400</v>
      </c>
      <c r="P7" s="1" t="str">
        <f t="shared" si="2"/>
        <v>Q36H</v>
      </c>
      <c r="Q7" s="1">
        <v>2</v>
      </c>
      <c r="R7" s="1">
        <f t="shared" si="3"/>
        <v>115</v>
      </c>
      <c r="S7" s="1">
        <f t="shared" si="4"/>
        <v>120</v>
      </c>
      <c r="T7" s="1">
        <v>1.5</v>
      </c>
      <c r="U7" s="1">
        <f t="shared" si="5"/>
        <v>86.3</v>
      </c>
      <c r="V7" s="1">
        <f t="shared" si="6"/>
        <v>80</v>
      </c>
      <c r="W7" s="1" t="str">
        <f t="shared" si="7"/>
        <v>Q24H</v>
      </c>
      <c r="X7" s="1">
        <v>1.5</v>
      </c>
      <c r="Y7" s="1">
        <f t="shared" si="8"/>
        <v>86.3</v>
      </c>
      <c r="Z7" s="1">
        <f t="shared" si="9"/>
        <v>80</v>
      </c>
      <c r="AA7" s="1" t="str">
        <f t="shared" si="10"/>
        <v>Q24H</v>
      </c>
    </row>
    <row r="8" spans="1:27" x14ac:dyDescent="0.25">
      <c r="A8" s="1"/>
      <c r="B8" s="3">
        <v>33</v>
      </c>
      <c r="C8" s="3" t="s">
        <v>17</v>
      </c>
      <c r="D8" s="3">
        <v>190</v>
      </c>
      <c r="E8" s="3">
        <v>99</v>
      </c>
      <c r="F8" s="3">
        <v>54</v>
      </c>
      <c r="G8" s="3">
        <f>ROUND(E8/(D8/100)^2, 1)</f>
        <v>27.4</v>
      </c>
      <c r="H8" s="1">
        <f>ROUND(IF(C8="Male",50+(0.92*(D8-150)),45.5+(0.92*(D8-150))), 1)</f>
        <v>86.8</v>
      </c>
      <c r="I8" s="1">
        <f>(0.4 * (E8-H8)) + H8</f>
        <v>91.679999999999993</v>
      </c>
      <c r="J8" s="1">
        <f>ROUND(IF(E8 &lt; H8, E8, IF(E8 &gt; H8 * 1.2, I8, H8)), 1)</f>
        <v>86.8</v>
      </c>
      <c r="K8" s="1">
        <f>ROUND(IF(C8="Male",((140-B8)*1.2*J8)/F8,((140-B8)*J8)/F8), 0)</f>
        <v>206</v>
      </c>
      <c r="L8" s="1" t="s">
        <v>22</v>
      </c>
      <c r="M8" s="1">
        <v>7</v>
      </c>
      <c r="N8" s="1">
        <f t="shared" si="0"/>
        <v>607.6</v>
      </c>
      <c r="O8" s="1">
        <f t="shared" si="1"/>
        <v>600</v>
      </c>
      <c r="P8" s="1" t="str">
        <f t="shared" si="2"/>
        <v>Q24H</v>
      </c>
      <c r="Q8" s="1">
        <v>2</v>
      </c>
      <c r="R8" s="1">
        <f t="shared" si="3"/>
        <v>173.6</v>
      </c>
      <c r="S8" s="1">
        <f t="shared" si="4"/>
        <v>180</v>
      </c>
      <c r="T8" s="1">
        <v>2</v>
      </c>
      <c r="U8" s="1">
        <f t="shared" si="5"/>
        <v>173.6</v>
      </c>
      <c r="V8" s="1">
        <f t="shared" si="6"/>
        <v>180</v>
      </c>
      <c r="W8" s="1" t="str">
        <f t="shared" si="7"/>
        <v>Q8H</v>
      </c>
      <c r="X8" s="1">
        <v>1.5</v>
      </c>
      <c r="Y8" s="1">
        <f t="shared" si="8"/>
        <v>130.19999999999999</v>
      </c>
      <c r="Z8" s="1">
        <f t="shared" si="9"/>
        <v>140</v>
      </c>
      <c r="AA8" s="1" t="str">
        <f t="shared" si="10"/>
        <v>Q8H</v>
      </c>
    </row>
    <row r="9" spans="1:27" x14ac:dyDescent="0.25">
      <c r="A9" s="1"/>
      <c r="B9" s="3">
        <v>29</v>
      </c>
      <c r="C9" s="3" t="s">
        <v>17</v>
      </c>
      <c r="D9" s="3">
        <v>175</v>
      </c>
      <c r="E9" s="3">
        <v>118</v>
      </c>
      <c r="F9" s="3">
        <v>75</v>
      </c>
      <c r="G9" s="3">
        <f>ROUND(E9/(D9/100)^2, 1)</f>
        <v>38.5</v>
      </c>
      <c r="H9" s="1">
        <f>ROUND(IF(C9="Male",50+(0.92*(D9-150)),45.5+(0.92*(D9-150))), 1)</f>
        <v>73</v>
      </c>
      <c r="I9" s="1">
        <f>(0.4 * (E9-H9)) + H9</f>
        <v>91</v>
      </c>
      <c r="J9" s="1">
        <f>ROUND(IF(E9 &lt; H9, E9, IF(E9 &gt; H9 * 1.2, I9, H9)), 1)</f>
        <v>91</v>
      </c>
      <c r="K9" s="1">
        <f>ROUND(IF(C9="Male",((140-B9)*1.2*J9)/F9,((140-B9)*J9)/F9), 0)</f>
        <v>162</v>
      </c>
      <c r="L9" s="1" t="s">
        <v>21</v>
      </c>
      <c r="M9" s="1">
        <v>15</v>
      </c>
      <c r="N9" s="1">
        <f t="shared" si="0"/>
        <v>1365</v>
      </c>
      <c r="O9" s="1">
        <f t="shared" si="1"/>
        <v>1350</v>
      </c>
      <c r="P9" s="1" t="str">
        <f t="shared" si="2"/>
        <v>Q24H</v>
      </c>
      <c r="Q9" s="1">
        <v>7.5</v>
      </c>
      <c r="R9" s="1">
        <f t="shared" si="3"/>
        <v>547.5</v>
      </c>
      <c r="S9" s="1">
        <f t="shared" si="4"/>
        <v>550</v>
      </c>
      <c r="T9" s="1">
        <v>5.5</v>
      </c>
      <c r="U9" s="1">
        <f t="shared" si="5"/>
        <v>401.5</v>
      </c>
      <c r="V9" s="1">
        <f t="shared" si="6"/>
        <v>400</v>
      </c>
      <c r="W9" s="1" t="str">
        <f t="shared" si="7"/>
        <v>Q8H</v>
      </c>
      <c r="X9" s="1">
        <v>5.5</v>
      </c>
      <c r="Y9" s="1">
        <f t="shared" si="8"/>
        <v>401.5</v>
      </c>
      <c r="Z9" s="1">
        <f t="shared" si="9"/>
        <v>400</v>
      </c>
      <c r="AA9" s="1" t="str">
        <f t="shared" si="10"/>
        <v>Q8H</v>
      </c>
    </row>
    <row r="10" spans="1:27" x14ac:dyDescent="0.25">
      <c r="A10" s="1"/>
      <c r="B10" s="3">
        <v>97</v>
      </c>
      <c r="C10" s="3" t="s">
        <v>17</v>
      </c>
      <c r="D10" s="3">
        <v>186</v>
      </c>
      <c r="E10" s="3">
        <v>86</v>
      </c>
      <c r="F10" s="3">
        <v>132</v>
      </c>
      <c r="G10" s="3">
        <f>ROUND(E10/(D10/100)^2, 1)</f>
        <v>24.9</v>
      </c>
      <c r="H10" s="1">
        <f>ROUND(IF(C10="Male",50+(0.92*(D10-150)),45.5+(0.92*(D10-150))), 1)</f>
        <v>83.1</v>
      </c>
      <c r="I10" s="1">
        <f>(0.4 * (E10-H10)) + H10</f>
        <v>84.259999999999991</v>
      </c>
      <c r="J10" s="1">
        <f>ROUND(IF(E10 &lt; H10, E10, IF(E10 &gt; H10 * 1.2, I10, H10)), 1)</f>
        <v>83.1</v>
      </c>
      <c r="K10" s="1">
        <f>ROUND(IF(C10="Male",((140-B10)*1.2*J10)/F10,((140-B10)*J10)/F10), 0)</f>
        <v>32</v>
      </c>
      <c r="L10" s="1" t="s">
        <v>21</v>
      </c>
      <c r="M10" s="1">
        <v>15</v>
      </c>
      <c r="N10" s="1">
        <f t="shared" si="0"/>
        <v>1246.5</v>
      </c>
      <c r="O10" s="1">
        <f t="shared" si="1"/>
        <v>1250</v>
      </c>
      <c r="P10" s="1" t="str">
        <f t="shared" si="2"/>
        <v>Q48H</v>
      </c>
      <c r="Q10" s="1">
        <v>7.5</v>
      </c>
      <c r="R10" s="1">
        <f t="shared" si="3"/>
        <v>623.29999999999995</v>
      </c>
      <c r="S10" s="1">
        <f t="shared" si="4"/>
        <v>625</v>
      </c>
      <c r="T10" s="1">
        <v>6</v>
      </c>
      <c r="U10" s="1">
        <f t="shared" si="5"/>
        <v>498.6</v>
      </c>
      <c r="V10" s="1">
        <f t="shared" si="6"/>
        <v>500</v>
      </c>
      <c r="W10" s="1" t="str">
        <f t="shared" si="7"/>
        <v>Q24H</v>
      </c>
      <c r="X10" s="1">
        <v>7.5</v>
      </c>
      <c r="Y10" s="1">
        <f t="shared" si="8"/>
        <v>623.29999999999995</v>
      </c>
      <c r="Z10" s="1">
        <f t="shared" si="9"/>
        <v>625</v>
      </c>
      <c r="AA10" s="1" t="str">
        <f t="shared" si="10"/>
        <v>Q24H</v>
      </c>
    </row>
    <row r="11" spans="1:27" x14ac:dyDescent="0.25">
      <c r="A11" s="1"/>
      <c r="B11" s="3">
        <v>72</v>
      </c>
      <c r="C11" s="3" t="s">
        <v>17</v>
      </c>
      <c r="D11" s="3">
        <v>195</v>
      </c>
      <c r="E11" s="3">
        <v>187</v>
      </c>
      <c r="F11" s="3">
        <v>170</v>
      </c>
      <c r="G11" s="3">
        <f>ROUND(E11/(D11/100)^2, 1)</f>
        <v>49.2</v>
      </c>
      <c r="H11" s="1">
        <f>ROUND(IF(C11="Male",50+(0.92*(D11-150)),45.5+(0.92*(D11-150))), 1)</f>
        <v>91.4</v>
      </c>
      <c r="I11" s="1">
        <f>(0.4 * (E11-H11)) + H11</f>
        <v>129.64000000000001</v>
      </c>
      <c r="J11" s="1">
        <f>ROUND(IF(E11 &lt; H11, E11, IF(E11 &gt; H11 * 1.2, I11, H11)), 1)</f>
        <v>129.6</v>
      </c>
      <c r="K11" s="1">
        <f>ROUND(IF(C11="Male",((140-B11)*1.2*J11)/F11,((140-B11)*J11)/F11), 0)</f>
        <v>62</v>
      </c>
      <c r="L11" s="1" t="s">
        <v>22</v>
      </c>
      <c r="M11" s="1">
        <v>7</v>
      </c>
      <c r="N11" s="1">
        <f t="shared" si="0"/>
        <v>907.19999999999993</v>
      </c>
      <c r="O11" s="1">
        <f t="shared" si="1"/>
        <v>900</v>
      </c>
      <c r="P11" s="1" t="str">
        <f t="shared" si="2"/>
        <v>Q24H</v>
      </c>
      <c r="Q11" s="1">
        <v>2</v>
      </c>
      <c r="R11" s="1">
        <f t="shared" si="3"/>
        <v>182.8</v>
      </c>
      <c r="S11" s="1">
        <f t="shared" si="4"/>
        <v>180</v>
      </c>
      <c r="T11" s="1">
        <v>1.5</v>
      </c>
      <c r="U11" s="1">
        <f t="shared" si="5"/>
        <v>137.1</v>
      </c>
      <c r="V11" s="1">
        <f t="shared" si="6"/>
        <v>140</v>
      </c>
      <c r="W11" s="1" t="str">
        <f t="shared" si="7"/>
        <v>Q12H</v>
      </c>
      <c r="X11" s="1">
        <v>2</v>
      </c>
      <c r="Y11" s="1">
        <f t="shared" si="8"/>
        <v>182.8</v>
      </c>
      <c r="Z11" s="1">
        <f t="shared" si="9"/>
        <v>180</v>
      </c>
      <c r="AA11" s="1" t="str">
        <f t="shared" si="10"/>
        <v>Q12H</v>
      </c>
    </row>
    <row r="12" spans="1:27" x14ac:dyDescent="0.25">
      <c r="A12" s="1"/>
      <c r="B12" s="3">
        <v>51</v>
      </c>
      <c r="C12" s="3" t="s">
        <v>16</v>
      </c>
      <c r="D12" s="3">
        <v>160</v>
      </c>
      <c r="E12" s="3">
        <v>174</v>
      </c>
      <c r="F12" s="3">
        <v>184</v>
      </c>
      <c r="G12" s="3">
        <f>ROUND(E12/(D12/100)^2, 1)</f>
        <v>68</v>
      </c>
      <c r="H12" s="1">
        <f>ROUND(IF(C12="Male",50+(0.92*(D12-150)),45.5+(0.92*(D12-150))), 1)</f>
        <v>54.7</v>
      </c>
      <c r="I12" s="1">
        <f>(0.4 * (E12-H12)) + H12</f>
        <v>102.42</v>
      </c>
      <c r="J12" s="1">
        <f>ROUND(IF(E12 &lt; H12, E12, IF(E12 &gt; H12 * 1.2, I12, H12)), 1)</f>
        <v>102.4</v>
      </c>
      <c r="K12" s="1">
        <f>ROUND(IF(C12="Male",((140-B12)*1.2*J12)/F12,((140-B12)*J12)/F12), 0)</f>
        <v>50</v>
      </c>
      <c r="L12" s="1" t="s">
        <v>22</v>
      </c>
      <c r="M12" s="1">
        <v>7</v>
      </c>
      <c r="N12" s="1">
        <f t="shared" si="0"/>
        <v>716.80000000000007</v>
      </c>
      <c r="O12" s="1">
        <f t="shared" si="1"/>
        <v>720</v>
      </c>
      <c r="P12" s="1" t="str">
        <f t="shared" si="2"/>
        <v>Q36H</v>
      </c>
      <c r="Q12" s="1">
        <v>2</v>
      </c>
      <c r="R12" s="1">
        <f t="shared" si="3"/>
        <v>109.4</v>
      </c>
      <c r="S12" s="1">
        <f t="shared" si="4"/>
        <v>100</v>
      </c>
      <c r="T12" s="1">
        <v>2</v>
      </c>
      <c r="U12" s="1">
        <f t="shared" si="5"/>
        <v>109.4</v>
      </c>
      <c r="V12" s="1">
        <f t="shared" si="6"/>
        <v>100</v>
      </c>
      <c r="W12" s="1" t="str">
        <f t="shared" si="7"/>
        <v>Q12H</v>
      </c>
      <c r="X12" s="1">
        <v>1.5</v>
      </c>
      <c r="Y12" s="1">
        <f t="shared" si="8"/>
        <v>82.1</v>
      </c>
      <c r="Z12" s="1">
        <f t="shared" si="9"/>
        <v>80</v>
      </c>
      <c r="AA12" s="1" t="str">
        <f t="shared" si="10"/>
        <v>Q12H</v>
      </c>
    </row>
    <row r="13" spans="1:27" x14ac:dyDescent="0.25">
      <c r="A13" s="1"/>
      <c r="B13" s="3">
        <v>46</v>
      </c>
      <c r="C13" s="3" t="s">
        <v>16</v>
      </c>
      <c r="D13" s="3">
        <v>169</v>
      </c>
      <c r="E13" s="3">
        <v>133</v>
      </c>
      <c r="F13" s="3">
        <v>156</v>
      </c>
      <c r="G13" s="3">
        <f>ROUND(E13/(D13/100)^2, 1)</f>
        <v>46.6</v>
      </c>
      <c r="H13" s="1">
        <f>ROUND(IF(C13="Male",50+(0.92*(D13-150)),45.5+(0.92*(D13-150))), 1)</f>
        <v>63</v>
      </c>
      <c r="I13" s="1">
        <f>(0.4 * (E13-H13)) + H13</f>
        <v>91</v>
      </c>
      <c r="J13" s="1">
        <f>ROUND(IF(E13 &lt; H13, E13, IF(E13 &gt; H13 * 1.2, I13, H13)), 1)</f>
        <v>91</v>
      </c>
      <c r="K13" s="1">
        <f>ROUND(IF(C13="Male",((140-B13)*1.2*J13)/F13,((140-B13)*J13)/F13), 0)</f>
        <v>55</v>
      </c>
      <c r="L13" s="1" t="s">
        <v>21</v>
      </c>
      <c r="M13" s="1">
        <v>15</v>
      </c>
      <c r="N13" s="1">
        <f t="shared" si="0"/>
        <v>1365</v>
      </c>
      <c r="O13" s="1">
        <f t="shared" si="1"/>
        <v>1350</v>
      </c>
      <c r="P13" s="1" t="str">
        <f t="shared" si="2"/>
        <v>Q36H</v>
      </c>
      <c r="Q13" s="1">
        <v>7.5</v>
      </c>
      <c r="R13" s="1">
        <f t="shared" si="3"/>
        <v>472.5</v>
      </c>
      <c r="S13" s="1">
        <f t="shared" si="4"/>
        <v>475</v>
      </c>
      <c r="T13" s="1">
        <v>6</v>
      </c>
      <c r="U13" s="1">
        <f t="shared" si="5"/>
        <v>378</v>
      </c>
      <c r="V13" s="1">
        <f t="shared" si="6"/>
        <v>375</v>
      </c>
      <c r="W13" s="1" t="str">
        <f t="shared" si="7"/>
        <v>Q12H</v>
      </c>
      <c r="X13" s="1">
        <v>5.5</v>
      </c>
      <c r="Y13" s="1">
        <f t="shared" si="8"/>
        <v>346.5</v>
      </c>
      <c r="Z13" s="1">
        <f t="shared" si="9"/>
        <v>350</v>
      </c>
      <c r="AA13" s="1" t="str">
        <f t="shared" si="10"/>
        <v>Q12H</v>
      </c>
    </row>
    <row r="14" spans="1:27" x14ac:dyDescent="0.25">
      <c r="A14" s="1"/>
      <c r="B14" s="3">
        <v>65</v>
      </c>
      <c r="C14" s="3" t="s">
        <v>16</v>
      </c>
      <c r="D14" s="3">
        <v>188</v>
      </c>
      <c r="E14" s="3">
        <v>89</v>
      </c>
      <c r="F14" s="3">
        <v>58</v>
      </c>
      <c r="G14" s="3">
        <f>ROUND(E14/(D14/100)^2, 1)</f>
        <v>25.2</v>
      </c>
      <c r="H14" s="1">
        <f>ROUND(IF(C14="Male",50+(0.92*(D14-150)),45.5+(0.92*(D14-150))), 1)</f>
        <v>80.5</v>
      </c>
      <c r="I14" s="1">
        <f>(0.4 * (E14-H14)) + H14</f>
        <v>83.9</v>
      </c>
      <c r="J14" s="1">
        <f>ROUND(IF(E14 &lt; H14, E14, IF(E14 &gt; H14 * 1.2, I14, H14)), 1)</f>
        <v>80.5</v>
      </c>
      <c r="K14" s="1">
        <f>ROUND(IF(C14="Male",((140-B14)*1.2*J14)/F14,((140-B14)*J14)/F14), 0)</f>
        <v>104</v>
      </c>
      <c r="L14" s="1" t="s">
        <v>22</v>
      </c>
      <c r="M14" s="1">
        <v>6</v>
      </c>
      <c r="N14" s="1">
        <f t="shared" si="0"/>
        <v>483</v>
      </c>
      <c r="O14" s="1">
        <f t="shared" si="1"/>
        <v>480</v>
      </c>
      <c r="P14" s="1" t="str">
        <f t="shared" si="2"/>
        <v>Q24H</v>
      </c>
      <c r="Q14" s="1">
        <v>2</v>
      </c>
      <c r="R14" s="1">
        <f t="shared" si="3"/>
        <v>161</v>
      </c>
      <c r="S14" s="1">
        <f t="shared" si="4"/>
        <v>160</v>
      </c>
      <c r="T14" s="1">
        <v>1.5</v>
      </c>
      <c r="U14" s="1">
        <f t="shared" si="5"/>
        <v>120.8</v>
      </c>
      <c r="V14" s="1">
        <f t="shared" si="6"/>
        <v>120</v>
      </c>
      <c r="W14" s="1" t="str">
        <f t="shared" si="7"/>
        <v>Q8H</v>
      </c>
      <c r="X14" s="1">
        <v>2</v>
      </c>
      <c r="Y14" s="1">
        <f t="shared" si="8"/>
        <v>161</v>
      </c>
      <c r="Z14" s="1">
        <f t="shared" si="9"/>
        <v>160</v>
      </c>
      <c r="AA14" s="1" t="str">
        <f t="shared" si="10"/>
        <v>Q8H</v>
      </c>
    </row>
    <row r="15" spans="1:27" x14ac:dyDescent="0.25">
      <c r="A15" s="1"/>
      <c r="B15" s="3">
        <v>91</v>
      </c>
      <c r="C15" s="3" t="s">
        <v>16</v>
      </c>
      <c r="D15" s="3">
        <v>184</v>
      </c>
      <c r="E15" s="3">
        <v>155</v>
      </c>
      <c r="F15" s="3">
        <v>63</v>
      </c>
      <c r="G15" s="3">
        <f>ROUND(E15/(D15/100)^2, 1)</f>
        <v>45.8</v>
      </c>
      <c r="H15" s="1">
        <f>ROUND(IF(C15="Male",50+(0.92*(D15-150)),45.5+(0.92*(D15-150))), 1)</f>
        <v>76.8</v>
      </c>
      <c r="I15" s="1">
        <f>(0.4 * (E15-H15)) + H15</f>
        <v>108.08</v>
      </c>
      <c r="J15" s="1">
        <f>ROUND(IF(E15 &lt; H15, E15, IF(E15 &gt; H15 * 1.2, I15, H15)), 1)</f>
        <v>108.1</v>
      </c>
      <c r="K15" s="1">
        <f>ROUND(IF(C15="Male",((140-B15)*1.2*J15)/F15,((140-B15)*J15)/F15), 0)</f>
        <v>84</v>
      </c>
      <c r="L15" s="1" t="s">
        <v>21</v>
      </c>
      <c r="M15" s="1">
        <v>15</v>
      </c>
      <c r="N15" s="1">
        <f t="shared" si="0"/>
        <v>1621.5</v>
      </c>
      <c r="O15" s="1">
        <f t="shared" si="1"/>
        <v>1600</v>
      </c>
      <c r="P15" s="1" t="str">
        <f t="shared" si="2"/>
        <v>Q24H</v>
      </c>
      <c r="Q15" s="1">
        <v>7.5</v>
      </c>
      <c r="R15" s="1">
        <f t="shared" si="3"/>
        <v>576</v>
      </c>
      <c r="S15" s="1">
        <f t="shared" si="4"/>
        <v>575</v>
      </c>
      <c r="T15" s="1">
        <v>7</v>
      </c>
      <c r="U15" s="1">
        <f t="shared" si="5"/>
        <v>537.6</v>
      </c>
      <c r="V15" s="1">
        <f t="shared" si="6"/>
        <v>550</v>
      </c>
      <c r="W15" s="1" t="str">
        <f t="shared" si="7"/>
        <v>Q8H</v>
      </c>
      <c r="X15" s="1">
        <v>5</v>
      </c>
      <c r="Y15" s="1">
        <f t="shared" si="8"/>
        <v>384</v>
      </c>
      <c r="Z15" s="1">
        <f t="shared" si="9"/>
        <v>375</v>
      </c>
      <c r="AA15" s="1" t="str">
        <f t="shared" si="10"/>
        <v>Q8H</v>
      </c>
    </row>
    <row r="16" spans="1:27" x14ac:dyDescent="0.25">
      <c r="A16" s="1"/>
      <c r="B16" s="3">
        <v>45</v>
      </c>
      <c r="C16" s="3" t="s">
        <v>17</v>
      </c>
      <c r="D16" s="3">
        <v>190</v>
      </c>
      <c r="E16" s="3">
        <v>192</v>
      </c>
      <c r="F16" s="3">
        <v>137</v>
      </c>
      <c r="G16" s="3">
        <f>ROUND(E16/(D16/100)^2, 1)</f>
        <v>53.2</v>
      </c>
      <c r="H16" s="1">
        <f>ROUND(IF(C16="Male",50+(0.92*(D16-150)),45.5+(0.92*(D16-150))), 1)</f>
        <v>86.8</v>
      </c>
      <c r="I16" s="1">
        <f>(0.4 * (E16-H16)) + H16</f>
        <v>128.88</v>
      </c>
      <c r="J16" s="1">
        <f>ROUND(IF(E16 &lt; H16, E16, IF(E16 &gt; H16 * 1.2, I16, H16)), 1)</f>
        <v>128.9</v>
      </c>
      <c r="K16" s="1">
        <f>ROUND(IF(C16="Male",((140-B16)*1.2*J16)/F16,((140-B16)*J16)/F16), 0)</f>
        <v>107</v>
      </c>
      <c r="L16" s="1" t="s">
        <v>23</v>
      </c>
      <c r="M16" s="1">
        <v>7</v>
      </c>
      <c r="N16" s="1">
        <f t="shared" si="0"/>
        <v>902.30000000000007</v>
      </c>
      <c r="O16" s="1">
        <f t="shared" si="1"/>
        <v>900</v>
      </c>
      <c r="P16" s="1" t="str">
        <f t="shared" si="2"/>
        <v>Q24H</v>
      </c>
      <c r="Q16" s="1">
        <v>2</v>
      </c>
      <c r="R16" s="1">
        <f t="shared" si="3"/>
        <v>173.6</v>
      </c>
      <c r="S16" s="1">
        <f t="shared" si="4"/>
        <v>180</v>
      </c>
      <c r="T16" s="1">
        <v>2</v>
      </c>
      <c r="U16" s="1">
        <f t="shared" si="5"/>
        <v>173.6</v>
      </c>
      <c r="V16" s="1">
        <f t="shared" si="6"/>
        <v>180</v>
      </c>
      <c r="W16" s="1" t="str">
        <f t="shared" si="7"/>
        <v>Q8H</v>
      </c>
      <c r="X16" s="1">
        <v>1.5</v>
      </c>
      <c r="Y16" s="1">
        <f t="shared" si="8"/>
        <v>130.19999999999999</v>
      </c>
      <c r="Z16" s="1">
        <f t="shared" si="9"/>
        <v>140</v>
      </c>
      <c r="AA16" s="1" t="str">
        <f t="shared" si="10"/>
        <v>Q8H</v>
      </c>
    </row>
    <row r="17" spans="1:27" x14ac:dyDescent="0.25">
      <c r="A17" s="1"/>
      <c r="B17" s="3">
        <v>33</v>
      </c>
      <c r="C17" s="3" t="s">
        <v>16</v>
      </c>
      <c r="D17" s="3">
        <v>191</v>
      </c>
      <c r="E17" s="3">
        <v>95</v>
      </c>
      <c r="F17" s="3">
        <v>170</v>
      </c>
      <c r="G17" s="3">
        <f>ROUND(E17/(D17/100)^2, 1)</f>
        <v>26</v>
      </c>
      <c r="H17" s="1">
        <f>ROUND(IF(C17="Male",50+(0.92*(D17-150)),45.5+(0.92*(D17-150))), 1)</f>
        <v>83.2</v>
      </c>
      <c r="I17" s="1">
        <f>(0.4 * (E17-H17)) + H17</f>
        <v>87.92</v>
      </c>
      <c r="J17" s="1">
        <f>ROUND(IF(E17 &lt; H17, E17, IF(E17 &gt; H17 * 1.2, I17, H17)), 1)</f>
        <v>83.2</v>
      </c>
      <c r="K17" s="1">
        <f>ROUND(IF(C17="Male",((140-B17)*1.2*J17)/F17,((140-B17)*J17)/F17), 0)</f>
        <v>52</v>
      </c>
      <c r="L17" s="1" t="s">
        <v>23</v>
      </c>
      <c r="M17" s="1">
        <v>6</v>
      </c>
      <c r="N17" s="1">
        <f t="shared" si="0"/>
        <v>499.20000000000005</v>
      </c>
      <c r="O17" s="1">
        <f t="shared" si="1"/>
        <v>500</v>
      </c>
      <c r="P17" s="1" t="str">
        <f t="shared" si="2"/>
        <v>Q36H</v>
      </c>
      <c r="Q17" s="1">
        <v>2</v>
      </c>
      <c r="R17" s="1">
        <f t="shared" si="3"/>
        <v>166.4</v>
      </c>
      <c r="S17" s="1">
        <f t="shared" si="4"/>
        <v>160</v>
      </c>
      <c r="T17" s="1">
        <v>1.5</v>
      </c>
      <c r="U17" s="1">
        <f t="shared" si="5"/>
        <v>124.8</v>
      </c>
      <c r="V17" s="1">
        <f t="shared" si="6"/>
        <v>120</v>
      </c>
      <c r="W17" s="1" t="str">
        <f t="shared" si="7"/>
        <v>Q12H</v>
      </c>
      <c r="X17" s="1">
        <v>1.5</v>
      </c>
      <c r="Y17" s="1">
        <f t="shared" si="8"/>
        <v>124.8</v>
      </c>
      <c r="Z17" s="1">
        <f t="shared" si="9"/>
        <v>120</v>
      </c>
      <c r="AA17" s="1" t="str">
        <f t="shared" si="10"/>
        <v>Q12H</v>
      </c>
    </row>
    <row r="18" spans="1:27" x14ac:dyDescent="0.25">
      <c r="A18" s="1"/>
      <c r="B18" s="3">
        <v>77</v>
      </c>
      <c r="C18" s="3" t="s">
        <v>16</v>
      </c>
      <c r="D18" s="3">
        <v>190</v>
      </c>
      <c r="E18" s="3">
        <v>76</v>
      </c>
      <c r="F18" s="3">
        <v>55</v>
      </c>
      <c r="G18" s="3">
        <f>ROUND(E18/(D18/100)^2, 1)</f>
        <v>21.1</v>
      </c>
      <c r="H18" s="1">
        <f>ROUND(IF(C18="Male",50+(0.92*(D18-150)),45.5+(0.92*(D18-150))), 1)</f>
        <v>82.3</v>
      </c>
      <c r="I18" s="1">
        <f>(0.4 * (E18-H18)) + H18</f>
        <v>79.78</v>
      </c>
      <c r="J18" s="1">
        <f>ROUND(IF(E18 &lt; H18, E18, IF(E18 &gt; H18 * 1.2, I18, H18)), 1)</f>
        <v>76</v>
      </c>
      <c r="K18" s="1">
        <f>ROUND(IF(C18="Male",((140-B18)*1.2*J18)/F18,((140-B18)*J18)/F18), 0)</f>
        <v>87</v>
      </c>
      <c r="L18" s="1" t="s">
        <v>22</v>
      </c>
      <c r="M18" s="1">
        <v>5</v>
      </c>
      <c r="N18" s="1">
        <f t="shared" si="0"/>
        <v>380</v>
      </c>
      <c r="O18" s="1">
        <f t="shared" si="1"/>
        <v>380</v>
      </c>
      <c r="P18" s="1" t="str">
        <f t="shared" si="2"/>
        <v>Q24H</v>
      </c>
      <c r="Q18" s="1">
        <v>2</v>
      </c>
      <c r="R18" s="1">
        <f t="shared" si="3"/>
        <v>164.6</v>
      </c>
      <c r="S18" s="1">
        <f t="shared" si="4"/>
        <v>160</v>
      </c>
      <c r="T18" s="1">
        <v>1.5</v>
      </c>
      <c r="U18" s="1">
        <f t="shared" si="5"/>
        <v>123.5</v>
      </c>
      <c r="V18" s="1">
        <f t="shared" si="6"/>
        <v>120</v>
      </c>
      <c r="W18" s="1" t="str">
        <f t="shared" si="7"/>
        <v>Q8H</v>
      </c>
      <c r="X18" s="1">
        <v>2</v>
      </c>
      <c r="Y18" s="1">
        <f t="shared" si="8"/>
        <v>164.6</v>
      </c>
      <c r="Z18" s="1">
        <f t="shared" si="9"/>
        <v>160</v>
      </c>
      <c r="AA18" s="1" t="str">
        <f t="shared" si="10"/>
        <v>Q8H</v>
      </c>
    </row>
    <row r="19" spans="1:27" x14ac:dyDescent="0.25">
      <c r="A19" s="1"/>
      <c r="B19" s="3">
        <v>39</v>
      </c>
      <c r="C19" s="3" t="s">
        <v>17</v>
      </c>
      <c r="D19" s="3">
        <v>173</v>
      </c>
      <c r="E19" s="3">
        <v>182</v>
      </c>
      <c r="F19" s="3">
        <v>125</v>
      </c>
      <c r="G19" s="3">
        <f>ROUND(E19/(D19/100)^2, 1)</f>
        <v>60.8</v>
      </c>
      <c r="H19" s="1">
        <f>ROUND(IF(C19="Male",50+(0.92*(D19-150)),45.5+(0.92*(D19-150))), 1)</f>
        <v>71.2</v>
      </c>
      <c r="I19" s="1">
        <f>(0.4 * (E19-H19)) + H19</f>
        <v>115.52000000000001</v>
      </c>
      <c r="J19" s="1">
        <f>ROUND(IF(E19 &lt; H19, E19, IF(E19 &gt; H19 * 1.2, I19, H19)), 1)</f>
        <v>115.5</v>
      </c>
      <c r="K19" s="1">
        <f>ROUND(IF(C19="Male",((140-B19)*1.2*J19)/F19,((140-B19)*J19)/F19), 0)</f>
        <v>112</v>
      </c>
      <c r="L19" s="1" t="s">
        <v>21</v>
      </c>
      <c r="M19" s="1">
        <v>15</v>
      </c>
      <c r="N19" s="1">
        <f t="shared" si="0"/>
        <v>1732.5</v>
      </c>
      <c r="O19" s="1">
        <f t="shared" si="1"/>
        <v>1750</v>
      </c>
      <c r="P19" s="1" t="str">
        <f t="shared" si="2"/>
        <v>Q24H</v>
      </c>
      <c r="Q19" s="1">
        <v>7.5</v>
      </c>
      <c r="R19" s="1">
        <f t="shared" si="3"/>
        <v>534</v>
      </c>
      <c r="S19" s="1">
        <f t="shared" si="4"/>
        <v>525</v>
      </c>
      <c r="T19" s="1">
        <v>7.5</v>
      </c>
      <c r="U19" s="1">
        <f t="shared" si="5"/>
        <v>534</v>
      </c>
      <c r="V19" s="1">
        <f t="shared" si="6"/>
        <v>525</v>
      </c>
      <c r="W19" s="1" t="str">
        <f t="shared" si="7"/>
        <v>Q8H</v>
      </c>
      <c r="X19" s="1">
        <v>7</v>
      </c>
      <c r="Y19" s="1">
        <f t="shared" si="8"/>
        <v>498.4</v>
      </c>
      <c r="Z19" s="1">
        <f t="shared" si="9"/>
        <v>500</v>
      </c>
      <c r="AA19" s="1" t="str">
        <f t="shared" si="10"/>
        <v>Q8H</v>
      </c>
    </row>
    <row r="20" spans="1:27" x14ac:dyDescent="0.25">
      <c r="A20" s="1"/>
      <c r="B20" s="3">
        <v>24</v>
      </c>
      <c r="C20" s="3" t="s">
        <v>17</v>
      </c>
      <c r="D20" s="3">
        <v>166</v>
      </c>
      <c r="E20" s="3">
        <v>188</v>
      </c>
      <c r="F20" s="3">
        <v>110</v>
      </c>
      <c r="G20" s="3">
        <f>ROUND(E20/(D20/100)^2, 1)</f>
        <v>68.2</v>
      </c>
      <c r="H20" s="1">
        <f>ROUND(IF(C20="Male",50+(0.92*(D20-150)),45.5+(0.92*(D20-150))), 1)</f>
        <v>64.7</v>
      </c>
      <c r="I20" s="1">
        <f>(0.4 * (E20-H20)) + H20</f>
        <v>114.02000000000001</v>
      </c>
      <c r="J20" s="1">
        <f>ROUND(IF(E20 &lt; H20, E20, IF(E20 &gt; H20 * 1.2, I20, H20)), 1)</f>
        <v>114</v>
      </c>
      <c r="K20" s="1">
        <f>ROUND(IF(C20="Male",((140-B20)*1.2*J20)/F20,((140-B20)*J20)/F20), 0)</f>
        <v>144</v>
      </c>
      <c r="L20" s="1" t="s">
        <v>22</v>
      </c>
      <c r="M20" s="1">
        <v>5</v>
      </c>
      <c r="N20" s="1">
        <f t="shared" si="0"/>
        <v>570</v>
      </c>
      <c r="O20" s="1">
        <f t="shared" si="1"/>
        <v>580</v>
      </c>
      <c r="P20" s="1" t="str">
        <f t="shared" si="2"/>
        <v>Q24H</v>
      </c>
      <c r="Q20" s="1">
        <v>2</v>
      </c>
      <c r="R20" s="1">
        <f t="shared" si="3"/>
        <v>129.4</v>
      </c>
      <c r="S20" s="1">
        <f t="shared" si="4"/>
        <v>120</v>
      </c>
      <c r="T20" s="1">
        <v>2</v>
      </c>
      <c r="U20" s="1">
        <f t="shared" si="5"/>
        <v>129.4</v>
      </c>
      <c r="V20" s="1">
        <f t="shared" si="6"/>
        <v>120</v>
      </c>
      <c r="W20" s="1" t="str">
        <f t="shared" si="7"/>
        <v>Q8H</v>
      </c>
      <c r="X20" s="1">
        <v>1.5</v>
      </c>
      <c r="Y20" s="1">
        <f t="shared" si="8"/>
        <v>97.1</v>
      </c>
      <c r="Z20" s="1">
        <f t="shared" si="9"/>
        <v>100</v>
      </c>
      <c r="AA20" s="1" t="str">
        <f t="shared" si="10"/>
        <v>Q8H</v>
      </c>
    </row>
    <row r="21" spans="1:27" x14ac:dyDescent="0.25">
      <c r="A21" s="1"/>
      <c r="B21" s="3">
        <v>43</v>
      </c>
      <c r="C21" s="3" t="s">
        <v>16</v>
      </c>
      <c r="D21" s="3">
        <v>198</v>
      </c>
      <c r="E21" s="3">
        <v>80</v>
      </c>
      <c r="F21" s="3">
        <v>138</v>
      </c>
      <c r="G21" s="3">
        <f>ROUND(E21/(D21/100)^2, 1)</f>
        <v>20.399999999999999</v>
      </c>
      <c r="H21" s="1">
        <f>ROUND(IF(C21="Male",50+(0.92*(D21-150)),45.5+(0.92*(D21-150))), 1)</f>
        <v>89.7</v>
      </c>
      <c r="I21" s="1">
        <f>(0.4 * (E21-H21)) + H21</f>
        <v>85.820000000000007</v>
      </c>
      <c r="J21" s="1">
        <f>ROUND(IF(E21 &lt; H21, E21, IF(E21 &gt; H21 * 1.2, I21, H21)), 1)</f>
        <v>80</v>
      </c>
      <c r="K21" s="1">
        <f>ROUND(IF(C21="Male",((140-B21)*1.2*J21)/F21,((140-B21)*J21)/F21), 0)</f>
        <v>56</v>
      </c>
      <c r="L21" s="1" t="s">
        <v>21</v>
      </c>
      <c r="M21" s="1">
        <v>15</v>
      </c>
      <c r="N21" s="1">
        <f t="shared" si="0"/>
        <v>1200</v>
      </c>
      <c r="O21" s="1">
        <f t="shared" si="1"/>
        <v>1200</v>
      </c>
      <c r="P21" s="1" t="str">
        <f t="shared" si="2"/>
        <v>Q36H</v>
      </c>
      <c r="Q21" s="1">
        <v>7.5</v>
      </c>
      <c r="R21" s="1">
        <f t="shared" si="3"/>
        <v>672.8</v>
      </c>
      <c r="S21" s="1">
        <f t="shared" si="4"/>
        <v>675</v>
      </c>
      <c r="T21" s="1">
        <v>5</v>
      </c>
      <c r="U21" s="1">
        <f t="shared" si="5"/>
        <v>448.5</v>
      </c>
      <c r="V21" s="1">
        <f t="shared" si="6"/>
        <v>450</v>
      </c>
      <c r="W21" s="1" t="str">
        <f t="shared" si="7"/>
        <v>Q12H</v>
      </c>
      <c r="X21" s="1">
        <v>7.5</v>
      </c>
      <c r="Y21" s="1">
        <f t="shared" si="8"/>
        <v>672.8</v>
      </c>
      <c r="Z21" s="1">
        <f t="shared" si="9"/>
        <v>675</v>
      </c>
      <c r="AA21" s="1" t="str">
        <f t="shared" si="10"/>
        <v>Q12H</v>
      </c>
    </row>
    <row r="22" spans="1:27" x14ac:dyDescent="0.25">
      <c r="A22" s="1"/>
      <c r="B22" s="3">
        <v>89</v>
      </c>
      <c r="C22" s="3" t="s">
        <v>16</v>
      </c>
      <c r="D22" s="3">
        <v>171</v>
      </c>
      <c r="E22" s="3">
        <v>72</v>
      </c>
      <c r="F22" s="3">
        <v>135</v>
      </c>
      <c r="G22" s="3">
        <f>ROUND(E22/(D22/100)^2, 1)</f>
        <v>24.6</v>
      </c>
      <c r="H22" s="1">
        <f>ROUND(IF(C22="Male",50+(0.92*(D22-150)),45.5+(0.92*(D22-150))), 1)</f>
        <v>64.8</v>
      </c>
      <c r="I22" s="1">
        <f>(0.4 * (E22-H22)) + H22</f>
        <v>67.679999999999993</v>
      </c>
      <c r="J22" s="1">
        <f>ROUND(IF(E22 &lt; H22, E22, IF(E22 &gt; H22 * 1.2, I22, H22)), 1)</f>
        <v>64.8</v>
      </c>
      <c r="K22" s="1">
        <f>ROUND(IF(C22="Male",((140-B22)*1.2*J22)/F22,((140-B22)*J22)/F22), 0)</f>
        <v>24</v>
      </c>
      <c r="L22" s="1" t="s">
        <v>21</v>
      </c>
      <c r="M22" s="1">
        <v>15</v>
      </c>
      <c r="N22" s="1">
        <f t="shared" si="0"/>
        <v>972</v>
      </c>
      <c r="O22" s="1">
        <f t="shared" si="1"/>
        <v>950</v>
      </c>
      <c r="P22" s="1" t="str">
        <f t="shared" si="2"/>
        <v>Q48H</v>
      </c>
      <c r="Q22" s="1">
        <v>7.5</v>
      </c>
      <c r="R22" s="1">
        <f t="shared" si="3"/>
        <v>486</v>
      </c>
      <c r="S22" s="1">
        <f t="shared" si="4"/>
        <v>475</v>
      </c>
      <c r="T22" s="1">
        <v>7</v>
      </c>
      <c r="U22" s="1">
        <f t="shared" si="5"/>
        <v>453.6</v>
      </c>
      <c r="V22" s="1">
        <f t="shared" si="6"/>
        <v>450</v>
      </c>
      <c r="W22" s="1" t="str">
        <f t="shared" si="7"/>
        <v>Q24H</v>
      </c>
      <c r="X22" s="1">
        <v>5.5</v>
      </c>
      <c r="Y22" s="1">
        <f t="shared" si="8"/>
        <v>356.4</v>
      </c>
      <c r="Z22" s="1">
        <f t="shared" si="9"/>
        <v>350</v>
      </c>
      <c r="AA22" s="1" t="str">
        <f t="shared" si="10"/>
        <v>Q24H</v>
      </c>
    </row>
    <row r="23" spans="1:27" x14ac:dyDescent="0.25">
      <c r="A23" s="1"/>
      <c r="B23" s="3">
        <v>37</v>
      </c>
      <c r="C23" s="3" t="s">
        <v>16</v>
      </c>
      <c r="D23" s="3">
        <v>164</v>
      </c>
      <c r="E23" s="3">
        <v>119</v>
      </c>
      <c r="F23" s="3">
        <v>103</v>
      </c>
      <c r="G23" s="3">
        <f>ROUND(E23/(D23/100)^2, 1)</f>
        <v>44.2</v>
      </c>
      <c r="H23" s="1">
        <f>ROUND(IF(C23="Male",50+(0.92*(D23-150)),45.5+(0.92*(D23-150))), 1)</f>
        <v>58.4</v>
      </c>
      <c r="I23" s="1">
        <f>(0.4 * (E23-H23)) + H23</f>
        <v>82.64</v>
      </c>
      <c r="J23" s="1">
        <f>ROUND(IF(E23 &lt; H23, E23, IF(E23 &gt; H23 * 1.2, I23, H23)), 1)</f>
        <v>82.6</v>
      </c>
      <c r="K23" s="1">
        <f>ROUND(IF(C23="Male",((140-B23)*1.2*J23)/F23,((140-B23)*J23)/F23), 0)</f>
        <v>83</v>
      </c>
      <c r="L23" s="1" t="s">
        <v>23</v>
      </c>
      <c r="M23" s="1">
        <v>6</v>
      </c>
      <c r="N23" s="1">
        <f t="shared" si="0"/>
        <v>495.59999999999997</v>
      </c>
      <c r="O23" s="1">
        <f t="shared" si="1"/>
        <v>500</v>
      </c>
      <c r="P23" s="1" t="str">
        <f t="shared" si="2"/>
        <v>Q24H</v>
      </c>
      <c r="Q23" s="1">
        <v>2</v>
      </c>
      <c r="R23" s="1">
        <f t="shared" si="3"/>
        <v>116.8</v>
      </c>
      <c r="S23" s="1">
        <f t="shared" si="4"/>
        <v>120</v>
      </c>
      <c r="T23" s="1">
        <v>2</v>
      </c>
      <c r="U23" s="1">
        <f t="shared" si="5"/>
        <v>116.8</v>
      </c>
      <c r="V23" s="1">
        <f t="shared" si="6"/>
        <v>120</v>
      </c>
      <c r="W23" s="1" t="str">
        <f t="shared" si="7"/>
        <v>Q8H</v>
      </c>
      <c r="X23" s="1">
        <v>1.5</v>
      </c>
      <c r="Y23" s="1">
        <f t="shared" si="8"/>
        <v>87.6</v>
      </c>
      <c r="Z23" s="1">
        <f t="shared" si="9"/>
        <v>80</v>
      </c>
      <c r="AA23" s="1" t="str">
        <f t="shared" si="10"/>
        <v>Q8H</v>
      </c>
    </row>
    <row r="24" spans="1:27" x14ac:dyDescent="0.25">
      <c r="A24" s="1"/>
      <c r="B24" s="3">
        <v>23</v>
      </c>
      <c r="C24" s="3" t="s">
        <v>17</v>
      </c>
      <c r="D24" s="3">
        <v>189</v>
      </c>
      <c r="E24" s="3">
        <v>175</v>
      </c>
      <c r="F24" s="3">
        <v>139</v>
      </c>
      <c r="G24" s="3">
        <f>ROUND(E24/(D24/100)^2, 1)</f>
        <v>49</v>
      </c>
      <c r="H24" s="1">
        <f>ROUND(IF(C24="Male",50+(0.92*(D24-150)),45.5+(0.92*(D24-150))), 1)</f>
        <v>85.9</v>
      </c>
      <c r="I24" s="1">
        <f>(0.4 * (E24-H24)) + H24</f>
        <v>121.54</v>
      </c>
      <c r="J24" s="1">
        <f>ROUND(IF(E24 &lt; H24, E24, IF(E24 &gt; H24 * 1.2, I24, H24)), 1)</f>
        <v>121.5</v>
      </c>
      <c r="K24" s="1">
        <f>ROUND(IF(C24="Male",((140-B24)*1.2*J24)/F24,((140-B24)*J24)/F24), 0)</f>
        <v>123</v>
      </c>
      <c r="L24" s="1" t="s">
        <v>23</v>
      </c>
      <c r="M24" s="1">
        <v>5</v>
      </c>
      <c r="N24" s="1">
        <f t="shared" si="0"/>
        <v>607.5</v>
      </c>
      <c r="O24" s="1">
        <f t="shared" si="1"/>
        <v>600</v>
      </c>
      <c r="P24" s="1" t="str">
        <f t="shared" si="2"/>
        <v>Q24H</v>
      </c>
      <c r="Q24" s="1">
        <v>2</v>
      </c>
      <c r="R24" s="1">
        <f t="shared" si="3"/>
        <v>171.8</v>
      </c>
      <c r="S24" s="1">
        <f t="shared" si="4"/>
        <v>180</v>
      </c>
      <c r="T24" s="1">
        <v>1.5</v>
      </c>
      <c r="U24" s="1">
        <f t="shared" si="5"/>
        <v>128.9</v>
      </c>
      <c r="V24" s="1">
        <f t="shared" si="6"/>
        <v>120</v>
      </c>
      <c r="W24" s="1" t="str">
        <f t="shared" si="7"/>
        <v>Q8H</v>
      </c>
      <c r="X24" s="1">
        <v>1.5</v>
      </c>
      <c r="Y24" s="1">
        <f t="shared" si="8"/>
        <v>128.9</v>
      </c>
      <c r="Z24" s="1">
        <f t="shared" si="9"/>
        <v>120</v>
      </c>
      <c r="AA24" s="1" t="str">
        <f t="shared" si="10"/>
        <v>Q8H</v>
      </c>
    </row>
    <row r="25" spans="1:27" x14ac:dyDescent="0.25">
      <c r="A25" s="1"/>
      <c r="B25" s="3">
        <v>55</v>
      </c>
      <c r="C25" s="3" t="s">
        <v>16</v>
      </c>
      <c r="D25" s="3">
        <v>186</v>
      </c>
      <c r="E25" s="3">
        <v>76</v>
      </c>
      <c r="F25" s="3">
        <v>109</v>
      </c>
      <c r="G25" s="3">
        <f>ROUND(E25/(D25/100)^2, 1)</f>
        <v>22</v>
      </c>
      <c r="H25" s="1">
        <f>ROUND(IF(C25="Male",50+(0.92*(D25-150)),45.5+(0.92*(D25-150))), 1)</f>
        <v>78.599999999999994</v>
      </c>
      <c r="I25" s="1">
        <f>(0.4 * (E25-H25)) + H25</f>
        <v>77.56</v>
      </c>
      <c r="J25" s="1">
        <f>ROUND(IF(E25 &lt; H25, E25, IF(E25 &gt; H25 * 1.2, I25, H25)), 1)</f>
        <v>76</v>
      </c>
      <c r="K25" s="1">
        <f>ROUND(IF(C25="Male",((140-B25)*1.2*J25)/F25,((140-B25)*J25)/F25), 0)</f>
        <v>59</v>
      </c>
      <c r="L25" s="1" t="s">
        <v>23</v>
      </c>
      <c r="M25" s="1">
        <v>6</v>
      </c>
      <c r="N25" s="1">
        <f t="shared" si="0"/>
        <v>456</v>
      </c>
      <c r="O25" s="1">
        <f t="shared" si="1"/>
        <v>460</v>
      </c>
      <c r="P25" s="1" t="str">
        <f t="shared" si="2"/>
        <v>Q36H</v>
      </c>
      <c r="Q25" s="1">
        <v>2</v>
      </c>
      <c r="R25" s="1">
        <f t="shared" si="3"/>
        <v>157.19999999999999</v>
      </c>
      <c r="S25" s="1">
        <f t="shared" si="4"/>
        <v>160</v>
      </c>
      <c r="T25" s="1">
        <v>2</v>
      </c>
      <c r="U25" s="1">
        <f t="shared" si="5"/>
        <v>157.19999999999999</v>
      </c>
      <c r="V25" s="1">
        <f t="shared" si="6"/>
        <v>160</v>
      </c>
      <c r="W25" s="1" t="str">
        <f t="shared" si="7"/>
        <v>Q12H</v>
      </c>
      <c r="X25" s="1">
        <v>2</v>
      </c>
      <c r="Y25" s="1">
        <f t="shared" si="8"/>
        <v>157.19999999999999</v>
      </c>
      <c r="Z25" s="1">
        <f t="shared" si="9"/>
        <v>160</v>
      </c>
      <c r="AA25" s="1" t="str">
        <f t="shared" si="10"/>
        <v>Q12H</v>
      </c>
    </row>
    <row r="26" spans="1:27" x14ac:dyDescent="0.25">
      <c r="A26" s="1"/>
      <c r="B26" s="3">
        <v>100</v>
      </c>
      <c r="C26" s="3" t="s">
        <v>16</v>
      </c>
      <c r="D26" s="3">
        <v>192</v>
      </c>
      <c r="E26" s="3">
        <v>99</v>
      </c>
      <c r="F26" s="3">
        <v>55</v>
      </c>
      <c r="G26" s="3">
        <f>ROUND(E26/(D26/100)^2, 1)</f>
        <v>26.9</v>
      </c>
      <c r="H26" s="1">
        <f>ROUND(IF(C26="Male",50+(0.92*(D26-150)),45.5+(0.92*(D26-150))), 1)</f>
        <v>84.1</v>
      </c>
      <c r="I26" s="1">
        <f>(0.4 * (E26-H26)) + H26</f>
        <v>90.06</v>
      </c>
      <c r="J26" s="1">
        <f>ROUND(IF(E26 &lt; H26, E26, IF(E26 &gt; H26 * 1.2, I26, H26)), 1)</f>
        <v>84.1</v>
      </c>
      <c r="K26" s="1">
        <f>ROUND(IF(C26="Male",((140-B26)*1.2*J26)/F26,((140-B26)*J26)/F26), 0)</f>
        <v>61</v>
      </c>
      <c r="L26" s="1" t="s">
        <v>21</v>
      </c>
      <c r="M26" s="1">
        <v>15</v>
      </c>
      <c r="N26" s="1">
        <f t="shared" si="0"/>
        <v>1261.5</v>
      </c>
      <c r="O26" s="1">
        <f t="shared" si="1"/>
        <v>1250</v>
      </c>
      <c r="P26" s="1" t="str">
        <f t="shared" si="2"/>
        <v>Q24H</v>
      </c>
      <c r="Q26" s="1">
        <v>7.5</v>
      </c>
      <c r="R26" s="1">
        <f t="shared" si="3"/>
        <v>630.79999999999995</v>
      </c>
      <c r="S26" s="1">
        <f t="shared" si="4"/>
        <v>625</v>
      </c>
      <c r="T26" s="1">
        <v>5</v>
      </c>
      <c r="U26" s="1">
        <f t="shared" si="5"/>
        <v>420.5</v>
      </c>
      <c r="V26" s="1">
        <f t="shared" si="6"/>
        <v>425</v>
      </c>
      <c r="W26" s="1" t="str">
        <f t="shared" si="7"/>
        <v>Q12H</v>
      </c>
      <c r="X26" s="1">
        <v>6</v>
      </c>
      <c r="Y26" s="1">
        <f t="shared" si="8"/>
        <v>504.6</v>
      </c>
      <c r="Z26" s="1">
        <f t="shared" si="9"/>
        <v>500</v>
      </c>
      <c r="AA26" s="1" t="str">
        <f t="shared" si="10"/>
        <v>Q12H</v>
      </c>
    </row>
    <row r="27" spans="1:27" x14ac:dyDescent="0.25">
      <c r="A27" s="1"/>
      <c r="B27" s="3">
        <v>39</v>
      </c>
      <c r="C27" s="3" t="s">
        <v>16</v>
      </c>
      <c r="D27" s="3">
        <v>175</v>
      </c>
      <c r="E27" s="3">
        <v>157</v>
      </c>
      <c r="F27" s="3">
        <v>127</v>
      </c>
      <c r="G27" s="3">
        <f>ROUND(E27/(D27/100)^2, 1)</f>
        <v>51.3</v>
      </c>
      <c r="H27" s="1">
        <f>ROUND(IF(C27="Male",50+(0.92*(D27-150)),45.5+(0.92*(D27-150))), 1)</f>
        <v>68.5</v>
      </c>
      <c r="I27" s="1">
        <f>(0.4 * (E27-H27)) + H27</f>
        <v>103.9</v>
      </c>
      <c r="J27" s="1">
        <f>ROUND(IF(E27 &lt; H27, E27, IF(E27 &gt; H27 * 1.2, I27, H27)), 1)</f>
        <v>103.9</v>
      </c>
      <c r="K27" s="1">
        <f>ROUND(IF(C27="Male",((140-B27)*1.2*J27)/F27,((140-B27)*J27)/F27), 0)</f>
        <v>83</v>
      </c>
      <c r="L27" s="1" t="s">
        <v>21</v>
      </c>
      <c r="M27" s="1">
        <v>15</v>
      </c>
      <c r="N27" s="1">
        <f t="shared" si="0"/>
        <v>1558.5</v>
      </c>
      <c r="O27" s="1">
        <f t="shared" si="1"/>
        <v>1550</v>
      </c>
      <c r="P27" s="1" t="str">
        <f t="shared" si="2"/>
        <v>Q24H</v>
      </c>
      <c r="Q27" s="1">
        <v>7.5</v>
      </c>
      <c r="R27" s="1">
        <f t="shared" si="3"/>
        <v>513.79999999999995</v>
      </c>
      <c r="S27" s="1">
        <f t="shared" si="4"/>
        <v>525</v>
      </c>
      <c r="T27" s="1">
        <v>7.5</v>
      </c>
      <c r="U27" s="1">
        <f t="shared" si="5"/>
        <v>513.79999999999995</v>
      </c>
      <c r="V27" s="1">
        <f t="shared" si="6"/>
        <v>525</v>
      </c>
      <c r="W27" s="1" t="str">
        <f t="shared" si="7"/>
        <v>Q8H</v>
      </c>
      <c r="X27" s="1">
        <v>7</v>
      </c>
      <c r="Y27" s="1">
        <f t="shared" si="8"/>
        <v>479.5</v>
      </c>
      <c r="Z27" s="1">
        <f t="shared" si="9"/>
        <v>475</v>
      </c>
      <c r="AA27" s="1" t="str">
        <f t="shared" si="10"/>
        <v>Q8H</v>
      </c>
    </row>
    <row r="28" spans="1:27" x14ac:dyDescent="0.25">
      <c r="A28" s="1"/>
      <c r="B28" s="3">
        <v>35</v>
      </c>
      <c r="C28" s="3" t="s">
        <v>16</v>
      </c>
      <c r="D28" s="3">
        <v>185</v>
      </c>
      <c r="E28" s="3">
        <v>78</v>
      </c>
      <c r="F28" s="3">
        <v>136</v>
      </c>
      <c r="G28" s="3">
        <f>ROUND(E28/(D28/100)^2, 1)</f>
        <v>22.8</v>
      </c>
      <c r="H28" s="1">
        <f>ROUND(IF(C28="Male",50+(0.92*(D28-150)),45.5+(0.92*(D28-150))), 1)</f>
        <v>77.7</v>
      </c>
      <c r="I28" s="1">
        <f>(0.4 * (E28-H28)) + H28</f>
        <v>77.820000000000007</v>
      </c>
      <c r="J28" s="1">
        <f>ROUND(IF(E28 &lt; H28, E28, IF(E28 &gt; H28 * 1.2, I28, H28)), 1)</f>
        <v>77.7</v>
      </c>
      <c r="K28" s="1">
        <f>ROUND(IF(C28="Male",((140-B28)*1.2*J28)/F28,((140-B28)*J28)/F28), 0)</f>
        <v>60</v>
      </c>
      <c r="L28" s="1" t="s">
        <v>23</v>
      </c>
      <c r="M28" s="1">
        <v>7</v>
      </c>
      <c r="N28" s="1">
        <f t="shared" si="0"/>
        <v>543.9</v>
      </c>
      <c r="O28" s="1">
        <f t="shared" si="1"/>
        <v>540</v>
      </c>
      <c r="P28" s="1" t="str">
        <f t="shared" si="2"/>
        <v>Q24H</v>
      </c>
      <c r="Q28" s="1">
        <v>2</v>
      </c>
      <c r="R28" s="1">
        <f t="shared" si="3"/>
        <v>155.4</v>
      </c>
      <c r="S28" s="1">
        <f t="shared" si="4"/>
        <v>160</v>
      </c>
      <c r="T28" s="1">
        <v>2</v>
      </c>
      <c r="U28" s="1">
        <f t="shared" si="5"/>
        <v>155.4</v>
      </c>
      <c r="V28" s="1">
        <f t="shared" si="6"/>
        <v>160</v>
      </c>
      <c r="W28" s="1" t="str">
        <f t="shared" si="7"/>
        <v>Q12H</v>
      </c>
      <c r="X28" s="1">
        <v>1.5</v>
      </c>
      <c r="Y28" s="1">
        <f t="shared" si="8"/>
        <v>116.6</v>
      </c>
      <c r="Z28" s="1">
        <f t="shared" si="9"/>
        <v>120</v>
      </c>
      <c r="AA28" s="1" t="str">
        <f t="shared" si="10"/>
        <v>Q12H</v>
      </c>
    </row>
  </sheetData>
  <mergeCells count="3">
    <mergeCell ref="M1:P1"/>
    <mergeCell ref="T1:W1"/>
    <mergeCell ref="X1:AA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 Torrance</dc:creator>
  <cp:lastModifiedBy>Joshua R Torrance</cp:lastModifiedBy>
  <dcterms:created xsi:type="dcterms:W3CDTF">2016-01-21T00:19:32Z</dcterms:created>
  <dcterms:modified xsi:type="dcterms:W3CDTF">2016-01-21T04:23:02Z</dcterms:modified>
</cp:coreProperties>
</file>