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ropbox\Side Projects\Vancomycin Project\"/>
    </mc:Choice>
  </mc:AlternateContent>
  <bookViews>
    <workbookView xWindow="-15" yWindow="-15" windowWidth="14520" windowHeight="12855" activeTab="1"/>
  </bookViews>
  <sheets>
    <sheet name="Patient Information" sheetId="1" r:id="rId1"/>
    <sheet name="Calculations" sheetId="2" r:id="rId2"/>
  </sheets>
  <definedNames>
    <definedName name="_xlnm.Print_Area" localSheetId="0">'Patient Information'!$A$1:$H$41</definedName>
  </definedNames>
  <calcPr calcId="152511"/>
</workbook>
</file>

<file path=xl/calcChain.xml><?xml version="1.0" encoding="utf-8"?>
<calcChain xmlns="http://schemas.openxmlformats.org/spreadsheetml/2006/main">
  <c r="H15" i="2" l="1"/>
  <c r="H14" i="2"/>
  <c r="J26" i="1" l="1"/>
  <c r="E15" i="2"/>
  <c r="E14" i="2"/>
  <c r="E13" i="2"/>
  <c r="E16" i="2" l="1"/>
  <c r="E23" i="1" s="1"/>
  <c r="J21" i="1"/>
  <c r="H34" i="2" l="1"/>
  <c r="H35" i="2"/>
  <c r="H22" i="2"/>
  <c r="H21" i="2"/>
  <c r="H19" i="2"/>
  <c r="H18" i="2"/>
  <c r="H17" i="2"/>
  <c r="H16" i="2"/>
  <c r="H33" i="2"/>
  <c r="H32" i="2"/>
  <c r="H7" i="2"/>
  <c r="H8" i="2" s="1"/>
  <c r="H6" i="2"/>
  <c r="H5" i="2"/>
  <c r="E7" i="2"/>
  <c r="E6" i="2"/>
  <c r="B9" i="2"/>
  <c r="B5" i="2"/>
  <c r="B4" i="2"/>
  <c r="B3" i="2"/>
  <c r="B2" i="2"/>
  <c r="D4" i="2"/>
  <c r="G13" i="2"/>
  <c r="H29" i="2" s="1"/>
  <c r="H26" i="2" l="1"/>
  <c r="H28" i="2"/>
  <c r="H36" i="2"/>
  <c r="H37" i="2" s="1"/>
  <c r="G22" i="2"/>
  <c r="G24" i="1" s="1"/>
  <c r="H23" i="2"/>
  <c r="H20" i="2"/>
  <c r="B6" i="2"/>
  <c r="A8" i="2" s="1"/>
  <c r="H9" i="2"/>
  <c r="H10" i="2" s="1"/>
  <c r="E4" i="2"/>
  <c r="E8" i="2"/>
  <c r="E9" i="2" s="1"/>
  <c r="G18" i="2"/>
  <c r="G23" i="1" s="1"/>
  <c r="G21" i="2"/>
  <c r="G25" i="1" s="1"/>
  <c r="H24" i="2"/>
  <c r="H25" i="2" s="1"/>
  <c r="H33" i="1" s="1"/>
  <c r="G19" i="2"/>
  <c r="G22" i="1" s="1"/>
  <c r="B8" i="2" l="1"/>
  <c r="B7" i="2"/>
  <c r="H27" i="2"/>
  <c r="E16" i="1"/>
  <c r="E12" i="1"/>
  <c r="B10" i="2" l="1"/>
  <c r="H16" i="1"/>
  <c r="H32" i="1"/>
  <c r="H30" i="2"/>
  <c r="A14" i="1"/>
  <c r="B14" i="1"/>
  <c r="H3" i="2" l="1"/>
  <c r="H11" i="1" s="1"/>
  <c r="E10" i="2"/>
  <c r="E17" i="1" s="1"/>
  <c r="H4" i="2"/>
  <c r="H12" i="1" s="1"/>
  <c r="B16" i="1"/>
  <c r="H11" i="2" l="1"/>
  <c r="H19" i="1" s="1"/>
  <c r="H40" i="1"/>
  <c r="H17" i="1"/>
  <c r="H18" i="1"/>
  <c r="H41" i="1" l="1"/>
  <c r="H30" i="1" l="1"/>
  <c r="H31" i="1"/>
  <c r="H34" i="1" l="1"/>
</calcChain>
</file>

<file path=xl/comments1.xml><?xml version="1.0" encoding="utf-8"?>
<comments xmlns="http://schemas.openxmlformats.org/spreadsheetml/2006/main">
  <authors>
    <author>Joshua R Torrance</author>
  </authors>
  <commentList>
    <comment ref="D9" authorId="0" shapeId="0">
      <text>
        <r>
          <rPr>
            <sz val="11"/>
            <color indexed="81"/>
            <rFont val="Calibri"/>
            <family val="2"/>
            <scheme val="minor"/>
          </rPr>
          <t>Empiric dosing recommendations based on weight and SCr</t>
        </r>
      </text>
    </comment>
    <comment ref="G9" authorId="0" shapeId="0">
      <text>
        <r>
          <rPr>
            <sz val="11"/>
            <color indexed="81"/>
            <rFont val="Calibri"/>
            <family val="2"/>
            <scheme val="minor"/>
          </rPr>
          <t xml:space="preserve">Consider calculating PK calculation if the levels achieved with dosing adjustments is out of proportion to expectations
</t>
        </r>
        <r>
          <rPr>
            <u/>
            <sz val="11"/>
            <color indexed="81"/>
            <rFont val="Calibri"/>
            <family val="2"/>
            <scheme val="minor"/>
          </rPr>
          <t>Examples:</t>
        </r>
        <r>
          <rPr>
            <sz val="11"/>
            <color indexed="81"/>
            <rFont val="Calibri"/>
            <family val="2"/>
            <scheme val="minor"/>
          </rPr>
          <t xml:space="preserve">
  - Known or suspected severely altered V</t>
        </r>
        <r>
          <rPr>
            <sz val="9"/>
            <color indexed="81"/>
            <rFont val="Calibri"/>
            <family val="2"/>
            <scheme val="minor"/>
          </rPr>
          <t>d</t>
        </r>
        <r>
          <rPr>
            <sz val="11"/>
            <color indexed="81"/>
            <rFont val="Calibri"/>
            <family val="2"/>
            <scheme val="minor"/>
          </rPr>
          <t xml:space="preserve"> (neonates, critically ill, significant burns)
  - Known or suspected extremes in renal function</t>
        </r>
      </text>
    </comment>
    <comment ref="D10" authorId="0" shapeId="0">
      <text>
        <r>
          <rPr>
            <sz val="11"/>
            <color indexed="81"/>
            <rFont val="Tahoma"/>
            <family val="2"/>
          </rPr>
          <t xml:space="preserve">Dose of 25-30 mg/kg (ABW) with no max; proceed with maintenance dose as per interval calculated below
</t>
        </r>
        <r>
          <rPr>
            <u/>
            <sz val="11"/>
            <color indexed="81"/>
            <rFont val="Tahoma"/>
            <family val="2"/>
          </rPr>
          <t>Recommended for:</t>
        </r>
        <r>
          <rPr>
            <sz val="11"/>
            <color indexed="81"/>
            <rFont val="Tahoma"/>
            <family val="2"/>
          </rPr>
          <t xml:space="preserve">
  - Severe infections where rapid attainment of target trough level of 15-20 mg/L is desired (e.g. vertebral osteomyelitis, MRSA pneumonia, epidural abscess, septic shock)
  - Patients with significant renal dysfunction in order to decrease time to target trough</t>
        </r>
      </text>
    </comment>
    <comment ref="G10" authorId="0" shapeId="0">
      <text>
        <r>
          <rPr>
            <sz val="11"/>
            <color indexed="81"/>
            <rFont val="Calibri"/>
            <family val="2"/>
            <scheme val="minor"/>
          </rPr>
          <t>This is used to calculate the estimated PK values for your patient based on CrCl and the estimates entered below</t>
        </r>
      </text>
    </comment>
    <comment ref="D12" authorId="0" shapeId="0">
      <text>
        <r>
          <rPr>
            <sz val="11"/>
            <color indexed="81"/>
            <rFont val="Calibri"/>
            <family val="2"/>
            <scheme val="minor"/>
          </rPr>
          <t>Typically 25-30 mg/kg</t>
        </r>
      </text>
    </comment>
    <comment ref="H13" authorId="0" shapeId="0">
      <text>
        <r>
          <rPr>
            <sz val="11"/>
            <color indexed="81"/>
            <rFont val="Calibri"/>
            <family val="2"/>
            <scheme val="minor"/>
          </rPr>
          <t>Estimated Peak = 25-40 mg/L</t>
        </r>
      </text>
    </comment>
    <comment ref="A14" authorId="0" shapeId="0">
      <text>
        <r>
          <rPr>
            <sz val="11"/>
            <color indexed="81"/>
            <rFont val="Tahoma"/>
            <family val="2"/>
          </rPr>
          <t>IBW should be used except when:
  - ABW &lt; IBW, then use ABW
  - ABW &gt; 120% x IBW, then use DW</t>
        </r>
      </text>
    </comment>
    <comment ref="E14" authorId="0" shapeId="0">
      <text>
        <r>
          <rPr>
            <b/>
            <sz val="11"/>
            <color indexed="81"/>
            <rFont val="Calibri"/>
            <family val="2"/>
            <scheme val="minor"/>
          </rPr>
          <t xml:space="preserve">15-20 mg/L: </t>
        </r>
        <r>
          <rPr>
            <sz val="11"/>
            <color indexed="81"/>
            <rFont val="Calibri"/>
            <family val="2"/>
            <scheme val="minor"/>
          </rPr>
          <t xml:space="preserve">osteomyelitis, pneumonia, CNS infections, endocarditis, bacteremia, serious MRSA infections
</t>
        </r>
        <r>
          <rPr>
            <b/>
            <sz val="11"/>
            <color indexed="81"/>
            <rFont val="Calibri"/>
            <family val="2"/>
            <scheme val="minor"/>
          </rPr>
          <t>10-20 mg/L:</t>
        </r>
        <r>
          <rPr>
            <sz val="11"/>
            <color indexed="81"/>
            <rFont val="Calibri"/>
            <family val="2"/>
            <scheme val="minor"/>
          </rPr>
          <t xml:space="preserve"> other infections</t>
        </r>
      </text>
    </comment>
    <comment ref="H14" authorId="0" shapeId="0">
      <text>
        <r>
          <rPr>
            <sz val="11"/>
            <color indexed="81"/>
            <rFont val="Calibri"/>
            <family val="2"/>
            <scheme val="minor"/>
          </rPr>
          <t>Trough depends on infection; generally 10-20 mg/L</t>
        </r>
      </text>
    </comment>
    <comment ref="B15" authorId="0" shapeId="0">
      <text>
        <r>
          <rPr>
            <sz val="11"/>
            <color indexed="81"/>
            <rFont val="Calibri"/>
            <family val="2"/>
            <scheme val="minor"/>
          </rPr>
          <t>Consider SCr = 88.4 μmol/L in the frail elderly</t>
        </r>
      </text>
    </comment>
    <comment ref="H15" authorId="0" shapeId="0">
      <text>
        <r>
          <rPr>
            <sz val="11"/>
            <color indexed="81"/>
            <rFont val="Calibri"/>
            <family val="2"/>
            <scheme val="minor"/>
          </rPr>
          <t>Vd ranges from 0.5-1 L/kg
Usually will use 0.7 L/kg</t>
        </r>
      </text>
    </comment>
    <comment ref="E16" authorId="0" shapeId="0">
      <text>
        <r>
          <rPr>
            <sz val="11"/>
            <color indexed="81"/>
            <rFont val="Calibri"/>
            <family val="2"/>
            <scheme val="minor"/>
          </rPr>
          <t>Recommended maximum initial empiric dose of 2000 mg</t>
        </r>
      </text>
    </comment>
    <comment ref="E17" authorId="0" shapeId="0">
      <text>
        <r>
          <rPr>
            <b/>
            <sz val="9"/>
            <color indexed="81"/>
            <rFont val="Tahoma"/>
            <family val="2"/>
          </rPr>
          <t>Trough = 10-20 mg/L</t>
        </r>
        <r>
          <rPr>
            <sz val="9"/>
            <color indexed="81"/>
            <rFont val="Tahoma"/>
            <family val="2"/>
          </rPr>
          <t xml:space="preserve">
     - CrCl ≥ 80 mL/min: Q12H
     - CrCl = 40-79 mL/min: Q24H
     - CrCl = 20-39 mL/min: Q36H
     - CrCl = 10-19 mL/min: Q48H
     - CrCl &lt; 10 mL/min: Consider LD and PK consult
</t>
        </r>
        <r>
          <rPr>
            <b/>
            <sz val="9"/>
            <color indexed="81"/>
            <rFont val="Tahoma"/>
            <family val="2"/>
          </rPr>
          <t>Trough = 15-20 mg/L</t>
        </r>
        <r>
          <rPr>
            <sz val="9"/>
            <color indexed="81"/>
            <rFont val="Tahoma"/>
            <family val="2"/>
          </rPr>
          <t xml:space="preserve">
     - CrCl ≥ 80 mL/min: Q8H
     - CrCl = 40-79 mL/min: Q12H
     - CrCl = 20-39 mL/min: Q24H
     - CrCl = 10-19 mL/min: Q48H
     - CrCl &lt; 10 mL/min: Consider LD and PK consult</t>
        </r>
      </text>
    </comment>
    <comment ref="D19" authorId="0" shapeId="0">
      <text>
        <r>
          <rPr>
            <sz val="11"/>
            <color indexed="81"/>
            <rFont val="Calibri"/>
            <family val="2"/>
            <scheme val="minor"/>
          </rPr>
          <t>Calculating a new dose based on a trough level at steady state</t>
        </r>
      </text>
    </comment>
    <comment ref="G20" authorId="0" shapeId="0">
      <text>
        <r>
          <rPr>
            <sz val="11"/>
            <color indexed="81"/>
            <rFont val="Calibri"/>
            <family val="2"/>
            <scheme val="minor"/>
          </rPr>
          <t>Used to calculate patient-specific PK values through two methods:
     - A peak and trough reading before/after the same infusion
     - Two serum levels with no infusion between them</t>
        </r>
      </text>
    </comment>
    <comment ref="G35" authorId="0" shapeId="0">
      <text>
        <r>
          <rPr>
            <sz val="11"/>
            <color indexed="81"/>
            <rFont val="Calibri"/>
            <family val="2"/>
            <scheme val="minor"/>
          </rPr>
          <t>This lets you estimate your C</t>
        </r>
        <r>
          <rPr>
            <sz val="9"/>
            <color indexed="81"/>
            <rFont val="Calibri"/>
            <family val="2"/>
            <scheme val="minor"/>
          </rPr>
          <t>max</t>
        </r>
        <r>
          <rPr>
            <sz val="11"/>
            <color indexed="81"/>
            <rFont val="Calibri"/>
            <family val="2"/>
            <scheme val="minor"/>
          </rPr>
          <t xml:space="preserve"> and C</t>
        </r>
        <r>
          <rPr>
            <sz val="9"/>
            <color indexed="81"/>
            <rFont val="Calibri"/>
            <family val="2"/>
            <scheme val="minor"/>
          </rPr>
          <t>min</t>
        </r>
        <r>
          <rPr>
            <sz val="11"/>
            <color indexed="81"/>
            <rFont val="Calibri"/>
            <family val="2"/>
            <scheme val="minor"/>
          </rPr>
          <t xml:space="preserve"> for a given Weight, Dose, Frequency, V</t>
        </r>
        <r>
          <rPr>
            <sz val="9"/>
            <color indexed="81"/>
            <rFont val="Calibri"/>
            <family val="2"/>
            <scheme val="minor"/>
          </rPr>
          <t>d</t>
        </r>
        <r>
          <rPr>
            <sz val="11"/>
            <color indexed="81"/>
            <rFont val="Calibri"/>
            <family val="2"/>
            <scheme val="minor"/>
          </rPr>
          <t>, and k</t>
        </r>
        <r>
          <rPr>
            <sz val="9"/>
            <color indexed="81"/>
            <rFont val="Calibri"/>
            <family val="2"/>
            <scheme val="minor"/>
          </rPr>
          <t>e</t>
        </r>
      </text>
    </comment>
  </commentList>
</comments>
</file>

<file path=xl/sharedStrings.xml><?xml version="1.0" encoding="utf-8"?>
<sst xmlns="http://schemas.openxmlformats.org/spreadsheetml/2006/main" count="119" uniqueCount="67">
  <si>
    <t>Male</t>
  </si>
  <si>
    <t xml:space="preserve">Age: </t>
  </si>
  <si>
    <t xml:space="preserve">Gender: </t>
  </si>
  <si>
    <t xml:space="preserve">Height: </t>
  </si>
  <si>
    <t xml:space="preserve">Weight: </t>
  </si>
  <si>
    <t xml:space="preserve">DW: </t>
  </si>
  <si>
    <t xml:space="preserve">IBW: </t>
  </si>
  <si>
    <t xml:space="preserve">CrCl: </t>
  </si>
  <si>
    <t xml:space="preserve">SCr: </t>
  </si>
  <si>
    <t>Dose/Weight</t>
  </si>
  <si>
    <t xml:space="preserve">Dose: </t>
  </si>
  <si>
    <t xml:space="preserve">Dose/Weight: </t>
  </si>
  <si>
    <t xml:space="preserve">Trough Target: </t>
  </si>
  <si>
    <t>10-20 mg/L</t>
  </si>
  <si>
    <t xml:space="preserve">Adjusted Dose: </t>
  </si>
  <si>
    <t>Dose =</t>
  </si>
  <si>
    <t>Dose/Weight =</t>
  </si>
  <si>
    <t>Dose</t>
  </si>
  <si>
    <t>Frequency</t>
  </si>
  <si>
    <t>t =</t>
  </si>
  <si>
    <t>Δt =</t>
  </si>
  <si>
    <t>t1 =</t>
  </si>
  <si>
    <t>t2 =</t>
  </si>
  <si>
    <t>PATIENT DATA</t>
  </si>
  <si>
    <t>EMPIRIC DOSING</t>
  </si>
  <si>
    <t>PHARMACOKINETIC CONSULT</t>
  </si>
  <si>
    <r>
      <t>Estimated t</t>
    </r>
    <r>
      <rPr>
        <b/>
        <sz val="9"/>
        <color theme="1"/>
        <rFont val="Calibri"/>
        <family val="2"/>
        <scheme val="minor"/>
      </rPr>
      <t>½</t>
    </r>
    <r>
      <rPr>
        <b/>
        <sz val="11"/>
        <color theme="1"/>
        <rFont val="Calibri"/>
        <family val="2"/>
        <scheme val="minor"/>
      </rPr>
      <t xml:space="preserve"> = </t>
    </r>
  </si>
  <si>
    <r>
      <t>C</t>
    </r>
    <r>
      <rPr>
        <b/>
        <sz val="9"/>
        <color theme="1"/>
        <rFont val="Calibri"/>
        <family val="2"/>
        <scheme val="minor"/>
      </rPr>
      <t>max</t>
    </r>
    <r>
      <rPr>
        <b/>
        <sz val="11"/>
        <color theme="1"/>
        <rFont val="Calibri"/>
        <family val="2"/>
        <scheme val="minor"/>
      </rPr>
      <t xml:space="preserve"> = </t>
    </r>
  </si>
  <si>
    <r>
      <t>C</t>
    </r>
    <r>
      <rPr>
        <b/>
        <sz val="9"/>
        <color theme="1"/>
        <rFont val="Calibri"/>
        <family val="2"/>
        <scheme val="minor"/>
      </rPr>
      <t>min</t>
    </r>
    <r>
      <rPr>
        <b/>
        <sz val="11"/>
        <color theme="1"/>
        <rFont val="Calibri"/>
        <family val="2"/>
        <scheme val="minor"/>
      </rPr>
      <t xml:space="preserve"> = </t>
    </r>
  </si>
  <si>
    <r>
      <t>V</t>
    </r>
    <r>
      <rPr>
        <b/>
        <sz val="9"/>
        <color theme="1"/>
        <rFont val="Calibri"/>
        <family val="2"/>
        <scheme val="minor"/>
      </rPr>
      <t>d</t>
    </r>
    <r>
      <rPr>
        <b/>
        <sz val="11"/>
        <color theme="1"/>
        <rFont val="Calibri"/>
        <family val="2"/>
        <scheme val="minor"/>
      </rPr>
      <t xml:space="preserve"> = </t>
    </r>
  </si>
  <si>
    <r>
      <t>k</t>
    </r>
    <r>
      <rPr>
        <b/>
        <sz val="9"/>
        <color theme="1"/>
        <rFont val="Calibri"/>
        <family val="2"/>
        <scheme val="minor"/>
      </rPr>
      <t>e</t>
    </r>
    <r>
      <rPr>
        <b/>
        <sz val="11"/>
        <color theme="1"/>
        <rFont val="Calibri"/>
        <family val="2"/>
        <scheme val="minor"/>
      </rPr>
      <t xml:space="preserve"> =</t>
    </r>
  </si>
  <si>
    <r>
      <t>t</t>
    </r>
    <r>
      <rPr>
        <b/>
        <sz val="9"/>
        <color theme="1"/>
        <rFont val="Calibri"/>
        <family val="2"/>
        <scheme val="minor"/>
      </rPr>
      <t>½</t>
    </r>
    <r>
      <rPr>
        <b/>
        <sz val="11"/>
        <color theme="1"/>
        <rFont val="Calibri"/>
        <family val="2"/>
        <scheme val="minor"/>
      </rPr>
      <t xml:space="preserve"> = </t>
    </r>
  </si>
  <si>
    <t>LOADING DOSE</t>
  </si>
  <si>
    <t>MAINTENANCE DOSE</t>
  </si>
  <si>
    <t>DOSE CALCULATIONS</t>
  </si>
  <si>
    <t>LEVEL CALCULATIONS</t>
  </si>
  <si>
    <t>PK VALUE CALCULATIONS</t>
  </si>
  <si>
    <r>
      <t>Estimated k</t>
    </r>
    <r>
      <rPr>
        <b/>
        <sz val="9"/>
        <color theme="1"/>
        <rFont val="Calibri"/>
        <family val="2"/>
        <scheme val="minor"/>
      </rPr>
      <t>e</t>
    </r>
    <r>
      <rPr>
        <b/>
        <sz val="11"/>
        <color theme="1"/>
        <rFont val="Calibri"/>
        <family val="2"/>
        <scheme val="minor"/>
      </rPr>
      <t xml:space="preserve"> = </t>
    </r>
  </si>
  <si>
    <t>Vancomycin Dosing Tool</t>
  </si>
  <si>
    <t>Criteria for Vancomycin Serum Trough Monitoring (Bugs &amp; Drugs 2012)</t>
  </si>
  <si>
    <t>- Patients with altered Vd or clearance of vancomycin (e.g. cystic fibrosis, age &gt; 80 years, cancer, burns &gt; 20% BSA)
- Selected dialysis patients (e.g. high flux HD and CRRT)
- Patients with anticipated therapy ≥ 7 days</t>
  </si>
  <si>
    <t>- SCr at baseline and then weekly (or more frequently if renal function is fluctuating or using other nephrotoxic drugs
- If SCr changes (SCr ≥ 40 μmol/L or 50% of baseline) draw vancomycin trough and assess need for dosing change</t>
  </si>
  <si>
    <t>- CBC at baseline and then weekly</t>
  </si>
  <si>
    <t>- Draw a trough level ≤ 30 minutes before next dose) at steady state (3-5 half-lives)
     - Most: Before dose #3-5
     - Severe obesity: Before dose #2-3
- Subsequent levels Q7-10D unless renal function necessitates more frequent monitoring
- Peak levels only needed if you need to calculate PK parameters for patient (draw as soon after infusion as possible)</t>
  </si>
  <si>
    <t>REMEMBER: Always assess first if: 1) Antimicrobial therapy is indicated; and 2) Is vancomycin the best choice</t>
  </si>
  <si>
    <r>
      <t>Note:</t>
    </r>
    <r>
      <rPr>
        <sz val="11"/>
        <color theme="1"/>
        <rFont val="Calibri"/>
        <family val="2"/>
        <scheme val="minor"/>
      </rPr>
      <t xml:space="preserve"> Only enter numbers into the cells; the units will appear automatically</t>
    </r>
  </si>
  <si>
    <r>
      <t>k</t>
    </r>
    <r>
      <rPr>
        <b/>
        <sz val="9"/>
        <color theme="1"/>
        <rFont val="Calibri"/>
        <family val="2"/>
        <scheme val="minor"/>
      </rPr>
      <t>e</t>
    </r>
    <r>
      <rPr>
        <b/>
        <sz val="11"/>
        <color theme="1"/>
        <rFont val="Calibri"/>
        <family val="2"/>
        <scheme val="minor"/>
      </rPr>
      <t xml:space="preserve"> = </t>
    </r>
  </si>
  <si>
    <r>
      <t>Estimated V</t>
    </r>
    <r>
      <rPr>
        <b/>
        <sz val="9"/>
        <color theme="1"/>
        <rFont val="Calibri"/>
        <family val="2"/>
        <scheme val="minor"/>
      </rPr>
      <t>d</t>
    </r>
    <r>
      <rPr>
        <b/>
        <sz val="11"/>
        <color theme="1"/>
        <rFont val="Calibri"/>
        <family val="2"/>
        <scheme val="minor"/>
      </rPr>
      <t xml:space="preserve"> = </t>
    </r>
  </si>
  <si>
    <t xml:space="preserve">Infusion Start: </t>
  </si>
  <si>
    <t xml:space="preserve">Infusion Stop: </t>
  </si>
  <si>
    <r>
      <t>k</t>
    </r>
    <r>
      <rPr>
        <b/>
        <sz val="9"/>
        <rFont val="Calibri"/>
        <family val="2"/>
        <scheme val="minor"/>
      </rPr>
      <t>e</t>
    </r>
    <r>
      <rPr>
        <b/>
        <sz val="11"/>
        <rFont val="Calibri"/>
        <family val="2"/>
        <scheme val="minor"/>
      </rPr>
      <t xml:space="preserve"> =</t>
    </r>
  </si>
  <si>
    <r>
      <t>t</t>
    </r>
    <r>
      <rPr>
        <b/>
        <sz val="9"/>
        <rFont val="Calibri"/>
        <family val="2"/>
        <scheme val="minor"/>
      </rPr>
      <t>½</t>
    </r>
    <r>
      <rPr>
        <b/>
        <sz val="11"/>
        <rFont val="Calibri"/>
        <family val="2"/>
        <scheme val="minor"/>
      </rPr>
      <t xml:space="preserve"> = </t>
    </r>
  </si>
  <si>
    <r>
      <t>C</t>
    </r>
    <r>
      <rPr>
        <b/>
        <sz val="9"/>
        <rFont val="Calibri"/>
        <family val="2"/>
        <scheme val="minor"/>
      </rPr>
      <t>max</t>
    </r>
    <r>
      <rPr>
        <b/>
        <sz val="11"/>
        <rFont val="Calibri"/>
        <family val="2"/>
        <scheme val="minor"/>
      </rPr>
      <t xml:space="preserve"> = </t>
    </r>
  </si>
  <si>
    <r>
      <t>C</t>
    </r>
    <r>
      <rPr>
        <b/>
        <sz val="9"/>
        <rFont val="Calibri"/>
        <family val="2"/>
        <scheme val="minor"/>
      </rPr>
      <t>min</t>
    </r>
    <r>
      <rPr>
        <b/>
        <sz val="11"/>
        <rFont val="Calibri"/>
        <family val="2"/>
        <scheme val="minor"/>
      </rPr>
      <t xml:space="preserve"> = </t>
    </r>
  </si>
  <si>
    <r>
      <t>V</t>
    </r>
    <r>
      <rPr>
        <b/>
        <sz val="9"/>
        <rFont val="Calibri"/>
        <family val="2"/>
        <scheme val="minor"/>
      </rPr>
      <t>d</t>
    </r>
    <r>
      <rPr>
        <b/>
        <sz val="11"/>
        <rFont val="Calibri"/>
        <family val="2"/>
        <scheme val="minor"/>
      </rPr>
      <t xml:space="preserve"> = </t>
    </r>
  </si>
  <si>
    <r>
      <t>k</t>
    </r>
    <r>
      <rPr>
        <b/>
        <sz val="9"/>
        <rFont val="Calibri"/>
        <family val="2"/>
        <scheme val="minor"/>
      </rPr>
      <t>e</t>
    </r>
    <r>
      <rPr>
        <b/>
        <sz val="11"/>
        <rFont val="Calibri"/>
        <family val="2"/>
        <scheme val="minor"/>
      </rPr>
      <t xml:space="preserve"> = </t>
    </r>
  </si>
  <si>
    <t>DOSE ADJUSTMENTS</t>
  </si>
  <si>
    <t xml:space="preserve">Daily Dose: </t>
  </si>
  <si>
    <t xml:space="preserve">Trough: </t>
  </si>
  <si>
    <t xml:space="preserve">New Dose: </t>
  </si>
  <si>
    <t xml:space="preserve">Current Trough: </t>
  </si>
  <si>
    <t>- Deteriorating/unstable renal function (increase in baseline SCr ≥ 40 μmol/L or 50% of baseline)
- Morbidly obese patients (≥ 190% IBW or BMI  ≥ 40 kg/m²
- Patients who are severely ill ( i.e. sepsis) and/or require a target trough of 15-20 mg/L</t>
  </si>
  <si>
    <t>OTHER MONITORING</t>
  </si>
  <si>
    <t>TIMING OF LEVELS</t>
  </si>
  <si>
    <t xml:space="preserve">Interval: </t>
  </si>
  <si>
    <t>Interval =</t>
  </si>
  <si>
    <t>Peak &amp; Trough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</si>
</sst>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0&quot; years&quot;"/>
    <numFmt numFmtId="165" formatCode="0.0&quot; cm&quot;"/>
    <numFmt numFmtId="166" formatCode="0.0&quot; kg&quot;"/>
    <numFmt numFmtId="167" formatCode="0&quot; mL/min&quot;"/>
    <numFmt numFmtId="168" formatCode="0&quot; mg/kg&quot;"/>
    <numFmt numFmtId="169" formatCode="0&quot; mg&quot;"/>
    <numFmt numFmtId="170" formatCode="0.0&quot; μmol/L&quot;"/>
    <numFmt numFmtId="171" formatCode="0.0000&quot; h⁻¹&quot;"/>
    <numFmt numFmtId="172" formatCode="0.0&quot; h&quot;"/>
    <numFmt numFmtId="173" formatCode="0&quot; mg/L&quot;"/>
    <numFmt numFmtId="174" formatCode="0.0&quot; L/kg&quot;"/>
    <numFmt numFmtId="175" formatCode="0.0&quot; mg/kg&quot;"/>
    <numFmt numFmtId="176" formatCode="&quot;Q&quot;0&quot;H&quot;"/>
    <numFmt numFmtId="177" formatCode="0.0&quot; mg/L&quot;"/>
    <numFmt numFmtId="178" formatCode="yyyy\-mm\-dd\ hh:mm"/>
    <numFmt numFmtId="179" formatCode="0&quot; mg/day&quot;"/>
    <numFmt numFmtId="180" formatCode="&quot;Q&quot;0.0&quot;H&quot;"/>
    <numFmt numFmtId="181" formatCode="0.0&quot; L&quot;"/>
  </numFmts>
  <fonts count="18" x14ac:knownFonts="1">
    <font>
      <sz val="11"/>
      <color theme="1"/>
      <name val="Calibri"/>
      <family val="2"/>
      <scheme val="minor"/>
    </font>
    <font>
      <b/>
      <sz val="11"/>
      <color theme="1"/>
      <name val="Calibri"/>
      <family val="2"/>
      <scheme val="minor"/>
    </font>
    <font>
      <sz val="11"/>
      <color indexed="81"/>
      <name val="Tahoma"/>
      <family val="2"/>
    </font>
    <font>
      <sz val="11"/>
      <color indexed="81"/>
      <name val="Calibri"/>
      <family val="2"/>
      <scheme val="minor"/>
    </font>
    <font>
      <sz val="9"/>
      <color indexed="81"/>
      <name val="Calibri"/>
      <family val="2"/>
      <scheme val="minor"/>
    </font>
    <font>
      <b/>
      <sz val="12"/>
      <color theme="1"/>
      <name val="Calibri"/>
      <family val="2"/>
      <scheme val="minor"/>
    </font>
    <font>
      <b/>
      <sz val="9"/>
      <color theme="1"/>
      <name val="Calibri"/>
      <family val="2"/>
      <scheme val="minor"/>
    </font>
    <font>
      <b/>
      <sz val="14"/>
      <color theme="1"/>
      <name val="Calibri"/>
      <family val="2"/>
      <scheme val="minor"/>
    </font>
    <font>
      <u/>
      <sz val="11"/>
      <color indexed="81"/>
      <name val="Tahoma"/>
      <family val="2"/>
    </font>
    <font>
      <b/>
      <sz val="11"/>
      <color indexed="81"/>
      <name val="Calibri"/>
      <family val="2"/>
      <scheme val="minor"/>
    </font>
    <font>
      <u/>
      <sz val="11"/>
      <color indexed="81"/>
      <name val="Calibri"/>
      <family val="2"/>
      <scheme val="minor"/>
    </font>
    <font>
      <b/>
      <sz val="11.5"/>
      <color theme="1"/>
      <name val="Calibri"/>
      <family val="2"/>
      <scheme val="minor"/>
    </font>
    <font>
      <sz val="11"/>
      <name val="Calibri"/>
      <family val="2"/>
      <scheme val="minor"/>
    </font>
    <font>
      <b/>
      <sz val="11"/>
      <name val="Calibri"/>
      <family val="2"/>
      <scheme val="minor"/>
    </font>
    <font>
      <b/>
      <sz val="9"/>
      <name val="Calibri"/>
      <family val="2"/>
      <scheme val="minor"/>
    </font>
    <font>
      <b/>
      <sz val="10"/>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theme="9" tint="-0.249977111117893"/>
        <bgColor indexed="64"/>
      </patternFill>
    </fill>
    <fill>
      <gradientFill degree="180">
        <stop position="0">
          <color theme="0"/>
        </stop>
        <stop position="1">
          <color theme="9" tint="0.80001220740379042"/>
        </stop>
      </gradient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80">
    <xf numFmtId="0" fontId="0" fillId="0" borderId="0" xfId="0"/>
    <xf numFmtId="0" fontId="1" fillId="0" borderId="0" xfId="0" applyFont="1" applyAlignment="1"/>
    <xf numFmtId="0" fontId="0" fillId="0" borderId="0" xfId="0"/>
    <xf numFmtId="0" fontId="0" fillId="0" borderId="0" xfId="0" applyProtection="1"/>
    <xf numFmtId="0" fontId="1" fillId="0" borderId="0" xfId="0" applyFont="1" applyAlignment="1" applyProtection="1"/>
    <xf numFmtId="0" fontId="0" fillId="0" borderId="0" xfId="0" applyFont="1" applyBorder="1" applyAlignment="1" applyProtection="1">
      <alignment vertical="top" wrapText="1"/>
    </xf>
    <xf numFmtId="0" fontId="12" fillId="5" borderId="19" xfId="0" applyFont="1" applyFill="1" applyBorder="1" applyProtection="1"/>
    <xf numFmtId="0" fontId="12" fillId="5" borderId="0" xfId="0" applyFont="1" applyFill="1" applyBorder="1" applyProtection="1"/>
    <xf numFmtId="0" fontId="12" fillId="5" borderId="30" xfId="0" applyFont="1" applyFill="1" applyBorder="1" applyProtection="1"/>
    <xf numFmtId="0" fontId="13" fillId="0" borderId="4" xfId="0" applyFont="1" applyBorder="1" applyAlignment="1" applyProtection="1">
      <alignment horizontal="right" vertical="top"/>
    </xf>
    <xf numFmtId="0" fontId="13" fillId="0" borderId="4" xfId="0" applyFont="1" applyFill="1" applyBorder="1" applyAlignment="1" applyProtection="1">
      <alignment horizontal="right" vertical="top"/>
    </xf>
    <xf numFmtId="177" fontId="12" fillId="0" borderId="5" xfId="0" applyNumberFormat="1" applyFont="1" applyBorder="1" applyAlignment="1" applyProtection="1">
      <alignment horizontal="left" vertical="top"/>
    </xf>
    <xf numFmtId="0" fontId="13" fillId="0" borderId="6" xfId="0" applyFont="1" applyBorder="1" applyAlignment="1" applyProtection="1">
      <alignment horizontal="right" vertical="top"/>
    </xf>
    <xf numFmtId="169" fontId="12" fillId="2" borderId="5" xfId="0" applyNumberFormat="1" applyFont="1" applyFill="1" applyBorder="1" applyAlignment="1" applyProtection="1">
      <alignment horizontal="left" vertical="top"/>
      <protection locked="0"/>
    </xf>
    <xf numFmtId="176" fontId="12" fillId="2" borderId="5" xfId="0" applyNumberFormat="1" applyFont="1" applyFill="1" applyBorder="1" applyAlignment="1" applyProtection="1">
      <alignment horizontal="left" vertical="top"/>
      <protection locked="0"/>
    </xf>
    <xf numFmtId="49" fontId="13" fillId="0" borderId="4" xfId="0" applyNumberFormat="1" applyFont="1" applyBorder="1" applyAlignment="1" applyProtection="1">
      <alignment horizontal="right" vertical="top"/>
    </xf>
    <xf numFmtId="171" fontId="12" fillId="2" borderId="5" xfId="0" applyNumberFormat="1" applyFont="1" applyFill="1" applyBorder="1" applyAlignment="1" applyProtection="1">
      <alignment horizontal="left" vertical="top"/>
      <protection locked="0"/>
    </xf>
    <xf numFmtId="177" fontId="12" fillId="0" borderId="7" xfId="0" applyNumberFormat="1" applyFont="1" applyBorder="1" applyAlignment="1" applyProtection="1">
      <alignment horizontal="left" vertical="top"/>
    </xf>
    <xf numFmtId="0" fontId="0" fillId="0" borderId="30" xfId="0" applyBorder="1" applyProtection="1"/>
    <xf numFmtId="0" fontId="1" fillId="0" borderId="12" xfId="0" applyFont="1" applyBorder="1" applyAlignment="1">
      <alignment horizontal="right" vertical="center"/>
    </xf>
    <xf numFmtId="164" fontId="0" fillId="2" borderId="13" xfId="0" applyNumberFormat="1" applyFill="1" applyBorder="1" applyAlignment="1">
      <alignment horizontal="left" vertical="center"/>
    </xf>
    <xf numFmtId="0" fontId="1" fillId="0" borderId="4" xfId="0" applyFont="1" applyBorder="1" applyAlignment="1">
      <alignment horizontal="right" vertical="center"/>
    </xf>
    <xf numFmtId="0" fontId="0" fillId="2" borderId="5" xfId="0" applyFill="1" applyBorder="1" applyAlignment="1">
      <alignment horizontal="left" vertical="center"/>
    </xf>
    <xf numFmtId="165" fontId="0" fillId="2" borderId="5" xfId="0" applyNumberFormat="1" applyFill="1" applyBorder="1" applyAlignment="1">
      <alignment horizontal="left" vertical="center"/>
    </xf>
    <xf numFmtId="166" fontId="0" fillId="2" borderId="5" xfId="0" applyNumberFormat="1" applyFill="1" applyBorder="1" applyAlignment="1">
      <alignment horizontal="left" vertical="center"/>
    </xf>
    <xf numFmtId="166" fontId="0" fillId="0" borderId="5" xfId="0" applyNumberFormat="1" applyBorder="1" applyAlignment="1">
      <alignment horizontal="left" vertical="center"/>
    </xf>
    <xf numFmtId="0" fontId="1" fillId="0" borderId="32" xfId="0" applyFont="1" applyBorder="1" applyAlignment="1">
      <alignment horizontal="right" vertical="center" wrapText="1"/>
    </xf>
    <xf numFmtId="166" fontId="0" fillId="0" borderId="33" xfId="0" applyNumberFormat="1" applyBorder="1" applyAlignment="1">
      <alignment horizontal="left" vertical="center"/>
    </xf>
    <xf numFmtId="170" fontId="0" fillId="2" borderId="5" xfId="0" applyNumberFormat="1" applyFill="1" applyBorder="1" applyAlignment="1">
      <alignment horizontal="left" vertical="center"/>
    </xf>
    <xf numFmtId="0" fontId="1" fillId="0" borderId="6" xfId="0" applyFont="1" applyBorder="1" applyAlignment="1">
      <alignment horizontal="right" vertical="center"/>
    </xf>
    <xf numFmtId="167" fontId="0" fillId="0" borderId="7" xfId="0" applyNumberFormat="1" applyBorder="1" applyAlignment="1">
      <alignment horizontal="left" vertical="center"/>
    </xf>
    <xf numFmtId="0" fontId="0" fillId="2" borderId="13" xfId="0" applyFill="1" applyBorder="1" applyAlignment="1">
      <alignment horizontal="left" vertical="center"/>
    </xf>
    <xf numFmtId="168" fontId="1" fillId="0" borderId="4" xfId="0" applyNumberFormat="1" applyFont="1" applyBorder="1" applyAlignment="1">
      <alignment horizontal="right" vertical="center"/>
    </xf>
    <xf numFmtId="169" fontId="1" fillId="0" borderId="4" xfId="0" applyNumberFormat="1" applyFont="1" applyBorder="1" applyAlignment="1">
      <alignment horizontal="right" vertical="center"/>
    </xf>
    <xf numFmtId="169" fontId="0" fillId="0" borderId="5" xfId="0" applyNumberFormat="1" applyBorder="1" applyAlignment="1">
      <alignment horizontal="left" vertical="center"/>
    </xf>
    <xf numFmtId="0" fontId="1" fillId="0" borderId="4" xfId="0" applyFont="1" applyBorder="1" applyAlignment="1">
      <alignment vertical="center"/>
    </xf>
    <xf numFmtId="171" fontId="0" fillId="0" borderId="13" xfId="0" applyNumberFormat="1" applyBorder="1" applyAlignment="1">
      <alignment horizontal="left" vertical="center"/>
    </xf>
    <xf numFmtId="172" fontId="0" fillId="0" borderId="5" xfId="0" applyNumberFormat="1" applyBorder="1" applyAlignment="1">
      <alignment horizontal="left" vertical="center"/>
    </xf>
    <xf numFmtId="173" fontId="0" fillId="2" borderId="5" xfId="0" applyNumberFormat="1" applyFill="1" applyBorder="1" applyAlignment="1">
      <alignment horizontal="left" vertical="center"/>
    </xf>
    <xf numFmtId="174" fontId="0" fillId="2" borderId="5" xfId="0" applyNumberFormat="1" applyFill="1" applyBorder="1" applyAlignment="1">
      <alignment horizontal="left" vertical="center"/>
    </xf>
    <xf numFmtId="175" fontId="0" fillId="0" borderId="5" xfId="0" applyNumberFormat="1" applyBorder="1" applyAlignment="1">
      <alignment horizontal="left" vertical="center"/>
    </xf>
    <xf numFmtId="169" fontId="0" fillId="2" borderId="5" xfId="0" applyNumberFormat="1" applyFill="1" applyBorder="1" applyAlignment="1">
      <alignment horizontal="left" vertical="center"/>
    </xf>
    <xf numFmtId="0" fontId="1" fillId="0" borderId="4" xfId="0" applyFont="1" applyFill="1" applyBorder="1" applyAlignment="1">
      <alignment horizontal="right" vertical="center"/>
    </xf>
    <xf numFmtId="176" fontId="0" fillId="2" borderId="5" xfId="0" applyNumberFormat="1" applyFill="1" applyBorder="1" applyAlignment="1">
      <alignment horizontal="left" vertical="center"/>
    </xf>
    <xf numFmtId="178" fontId="0" fillId="2" borderId="5" xfId="0" applyNumberFormat="1" applyFill="1" applyBorder="1" applyAlignment="1">
      <alignment horizontal="left" vertical="center"/>
    </xf>
    <xf numFmtId="172" fontId="0" fillId="0" borderId="5" xfId="0" applyNumberFormat="1" applyFill="1" applyBorder="1" applyAlignment="1">
      <alignment horizontal="left" vertical="center"/>
    </xf>
    <xf numFmtId="171" fontId="0" fillId="0" borderId="5" xfId="0" applyNumberFormat="1" applyBorder="1" applyAlignment="1">
      <alignment horizontal="left" vertical="center"/>
    </xf>
    <xf numFmtId="177" fontId="0" fillId="0" borderId="5" xfId="0" applyNumberFormat="1" applyBorder="1" applyAlignment="1">
      <alignment horizontal="left" vertical="center"/>
    </xf>
    <xf numFmtId="49" fontId="1" fillId="0" borderId="4" xfId="0" applyNumberFormat="1" applyFont="1" applyBorder="1" applyAlignment="1" applyProtection="1">
      <alignment horizontal="right" vertical="center"/>
    </xf>
    <xf numFmtId="0" fontId="1" fillId="0" borderId="4" xfId="0" applyFont="1" applyBorder="1" applyAlignment="1" applyProtection="1">
      <alignment horizontal="right" vertical="center"/>
    </xf>
    <xf numFmtId="177" fontId="0" fillId="0" borderId="7" xfId="0" applyNumberFormat="1" applyBorder="1" applyAlignment="1">
      <alignment horizontal="left" vertical="center"/>
    </xf>
    <xf numFmtId="169" fontId="0" fillId="2" borderId="13" xfId="0" applyNumberFormat="1" applyFill="1" applyBorder="1" applyAlignment="1" applyProtection="1">
      <alignment horizontal="left" vertical="center"/>
      <protection locked="0"/>
    </xf>
    <xf numFmtId="168" fontId="15" fillId="0" borderId="4" xfId="0" applyNumberFormat="1" applyFont="1" applyBorder="1" applyAlignment="1" applyProtection="1">
      <alignment horizontal="right" vertical="center"/>
    </xf>
    <xf numFmtId="173" fontId="0" fillId="2" borderId="5" xfId="0" applyNumberFormat="1" applyFill="1" applyBorder="1" applyAlignment="1" applyProtection="1">
      <alignment horizontal="left" vertical="center"/>
      <protection locked="0"/>
    </xf>
    <xf numFmtId="169" fontId="1" fillId="0" borderId="4" xfId="0" applyNumberFormat="1" applyFont="1" applyBorder="1" applyAlignment="1" applyProtection="1">
      <alignment horizontal="right" vertical="center"/>
    </xf>
    <xf numFmtId="0" fontId="1" fillId="0" borderId="6" xfId="0" applyFont="1" applyBorder="1" applyAlignment="1" applyProtection="1">
      <alignment horizontal="right" vertical="center"/>
    </xf>
    <xf numFmtId="179" fontId="0" fillId="0" borderId="7" xfId="0" applyNumberFormat="1" applyBorder="1" applyAlignment="1" applyProtection="1">
      <alignment horizontal="left" vertical="center"/>
    </xf>
    <xf numFmtId="175" fontId="0" fillId="2" borderId="5" xfId="0" applyNumberFormat="1" applyFill="1" applyBorder="1" applyAlignment="1">
      <alignment horizontal="left" vertical="center"/>
    </xf>
    <xf numFmtId="180" fontId="0" fillId="0" borderId="7" xfId="0" applyNumberFormat="1" applyBorder="1" applyAlignment="1">
      <alignment horizontal="left" vertical="center"/>
    </xf>
    <xf numFmtId="181" fontId="0" fillId="0" borderId="9" xfId="0" applyNumberFormat="1" applyBorder="1" applyAlignment="1">
      <alignment horizontal="left" vertical="center"/>
    </xf>
    <xf numFmtId="181" fontId="0" fillId="0" borderId="7" xfId="0" applyNumberFormat="1" applyBorder="1" applyAlignment="1">
      <alignment horizontal="left" vertical="center"/>
    </xf>
    <xf numFmtId="181" fontId="0" fillId="2" borderId="5" xfId="0" applyNumberFormat="1" applyFill="1" applyBorder="1" applyAlignment="1">
      <alignment horizontal="left" vertical="center"/>
    </xf>
    <xf numFmtId="181" fontId="12" fillId="2" borderId="5" xfId="0" applyNumberFormat="1" applyFont="1" applyFill="1" applyBorder="1" applyAlignment="1" applyProtection="1">
      <alignment horizontal="left" vertical="top"/>
      <protection locked="0"/>
    </xf>
    <xf numFmtId="177" fontId="0" fillId="2" borderId="5" xfId="0" applyNumberFormat="1" applyFill="1" applyBorder="1" applyAlignment="1" applyProtection="1">
      <alignment horizontal="left" vertical="center"/>
      <protection locked="0"/>
    </xf>
    <xf numFmtId="171" fontId="0" fillId="2" borderId="5" xfId="0" applyNumberFormat="1" applyFill="1" applyBorder="1" applyAlignment="1">
      <alignment horizontal="left" vertical="center"/>
    </xf>
    <xf numFmtId="181" fontId="0" fillId="0" borderId="9" xfId="0" applyNumberFormat="1" applyBorder="1" applyAlignment="1" applyProtection="1">
      <alignment horizontal="left" vertical="center"/>
    </xf>
    <xf numFmtId="171" fontId="0" fillId="0" borderId="5" xfId="0" applyNumberFormat="1" applyBorder="1" applyAlignment="1" applyProtection="1">
      <alignment horizontal="left" vertical="center"/>
    </xf>
    <xf numFmtId="172" fontId="0" fillId="0" borderId="5" xfId="0" applyNumberFormat="1" applyBorder="1" applyAlignment="1" applyProtection="1">
      <alignment horizontal="left" vertical="center"/>
    </xf>
    <xf numFmtId="174" fontId="0" fillId="2" borderId="5" xfId="0" applyNumberFormat="1" applyFill="1" applyBorder="1" applyAlignment="1" applyProtection="1">
      <alignment horizontal="left" vertical="center"/>
      <protection locked="0"/>
    </xf>
    <xf numFmtId="175" fontId="0" fillId="0" borderId="5" xfId="0" applyNumberFormat="1" applyBorder="1" applyAlignment="1" applyProtection="1">
      <alignment horizontal="left" vertical="center"/>
    </xf>
    <xf numFmtId="169" fontId="0" fillId="0" borderId="5" xfId="0" applyNumberFormat="1" applyBorder="1" applyAlignment="1" applyProtection="1">
      <alignment horizontal="left" vertical="center"/>
    </xf>
    <xf numFmtId="180" fontId="0" fillId="0" borderId="7" xfId="0" applyNumberFormat="1" applyBorder="1" applyAlignment="1" applyProtection="1">
      <alignment horizontal="left" vertical="center"/>
    </xf>
    <xf numFmtId="0" fontId="13" fillId="0" borderId="4" xfId="0" applyFont="1" applyBorder="1" applyAlignment="1" applyProtection="1">
      <alignment horizontal="right" vertical="center"/>
    </xf>
    <xf numFmtId="0" fontId="13" fillId="0" borderId="4" xfId="0" applyFont="1" applyFill="1" applyBorder="1" applyAlignment="1" applyProtection="1">
      <alignment horizontal="right" vertical="center"/>
    </xf>
    <xf numFmtId="0" fontId="13" fillId="0" borderId="4" xfId="0" applyFont="1" applyBorder="1" applyAlignment="1">
      <alignment horizontal="right" vertical="center"/>
    </xf>
    <xf numFmtId="0" fontId="13" fillId="0" borderId="4" xfId="0" applyFont="1" applyFill="1" applyBorder="1" applyAlignment="1">
      <alignment horizontal="right" vertical="center"/>
    </xf>
    <xf numFmtId="0" fontId="13" fillId="0" borderId="6" xfId="0" applyFont="1" applyBorder="1" applyAlignment="1" applyProtection="1">
      <alignment horizontal="right" vertical="center"/>
    </xf>
    <xf numFmtId="177" fontId="12" fillId="2" borderId="5" xfId="0" applyNumberFormat="1" applyFont="1" applyFill="1" applyBorder="1" applyAlignment="1" applyProtection="1">
      <alignment horizontal="left" vertical="center"/>
      <protection locked="0"/>
    </xf>
    <xf numFmtId="178" fontId="12" fillId="2" borderId="5" xfId="0" applyNumberFormat="1" applyFont="1" applyFill="1" applyBorder="1" applyAlignment="1" applyProtection="1">
      <alignment horizontal="left" vertical="center"/>
      <protection locked="0"/>
    </xf>
    <xf numFmtId="169" fontId="12" fillId="2" borderId="5" xfId="0" applyNumberFormat="1" applyFont="1" applyFill="1" applyBorder="1" applyAlignment="1" applyProtection="1">
      <alignment horizontal="left" vertical="center"/>
      <protection locked="0"/>
    </xf>
    <xf numFmtId="176" fontId="12" fillId="2" borderId="5" xfId="0" applyNumberFormat="1" applyFont="1" applyFill="1" applyBorder="1" applyAlignment="1" applyProtection="1">
      <alignment horizontal="left" vertical="center"/>
      <protection locked="0"/>
    </xf>
    <xf numFmtId="171" fontId="12" fillId="0" borderId="5" xfId="0" applyNumberFormat="1" applyFont="1" applyBorder="1" applyAlignment="1" applyProtection="1">
      <alignment horizontal="left" vertical="center"/>
    </xf>
    <xf numFmtId="172" fontId="12" fillId="0" borderId="5" xfId="0" applyNumberFormat="1" applyFont="1" applyBorder="1" applyAlignment="1" applyProtection="1">
      <alignment horizontal="left" vertical="center"/>
    </xf>
    <xf numFmtId="177" fontId="12" fillId="0" borderId="5" xfId="0" applyNumberFormat="1" applyFont="1" applyBorder="1" applyAlignment="1" applyProtection="1">
      <alignment horizontal="left" vertical="center"/>
    </xf>
    <xf numFmtId="0" fontId="1" fillId="0" borderId="5" xfId="0" applyFont="1" applyBorder="1" applyAlignment="1" applyProtection="1">
      <alignment horizontal="right" vertical="center"/>
    </xf>
    <xf numFmtId="175" fontId="0" fillId="2" borderId="4" xfId="0" applyNumberFormat="1" applyFill="1" applyBorder="1" applyAlignment="1" applyProtection="1">
      <alignment horizontal="right" vertical="center"/>
      <protection locked="0"/>
    </xf>
    <xf numFmtId="169" fontId="0" fillId="0" borderId="5" xfId="0" applyNumberFormat="1" applyBorder="1" applyAlignment="1" applyProtection="1">
      <alignment horizontal="right" vertical="center"/>
    </xf>
    <xf numFmtId="0" fontId="0" fillId="2" borderId="5" xfId="0" applyFill="1" applyBorder="1" applyAlignment="1" applyProtection="1">
      <alignment horizontal="left" vertical="center"/>
      <protection locked="0"/>
    </xf>
    <xf numFmtId="168" fontId="1" fillId="0" borderId="4" xfId="0" applyNumberFormat="1" applyFont="1" applyBorder="1" applyAlignment="1" applyProtection="1">
      <alignment horizontal="right" vertical="center"/>
    </xf>
    <xf numFmtId="175" fontId="0" fillId="2" borderId="5" xfId="0" applyNumberFormat="1" applyFill="1" applyBorder="1" applyAlignment="1" applyProtection="1">
      <alignment horizontal="left" vertical="center"/>
      <protection locked="0"/>
    </xf>
    <xf numFmtId="0" fontId="0" fillId="0" borderId="7" xfId="0" applyBorder="1" applyAlignment="1" applyProtection="1">
      <alignment vertical="center"/>
    </xf>
    <xf numFmtId="164" fontId="0" fillId="2" borderId="5" xfId="0" applyNumberFormat="1" applyFill="1" applyBorder="1" applyAlignment="1" applyProtection="1">
      <alignment horizontal="left" vertical="center"/>
      <protection locked="0"/>
    </xf>
    <xf numFmtId="165" fontId="0" fillId="2" borderId="5" xfId="0" applyNumberFormat="1" applyFill="1" applyBorder="1" applyAlignment="1" applyProtection="1">
      <alignment horizontal="left" vertical="center"/>
      <protection locked="0"/>
    </xf>
    <xf numFmtId="166" fontId="0" fillId="2" borderId="5" xfId="0" applyNumberFormat="1" applyFill="1" applyBorder="1" applyAlignment="1" applyProtection="1">
      <alignment horizontal="left" vertical="center"/>
      <protection locked="0"/>
    </xf>
    <xf numFmtId="170" fontId="0" fillId="2" borderId="5" xfId="0" applyNumberFormat="1" applyFill="1" applyBorder="1" applyAlignment="1" applyProtection="1">
      <alignment horizontal="left" vertical="center"/>
      <protection locked="0"/>
    </xf>
    <xf numFmtId="0" fontId="1" fillId="0" borderId="32" xfId="0" applyFont="1" applyBorder="1" applyAlignment="1" applyProtection="1">
      <alignment horizontal="right" vertical="center"/>
    </xf>
    <xf numFmtId="166" fontId="0" fillId="0" borderId="33" xfId="0" applyNumberFormat="1" applyBorder="1" applyAlignment="1" applyProtection="1">
      <alignment horizontal="left" vertical="center"/>
    </xf>
    <xf numFmtId="167" fontId="0" fillId="0" borderId="7" xfId="0" applyNumberFormat="1" applyBorder="1" applyAlignment="1" applyProtection="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175" fontId="0" fillId="2" borderId="4" xfId="0" applyNumberFormat="1" applyFill="1" applyBorder="1" applyAlignment="1">
      <alignment horizontal="center" vertical="center"/>
    </xf>
    <xf numFmtId="169" fontId="0" fillId="0" borderId="5" xfId="0" applyNumberFormat="1" applyBorder="1" applyAlignment="1">
      <alignment horizontal="center" vertical="center"/>
    </xf>
    <xf numFmtId="0" fontId="0" fillId="0" borderId="0" xfId="0" applyBorder="1" applyAlignment="1" applyProtection="1">
      <alignment vertical="center"/>
    </xf>
    <xf numFmtId="169" fontId="0" fillId="2" borderId="13" xfId="0" applyNumberFormat="1" applyFill="1" applyBorder="1" applyAlignment="1" applyProtection="1">
      <alignment horizontal="left" vertical="center"/>
    </xf>
    <xf numFmtId="177" fontId="0" fillId="2" borderId="5" xfId="0" applyNumberFormat="1" applyFill="1" applyBorder="1" applyAlignment="1" applyProtection="1">
      <alignment horizontal="left" vertical="center"/>
    </xf>
    <xf numFmtId="179" fontId="0" fillId="0" borderId="7" xfId="0" applyNumberFormat="1" applyFont="1" applyBorder="1" applyAlignment="1" applyProtection="1">
      <alignment horizontal="left" vertical="center"/>
    </xf>
    <xf numFmtId="181" fontId="12" fillId="0" borderId="7" xfId="0" applyNumberFormat="1" applyFont="1" applyBorder="1" applyAlignment="1" applyProtection="1">
      <alignment horizontal="left" vertical="center"/>
    </xf>
    <xf numFmtId="0" fontId="0" fillId="0" borderId="0" xfId="0" applyBorder="1" applyProtection="1"/>
    <xf numFmtId="0" fontId="0" fillId="0" borderId="27" xfId="0" applyBorder="1" applyAlignment="1" applyProtection="1"/>
    <xf numFmtId="0" fontId="1" fillId="3" borderId="2" xfId="0" applyFont="1" applyFill="1" applyBorder="1" applyAlignment="1" applyProtection="1">
      <alignment horizontal="center"/>
    </xf>
    <xf numFmtId="0" fontId="1" fillId="3" borderId="3" xfId="0" applyFont="1" applyFill="1" applyBorder="1" applyAlignment="1" applyProtection="1">
      <alignment horizontal="center"/>
    </xf>
    <xf numFmtId="0" fontId="0" fillId="0" borderId="30" xfId="0" applyBorder="1" applyAlignment="1" applyProtection="1">
      <alignment horizontal="center"/>
    </xf>
    <xf numFmtId="0" fontId="0" fillId="0" borderId="19" xfId="0" applyBorder="1" applyAlignment="1" applyProtection="1">
      <alignment horizontal="center"/>
    </xf>
    <xf numFmtId="0" fontId="7" fillId="0" borderId="0" xfId="0" applyFont="1" applyAlignment="1" applyProtection="1">
      <alignment horizontal="center"/>
    </xf>
    <xf numFmtId="0" fontId="11" fillId="0" borderId="0" xfId="0" applyFont="1" applyAlignment="1" applyProtection="1">
      <alignment horizontal="left"/>
    </xf>
    <xf numFmtId="0" fontId="5" fillId="4" borderId="15" xfId="0" applyFont="1" applyFill="1" applyBorder="1" applyAlignment="1" applyProtection="1">
      <alignment horizontal="center"/>
    </xf>
    <xf numFmtId="0" fontId="5" fillId="4" borderId="19" xfId="0" applyFont="1" applyFill="1" applyBorder="1" applyAlignment="1" applyProtection="1">
      <alignment horizontal="center"/>
    </xf>
    <xf numFmtId="0" fontId="5" fillId="4" borderId="16"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0" fontId="5" fillId="4" borderId="21" xfId="0" applyFont="1" applyFill="1" applyBorder="1" applyAlignment="1" applyProtection="1">
      <alignment horizontal="center"/>
    </xf>
    <xf numFmtId="0" fontId="0" fillId="0" borderId="12" xfId="0" quotePrefix="1" applyBorder="1" applyAlignment="1" applyProtection="1">
      <alignment horizontal="left" vertical="top" wrapText="1"/>
    </xf>
    <xf numFmtId="0" fontId="0" fillId="0" borderId="14" xfId="0" quotePrefix="1" applyBorder="1" applyAlignment="1" applyProtection="1">
      <alignment horizontal="left" vertical="top" wrapText="1"/>
    </xf>
    <xf numFmtId="0" fontId="0" fillId="0" borderId="13" xfId="0" quotePrefix="1" applyBorder="1" applyAlignment="1" applyProtection="1">
      <alignment horizontal="left" vertical="top" wrapText="1"/>
    </xf>
    <xf numFmtId="0" fontId="0" fillId="0" borderId="4" xfId="0" quotePrefix="1" applyBorder="1" applyAlignment="1" applyProtection="1">
      <alignment horizontal="left" vertical="top" wrapText="1"/>
    </xf>
    <xf numFmtId="0" fontId="0" fillId="0" borderId="1" xfId="0" quotePrefix="1" applyBorder="1" applyAlignment="1" applyProtection="1">
      <alignment horizontal="left" vertical="top" wrapText="1"/>
    </xf>
    <xf numFmtId="0" fontId="0" fillId="0" borderId="5" xfId="0" quotePrefix="1" applyBorder="1" applyAlignment="1" applyProtection="1">
      <alignment horizontal="left" vertical="top" wrapText="1"/>
    </xf>
    <xf numFmtId="0" fontId="0" fillId="0" borderId="6" xfId="0" quotePrefix="1" applyBorder="1" applyAlignment="1" applyProtection="1">
      <alignment horizontal="left" vertical="top" wrapText="1"/>
    </xf>
    <xf numFmtId="0" fontId="0" fillId="0" borderId="22" xfId="0" quotePrefix="1" applyBorder="1" applyAlignment="1" applyProtection="1">
      <alignment horizontal="left" vertical="top" wrapText="1"/>
    </xf>
    <xf numFmtId="0" fontId="0" fillId="0" borderId="7" xfId="0" quotePrefix="1" applyBorder="1" applyAlignment="1" applyProtection="1">
      <alignment horizontal="left" vertical="top" wrapText="1"/>
    </xf>
    <xf numFmtId="0" fontId="0" fillId="0" borderId="20" xfId="0" quotePrefix="1" applyFont="1" applyBorder="1" applyAlignment="1" applyProtection="1">
      <alignment horizontal="left" vertical="top" wrapText="1"/>
    </xf>
    <xf numFmtId="0" fontId="0" fillId="0" borderId="19" xfId="0" applyFont="1" applyBorder="1" applyAlignment="1" applyProtection="1">
      <alignment horizontal="left" vertical="top" wrapText="1"/>
    </xf>
    <xf numFmtId="0" fontId="0" fillId="0" borderId="16" xfId="0" applyFont="1" applyBorder="1" applyAlignment="1" applyProtection="1">
      <alignment horizontal="left" vertical="top" wrapText="1"/>
    </xf>
    <xf numFmtId="0" fontId="1" fillId="0" borderId="0" xfId="0" quotePrefix="1" applyFont="1" applyBorder="1" applyAlignment="1" applyProtection="1">
      <alignment horizontal="left" vertical="top" wrapText="1"/>
    </xf>
    <xf numFmtId="0" fontId="13" fillId="2" borderId="10" xfId="0" applyFont="1" applyFill="1" applyBorder="1" applyAlignment="1" applyProtection="1">
      <alignment horizontal="center" vertical="center"/>
      <protection locked="0"/>
    </xf>
    <xf numFmtId="0" fontId="13" fillId="2" borderId="11" xfId="0" applyFont="1" applyFill="1" applyBorder="1" applyAlignment="1" applyProtection="1">
      <alignment horizontal="center" vertical="center"/>
      <protection locked="0"/>
    </xf>
    <xf numFmtId="0" fontId="5" fillId="4" borderId="17" xfId="0" applyFont="1" applyFill="1" applyBorder="1" applyAlignment="1" applyProtection="1">
      <alignment horizontal="center"/>
    </xf>
    <xf numFmtId="0" fontId="5" fillId="4" borderId="18" xfId="0" applyFont="1" applyFill="1" applyBorder="1" applyAlignment="1" applyProtection="1">
      <alignment horizontal="center"/>
    </xf>
    <xf numFmtId="0" fontId="1" fillId="0" borderId="30" xfId="0" applyFont="1" applyBorder="1" applyAlignment="1" applyProtection="1">
      <alignment horizontal="center"/>
    </xf>
    <xf numFmtId="0" fontId="0" fillId="0" borderId="27" xfId="0" quotePrefix="1" applyFont="1" applyBorder="1" applyAlignment="1" applyProtection="1">
      <alignment horizontal="center" vertical="top" wrapText="1"/>
    </xf>
    <xf numFmtId="0" fontId="0" fillId="0" borderId="0" xfId="0" applyAlignment="1" applyProtection="1">
      <alignment horizontal="center"/>
    </xf>
    <xf numFmtId="0" fontId="5" fillId="4" borderId="2" xfId="0" applyFont="1" applyFill="1" applyBorder="1" applyAlignment="1" applyProtection="1">
      <alignment horizontal="center"/>
    </xf>
    <xf numFmtId="0" fontId="5" fillId="4" borderId="3" xfId="0" applyFont="1" applyFill="1" applyBorder="1" applyAlignment="1" applyProtection="1">
      <alignment horizontal="center"/>
    </xf>
    <xf numFmtId="0" fontId="0" fillId="0" borderId="27" xfId="0" applyFont="1" applyBorder="1" applyAlignment="1" applyProtection="1">
      <alignment horizontal="left" vertical="center" wrapText="1"/>
    </xf>
    <xf numFmtId="0" fontId="0" fillId="0" borderId="28" xfId="0" applyFont="1" applyBorder="1" applyAlignment="1" applyProtection="1">
      <alignment horizontal="left" vertical="center" wrapText="1"/>
    </xf>
    <xf numFmtId="0" fontId="0" fillId="0" borderId="0" xfId="0" applyFont="1" applyBorder="1" applyAlignment="1" applyProtection="1">
      <alignment horizontal="left" vertical="center" wrapText="1"/>
    </xf>
    <xf numFmtId="0" fontId="0" fillId="0" borderId="9" xfId="0" applyFont="1" applyBorder="1" applyAlignment="1" applyProtection="1">
      <alignment horizontal="left" vertical="center" wrapText="1"/>
    </xf>
    <xf numFmtId="0" fontId="0" fillId="0" borderId="30" xfId="0" applyFont="1" applyBorder="1" applyAlignment="1" applyProtection="1">
      <alignment horizontal="left" vertical="center" wrapText="1"/>
    </xf>
    <xf numFmtId="0" fontId="0" fillId="0" borderId="31" xfId="0" applyFont="1" applyBorder="1" applyAlignment="1" applyProtection="1">
      <alignment horizontal="left" vertical="center" wrapText="1"/>
    </xf>
    <xf numFmtId="0" fontId="0" fillId="0" borderId="27" xfId="0" applyFont="1" applyBorder="1" applyAlignment="1" applyProtection="1">
      <alignment horizontal="left" vertical="top" wrapText="1"/>
    </xf>
    <xf numFmtId="0" fontId="0" fillId="0" borderId="28" xfId="0" applyFont="1" applyBorder="1" applyAlignment="1" applyProtection="1">
      <alignment horizontal="left" vertical="top" wrapText="1"/>
    </xf>
    <xf numFmtId="0" fontId="0" fillId="0" borderId="8" xfId="0" applyFont="1" applyBorder="1" applyAlignment="1" applyProtection="1">
      <alignment horizontal="left" vertical="top" wrapText="1"/>
    </xf>
    <xf numFmtId="0" fontId="0" fillId="0" borderId="0" xfId="0" applyFont="1" applyBorder="1" applyAlignment="1" applyProtection="1">
      <alignment horizontal="left" vertical="top" wrapText="1"/>
    </xf>
    <xf numFmtId="0" fontId="0" fillId="0" borderId="9" xfId="0" applyFont="1" applyBorder="1" applyAlignment="1" applyProtection="1">
      <alignment horizontal="left" vertical="top" wrapText="1"/>
    </xf>
    <xf numFmtId="0" fontId="0" fillId="0" borderId="29" xfId="0" applyFont="1" applyBorder="1" applyAlignment="1" applyProtection="1">
      <alignment horizontal="left" vertical="top" wrapText="1"/>
    </xf>
    <xf numFmtId="0" fontId="0" fillId="0" borderId="30" xfId="0" applyFont="1" applyBorder="1" applyAlignment="1" applyProtection="1">
      <alignment horizontal="left" vertical="top" wrapText="1"/>
    </xf>
    <xf numFmtId="0" fontId="0" fillId="0" borderId="31" xfId="0" applyFont="1" applyBorder="1" applyAlignment="1" applyProtection="1">
      <alignment horizontal="left" vertical="top" wrapText="1"/>
    </xf>
    <xf numFmtId="0" fontId="13" fillId="3" borderId="25" xfId="0" applyFont="1" applyFill="1" applyBorder="1" applyAlignment="1" applyProtection="1">
      <alignment horizontal="center"/>
    </xf>
    <xf numFmtId="0" fontId="13" fillId="3" borderId="26" xfId="0" applyFont="1" applyFill="1" applyBorder="1" applyAlignment="1" applyProtection="1">
      <alignment horizontal="center"/>
    </xf>
    <xf numFmtId="0" fontId="13" fillId="3" borderId="2" xfId="0" applyFont="1" applyFill="1" applyBorder="1" applyAlignment="1" applyProtection="1">
      <alignment horizontal="center"/>
    </xf>
    <xf numFmtId="0" fontId="13" fillId="3" borderId="3" xfId="0" applyFont="1" applyFill="1" applyBorder="1" applyAlignment="1" applyProtection="1">
      <alignment horizontal="center"/>
    </xf>
    <xf numFmtId="0" fontId="0" fillId="0" borderId="6" xfId="0" applyBorder="1" applyAlignment="1" applyProtection="1">
      <alignment horizontal="left" vertical="top" wrapText="1"/>
    </xf>
    <xf numFmtId="0" fontId="0" fillId="0" borderId="22" xfId="0" applyBorder="1" applyAlignment="1" applyProtection="1">
      <alignment horizontal="left" vertical="top" wrapText="1"/>
    </xf>
    <xf numFmtId="0" fontId="0" fillId="0" borderId="7" xfId="0" applyBorder="1" applyAlignment="1" applyProtection="1">
      <alignment horizontal="left" vertical="top" wrapText="1"/>
    </xf>
    <xf numFmtId="0" fontId="0" fillId="0" borderId="12" xfId="0" applyBorder="1" applyAlignment="1" applyProtection="1">
      <alignment horizontal="left" vertical="top" wrapText="1"/>
    </xf>
    <xf numFmtId="0" fontId="0" fillId="0" borderId="14" xfId="0" applyBorder="1" applyAlignment="1" applyProtection="1">
      <alignment horizontal="left" vertical="top" wrapText="1"/>
    </xf>
    <xf numFmtId="0" fontId="0" fillId="0" borderId="13" xfId="0" applyBorder="1" applyAlignment="1" applyProtection="1">
      <alignment horizontal="left" vertical="top" wrapText="1"/>
    </xf>
    <xf numFmtId="0" fontId="0" fillId="0" borderId="4" xfId="0" applyBorder="1" applyAlignment="1" applyProtection="1">
      <alignment horizontal="left" vertical="top" wrapText="1"/>
    </xf>
    <xf numFmtId="0" fontId="0" fillId="0" borderId="1" xfId="0" applyBorder="1" applyAlignment="1" applyProtection="1">
      <alignment horizontal="left" vertical="top" wrapText="1"/>
    </xf>
    <xf numFmtId="0" fontId="0" fillId="0" borderId="5" xfId="0" applyBorder="1" applyAlignment="1" applyProtection="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5" fillId="4" borderId="23" xfId="0" applyFont="1" applyFill="1" applyBorder="1" applyAlignment="1">
      <alignment horizontal="center"/>
    </xf>
    <xf numFmtId="0" fontId="5" fillId="4" borderId="21" xfId="0" applyFont="1" applyFill="1" applyBorder="1" applyAlignment="1">
      <alignment horizontal="center"/>
    </xf>
    <xf numFmtId="0" fontId="5" fillId="4" borderId="15" xfId="0" applyFont="1" applyFill="1" applyBorder="1" applyAlignment="1">
      <alignment horizontal="center"/>
    </xf>
    <xf numFmtId="0" fontId="5" fillId="4" borderId="16" xfId="0" applyFont="1" applyFill="1" applyBorder="1" applyAlignment="1">
      <alignment horizontal="center"/>
    </xf>
    <xf numFmtId="0" fontId="5" fillId="4" borderId="17" xfId="0" applyFont="1" applyFill="1" applyBorder="1" applyAlignment="1">
      <alignment horizontal="center"/>
    </xf>
    <xf numFmtId="0" fontId="5" fillId="4" borderId="18" xfId="0" applyFont="1" applyFill="1" applyBorder="1" applyAlignment="1">
      <alignment horizont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A7" workbookViewId="0">
      <selection activeCell="H25" sqref="H25"/>
    </sheetView>
  </sheetViews>
  <sheetFormatPr defaultRowHeight="15" x14ac:dyDescent="0.25"/>
  <cols>
    <col min="1" max="1" width="15.140625" style="3" bestFit="1" customWidth="1"/>
    <col min="2" max="2" width="12.28515625" style="3" bestFit="1" customWidth="1"/>
    <col min="3" max="3" width="8.85546875" style="3" customWidth="1"/>
    <col min="4" max="4" width="14.28515625" style="3" bestFit="1" customWidth="1"/>
    <col min="5" max="5" width="12.140625" style="3" bestFit="1" customWidth="1"/>
    <col min="6" max="6" width="8.85546875" style="3" customWidth="1"/>
    <col min="7" max="7" width="14.42578125" style="3" bestFit="1" customWidth="1"/>
    <col min="8" max="8" width="15.5703125" style="3" bestFit="1" customWidth="1"/>
    <col min="9" max="9" width="3.7109375" style="3" customWidth="1"/>
    <col min="10" max="16384" width="9.140625" style="3"/>
  </cols>
  <sheetData>
    <row r="1" spans="1:8" ht="18.75" x14ac:dyDescent="0.3">
      <c r="A1" s="113" t="s">
        <v>38</v>
      </c>
      <c r="B1" s="113"/>
      <c r="C1" s="113"/>
      <c r="D1" s="113"/>
      <c r="E1" s="113"/>
      <c r="F1" s="113"/>
      <c r="G1" s="113"/>
      <c r="H1" s="113"/>
    </row>
    <row r="2" spans="1:8" x14ac:dyDescent="0.25">
      <c r="A2" s="114" t="s">
        <v>44</v>
      </c>
      <c r="B2" s="114"/>
      <c r="C2" s="114"/>
      <c r="D2" s="114"/>
      <c r="E2" s="114"/>
      <c r="F2" s="114"/>
      <c r="G2" s="114"/>
      <c r="H2" s="114"/>
    </row>
    <row r="3" spans="1:8" ht="8.1" customHeight="1" thickBot="1" x14ac:dyDescent="0.3">
      <c r="A3" s="138"/>
      <c r="B3" s="138"/>
      <c r="C3" s="138"/>
      <c r="D3" s="138"/>
      <c r="E3" s="138"/>
      <c r="F3" s="138"/>
      <c r="G3" s="138"/>
      <c r="H3" s="138"/>
    </row>
    <row r="4" spans="1:8" ht="16.5" thickBot="1" x14ac:dyDescent="0.3">
      <c r="A4" s="115" t="s">
        <v>39</v>
      </c>
      <c r="B4" s="116"/>
      <c r="C4" s="116"/>
      <c r="D4" s="116"/>
      <c r="E4" s="116"/>
      <c r="F4" s="116"/>
      <c r="G4" s="116"/>
      <c r="H4" s="117"/>
    </row>
    <row r="5" spans="1:8" ht="91.5" customHeight="1" thickBot="1" x14ac:dyDescent="0.3">
      <c r="A5" s="130" t="s">
        <v>61</v>
      </c>
      <c r="B5" s="131"/>
      <c r="C5" s="131"/>
      <c r="D5" s="131"/>
      <c r="E5" s="130" t="s">
        <v>40</v>
      </c>
      <c r="F5" s="131"/>
      <c r="G5" s="131"/>
      <c r="H5" s="132"/>
    </row>
    <row r="6" spans="1:8" ht="8.1" customHeight="1" x14ac:dyDescent="0.25">
      <c r="A6" s="139"/>
      <c r="B6" s="139"/>
      <c r="C6" s="139"/>
      <c r="D6" s="139"/>
      <c r="E6" s="139"/>
      <c r="F6" s="139"/>
      <c r="G6" s="139"/>
      <c r="H6" s="139"/>
    </row>
    <row r="7" spans="1:8" x14ac:dyDescent="0.25">
      <c r="A7" s="133" t="s">
        <v>45</v>
      </c>
      <c r="B7" s="133"/>
      <c r="C7" s="133"/>
      <c r="D7" s="133"/>
      <c r="E7" s="133"/>
      <c r="F7" s="133"/>
      <c r="G7" s="133"/>
      <c r="H7" s="133"/>
    </row>
    <row r="8" spans="1:8" ht="8.1" customHeight="1" thickBot="1" x14ac:dyDescent="0.3">
      <c r="A8" s="140"/>
      <c r="B8" s="140"/>
      <c r="C8" s="140"/>
      <c r="D8" s="140"/>
      <c r="E8" s="140"/>
      <c r="F8" s="140"/>
      <c r="G8" s="140"/>
      <c r="H8" s="140"/>
    </row>
    <row r="9" spans="1:8" ht="16.5" thickBot="1" x14ac:dyDescent="0.3">
      <c r="A9" s="141" t="s">
        <v>23</v>
      </c>
      <c r="B9" s="142"/>
      <c r="D9" s="115" t="s">
        <v>24</v>
      </c>
      <c r="E9" s="117"/>
      <c r="F9" s="4"/>
      <c r="G9" s="136" t="s">
        <v>25</v>
      </c>
      <c r="H9" s="137"/>
    </row>
    <row r="10" spans="1:8" x14ac:dyDescent="0.25">
      <c r="A10" s="49" t="s">
        <v>1</v>
      </c>
      <c r="B10" s="91"/>
      <c r="D10" s="109" t="s">
        <v>32</v>
      </c>
      <c r="E10" s="110"/>
      <c r="G10" s="109" t="s">
        <v>34</v>
      </c>
      <c r="H10" s="110"/>
    </row>
    <row r="11" spans="1:8" x14ac:dyDescent="0.25">
      <c r="A11" s="49" t="s">
        <v>2</v>
      </c>
      <c r="B11" s="87" t="s">
        <v>0</v>
      </c>
      <c r="D11" s="49" t="s">
        <v>9</v>
      </c>
      <c r="E11" s="84" t="s">
        <v>17</v>
      </c>
      <c r="G11" s="48" t="s">
        <v>37</v>
      </c>
      <c r="H11" s="66" t="str">
        <f>Calculations!H3</f>
        <v/>
      </c>
    </row>
    <row r="12" spans="1:8" ht="15.75" thickBot="1" x14ac:dyDescent="0.3">
      <c r="A12" s="49" t="s">
        <v>3</v>
      </c>
      <c r="B12" s="92"/>
      <c r="D12" s="85">
        <v>25</v>
      </c>
      <c r="E12" s="86" t="str">
        <f>Calculations!E4</f>
        <v/>
      </c>
      <c r="G12" s="49" t="s">
        <v>26</v>
      </c>
      <c r="H12" s="67" t="str">
        <f>Calculations!H4</f>
        <v/>
      </c>
    </row>
    <row r="13" spans="1:8" ht="15" customHeight="1" x14ac:dyDescent="0.25">
      <c r="A13" s="49" t="s">
        <v>4</v>
      </c>
      <c r="B13" s="93"/>
      <c r="D13" s="109" t="s">
        <v>33</v>
      </c>
      <c r="E13" s="110"/>
      <c r="G13" s="49" t="s">
        <v>27</v>
      </c>
      <c r="H13" s="53"/>
    </row>
    <row r="14" spans="1:8" x14ac:dyDescent="0.25">
      <c r="A14" s="95" t="str">
        <f>Calculations!A8</f>
        <v xml:space="preserve">CrCl Wt: </v>
      </c>
      <c r="B14" s="96" t="str">
        <f>Calculations!B8</f>
        <v/>
      </c>
      <c r="D14" s="49" t="s">
        <v>12</v>
      </c>
      <c r="E14" s="87" t="s">
        <v>13</v>
      </c>
      <c r="G14" s="49" t="s">
        <v>28</v>
      </c>
      <c r="H14" s="53"/>
    </row>
    <row r="15" spans="1:8" x14ac:dyDescent="0.25">
      <c r="A15" s="49" t="s">
        <v>8</v>
      </c>
      <c r="B15" s="94"/>
      <c r="D15" s="88" t="s">
        <v>11</v>
      </c>
      <c r="E15" s="89">
        <v>15</v>
      </c>
      <c r="G15" s="49" t="s">
        <v>47</v>
      </c>
      <c r="H15" s="68"/>
    </row>
    <row r="16" spans="1:8" ht="15.75" thickBot="1" x14ac:dyDescent="0.3">
      <c r="A16" s="55" t="s">
        <v>7</v>
      </c>
      <c r="B16" s="97" t="str">
        <f>Calculations!B10</f>
        <v/>
      </c>
      <c r="D16" s="54" t="s">
        <v>10</v>
      </c>
      <c r="E16" s="70" t="str">
        <f>Calculations!E9</f>
        <v/>
      </c>
      <c r="G16" s="49" t="s">
        <v>47</v>
      </c>
      <c r="H16" s="65" t="str">
        <f>Calculations!H8</f>
        <v/>
      </c>
    </row>
    <row r="17" spans="1:13" ht="15.75" thickBot="1" x14ac:dyDescent="0.3">
      <c r="A17" s="108"/>
      <c r="B17" s="108"/>
      <c r="D17" s="55" t="s">
        <v>64</v>
      </c>
      <c r="E17" s="90" t="str">
        <f>Calculations!E10</f>
        <v/>
      </c>
      <c r="G17" s="49" t="s">
        <v>16</v>
      </c>
      <c r="H17" s="69" t="str">
        <f>Calculations!H9</f>
        <v/>
      </c>
    </row>
    <row r="18" spans="1:13" ht="15.75" thickBot="1" x14ac:dyDescent="0.3">
      <c r="A18" s="107"/>
      <c r="B18" s="107"/>
      <c r="D18" s="112"/>
      <c r="E18" s="112"/>
      <c r="G18" s="49" t="s">
        <v>15</v>
      </c>
      <c r="H18" s="70" t="str">
        <f>Calculations!H10</f>
        <v/>
      </c>
    </row>
    <row r="19" spans="1:13" ht="15.75" customHeight="1" thickBot="1" x14ac:dyDescent="0.3">
      <c r="D19" s="115" t="s">
        <v>56</v>
      </c>
      <c r="E19" s="117"/>
      <c r="G19" s="55" t="s">
        <v>65</v>
      </c>
      <c r="H19" s="71" t="str">
        <f>Calculations!H11</f>
        <v/>
      </c>
    </row>
    <row r="20" spans="1:13" ht="15" customHeight="1" thickBot="1" x14ac:dyDescent="0.3">
      <c r="D20" s="49" t="s">
        <v>57</v>
      </c>
      <c r="E20" s="51"/>
      <c r="G20" s="157" t="s">
        <v>36</v>
      </c>
      <c r="H20" s="158"/>
      <c r="I20" s="18"/>
    </row>
    <row r="21" spans="1:13" ht="15.75" customHeight="1" thickBot="1" x14ac:dyDescent="0.3">
      <c r="D21" s="52" t="s">
        <v>60</v>
      </c>
      <c r="E21" s="63"/>
      <c r="G21" s="134" t="s">
        <v>66</v>
      </c>
      <c r="H21" s="135"/>
      <c r="I21" s="6"/>
      <c r="J21" s="149" t="str">
        <f>IF(G21="Peak &amp; Trough Values","Calculates PK values for when a trough and peak are available from just prior to the dose and just after the end of the infusion respectively","Calculates PK values for when two serum levels are available with no infusion between them (e.g. when a patient is toxic and the dose is held)")</f>
        <v>Calculates PK values for when a trough and peak are available from just prior to the dose and just after the end of the infusion respectively</v>
      </c>
      <c r="K21" s="149"/>
      <c r="L21" s="149"/>
      <c r="M21" s="150"/>
    </row>
    <row r="22" spans="1:13" x14ac:dyDescent="0.25">
      <c r="D22" s="54" t="s">
        <v>12</v>
      </c>
      <c r="E22" s="63"/>
      <c r="G22" s="72" t="str">
        <f>Calculations!G19</f>
        <v>Peak =</v>
      </c>
      <c r="H22" s="77"/>
      <c r="J22" s="151"/>
      <c r="K22" s="152"/>
      <c r="L22" s="152"/>
      <c r="M22" s="153"/>
    </row>
    <row r="23" spans="1:13" ht="15.75" thickBot="1" x14ac:dyDescent="0.3">
      <c r="D23" s="55" t="s">
        <v>59</v>
      </c>
      <c r="E23" s="56" t="str">
        <f>Calculations!E16</f>
        <v/>
      </c>
      <c r="G23" s="72" t="str">
        <f>Calculations!G18</f>
        <v xml:space="preserve">Peak drawn: </v>
      </c>
      <c r="H23" s="78"/>
      <c r="J23" s="151"/>
      <c r="K23" s="152"/>
      <c r="L23" s="152"/>
      <c r="M23" s="153"/>
    </row>
    <row r="24" spans="1:13" ht="15.75" thickBot="1" x14ac:dyDescent="0.3">
      <c r="G24" s="73" t="str">
        <f>Calculations!G22</f>
        <v>Trough =</v>
      </c>
      <c r="H24" s="77"/>
      <c r="J24" s="154"/>
      <c r="K24" s="155"/>
      <c r="L24" s="155"/>
      <c r="M24" s="156"/>
    </row>
    <row r="25" spans="1:13" ht="16.5" customHeight="1" thickBot="1" x14ac:dyDescent="0.3">
      <c r="A25" s="118" t="s">
        <v>62</v>
      </c>
      <c r="B25" s="119"/>
      <c r="C25" s="119"/>
      <c r="D25" s="119"/>
      <c r="E25" s="120"/>
      <c r="G25" s="72" t="str">
        <f>Calculations!G21</f>
        <v xml:space="preserve">Trough drawn: </v>
      </c>
      <c r="H25" s="78"/>
      <c r="I25" s="18"/>
      <c r="J25" s="5"/>
      <c r="K25" s="5"/>
      <c r="L25" s="5"/>
      <c r="M25" s="5"/>
    </row>
    <row r="26" spans="1:13" ht="15" customHeight="1" x14ac:dyDescent="0.25">
      <c r="A26" s="164" t="s">
        <v>41</v>
      </c>
      <c r="B26" s="165"/>
      <c r="C26" s="165"/>
      <c r="D26" s="165"/>
      <c r="E26" s="166"/>
      <c r="G26" s="74" t="s">
        <v>10</v>
      </c>
      <c r="H26" s="79"/>
      <c r="I26" s="7"/>
      <c r="J26" s="143" t="str">
        <f>IF(G21="Peak &amp; Trough Values","This is the information regarding the infusion that the peak and trough are drawn before/after","Need to calculate Vd (optional) - Assuming: 1) Patient was at steady state; and 2) This was the most recent infusion before C1 &amp; C2")</f>
        <v>This is the information regarding the infusion that the peak and trough are drawn before/after</v>
      </c>
      <c r="K26" s="143"/>
      <c r="L26" s="143"/>
      <c r="M26" s="144"/>
    </row>
    <row r="27" spans="1:13" x14ac:dyDescent="0.25">
      <c r="A27" s="167"/>
      <c r="B27" s="168"/>
      <c r="C27" s="168"/>
      <c r="D27" s="168"/>
      <c r="E27" s="169"/>
      <c r="G27" s="75" t="s">
        <v>64</v>
      </c>
      <c r="H27" s="80"/>
      <c r="I27" s="7"/>
      <c r="J27" s="145"/>
      <c r="K27" s="145"/>
      <c r="L27" s="145"/>
      <c r="M27" s="146"/>
    </row>
    <row r="28" spans="1:13" ht="15.75" customHeight="1" thickBot="1" x14ac:dyDescent="0.3">
      <c r="A28" s="161" t="s">
        <v>42</v>
      </c>
      <c r="B28" s="162"/>
      <c r="C28" s="162"/>
      <c r="D28" s="162"/>
      <c r="E28" s="163"/>
      <c r="G28" s="74" t="s">
        <v>48</v>
      </c>
      <c r="H28" s="78"/>
      <c r="I28" s="7"/>
      <c r="J28" s="145"/>
      <c r="K28" s="145"/>
      <c r="L28" s="145"/>
      <c r="M28" s="146"/>
    </row>
    <row r="29" spans="1:13" ht="15.75" thickBot="1" x14ac:dyDescent="0.3">
      <c r="A29" s="111"/>
      <c r="B29" s="111"/>
      <c r="D29" s="111"/>
      <c r="E29" s="111"/>
      <c r="G29" s="74" t="s">
        <v>49</v>
      </c>
      <c r="H29" s="78"/>
      <c r="I29" s="8"/>
      <c r="J29" s="147"/>
      <c r="K29" s="147"/>
      <c r="L29" s="147"/>
      <c r="M29" s="148"/>
    </row>
    <row r="30" spans="1:13" ht="16.5" thickBot="1" x14ac:dyDescent="0.3">
      <c r="A30" s="118" t="s">
        <v>63</v>
      </c>
      <c r="B30" s="119"/>
      <c r="C30" s="119"/>
      <c r="D30" s="119"/>
      <c r="E30" s="120"/>
      <c r="G30" s="73" t="s">
        <v>50</v>
      </c>
      <c r="H30" s="81" t="str">
        <f>Calculations!H26</f>
        <v/>
      </c>
    </row>
    <row r="31" spans="1:13" x14ac:dyDescent="0.25">
      <c r="A31" s="121" t="s">
        <v>43</v>
      </c>
      <c r="B31" s="122"/>
      <c r="C31" s="122"/>
      <c r="D31" s="122"/>
      <c r="E31" s="123"/>
      <c r="G31" s="72" t="s">
        <v>51</v>
      </c>
      <c r="H31" s="82" t="str">
        <f>Calculations!H27</f>
        <v/>
      </c>
    </row>
    <row r="32" spans="1:13" ht="15.75" customHeight="1" x14ac:dyDescent="0.25">
      <c r="A32" s="124"/>
      <c r="B32" s="125"/>
      <c r="C32" s="125"/>
      <c r="D32" s="125"/>
      <c r="E32" s="126"/>
      <c r="G32" s="72" t="s">
        <v>52</v>
      </c>
      <c r="H32" s="83" t="str">
        <f>IF(G21="C1 &amp; C2","--",Calculations!H28)</f>
        <v/>
      </c>
    </row>
    <row r="33" spans="1:8" x14ac:dyDescent="0.25">
      <c r="A33" s="124"/>
      <c r="B33" s="125"/>
      <c r="C33" s="125"/>
      <c r="D33" s="125"/>
      <c r="E33" s="126"/>
      <c r="G33" s="72" t="s">
        <v>53</v>
      </c>
      <c r="H33" s="83" t="str">
        <f>IF(G21="C1 &amp; C2","--",Calculations!H29)</f>
        <v/>
      </c>
    </row>
    <row r="34" spans="1:8" ht="15.75" thickBot="1" x14ac:dyDescent="0.3">
      <c r="A34" s="124"/>
      <c r="B34" s="125"/>
      <c r="C34" s="125"/>
      <c r="D34" s="125"/>
      <c r="E34" s="126"/>
      <c r="G34" s="76" t="s">
        <v>54</v>
      </c>
      <c r="H34" s="106" t="str">
        <f>Calculations!H30</f>
        <v/>
      </c>
    </row>
    <row r="35" spans="1:8" x14ac:dyDescent="0.25">
      <c r="A35" s="124"/>
      <c r="B35" s="125"/>
      <c r="C35" s="125"/>
      <c r="D35" s="125"/>
      <c r="E35" s="126"/>
      <c r="G35" s="159" t="s">
        <v>35</v>
      </c>
      <c r="H35" s="160"/>
    </row>
    <row r="36" spans="1:8" x14ac:dyDescent="0.25">
      <c r="A36" s="124"/>
      <c r="B36" s="125"/>
      <c r="C36" s="125"/>
      <c r="D36" s="125"/>
      <c r="E36" s="126"/>
      <c r="G36" s="10" t="s">
        <v>17</v>
      </c>
      <c r="H36" s="13"/>
    </row>
    <row r="37" spans="1:8" x14ac:dyDescent="0.25">
      <c r="A37" s="124"/>
      <c r="B37" s="125"/>
      <c r="C37" s="125"/>
      <c r="D37" s="125"/>
      <c r="E37" s="126"/>
      <c r="G37" s="10" t="s">
        <v>18</v>
      </c>
      <c r="H37" s="14"/>
    </row>
    <row r="38" spans="1:8" ht="15.75" thickBot="1" x14ac:dyDescent="0.3">
      <c r="A38" s="127"/>
      <c r="B38" s="128"/>
      <c r="C38" s="128"/>
      <c r="D38" s="128"/>
      <c r="E38" s="129"/>
      <c r="G38" s="15" t="s">
        <v>55</v>
      </c>
      <c r="H38" s="16"/>
    </row>
    <row r="39" spans="1:8" x14ac:dyDescent="0.25">
      <c r="G39" s="9" t="s">
        <v>54</v>
      </c>
      <c r="H39" s="62"/>
    </row>
    <row r="40" spans="1:8" x14ac:dyDescent="0.25">
      <c r="G40" s="9" t="s">
        <v>52</v>
      </c>
      <c r="H40" s="11" t="str">
        <f>Calculations!H36</f>
        <v/>
      </c>
    </row>
    <row r="41" spans="1:8" ht="15.75" thickBot="1" x14ac:dyDescent="0.3">
      <c r="G41" s="12" t="s">
        <v>53</v>
      </c>
      <c r="H41" s="17" t="str">
        <f>Calculations!H37</f>
        <v/>
      </c>
    </row>
  </sheetData>
  <mergeCells count="29">
    <mergeCell ref="J26:M29"/>
    <mergeCell ref="J21:M24"/>
    <mergeCell ref="G20:H20"/>
    <mergeCell ref="G35:H35"/>
    <mergeCell ref="D13:E13"/>
    <mergeCell ref="A25:E25"/>
    <mergeCell ref="A28:E28"/>
    <mergeCell ref="A26:E27"/>
    <mergeCell ref="D19:E19"/>
    <mergeCell ref="A30:E30"/>
    <mergeCell ref="A31:E38"/>
    <mergeCell ref="A5:D5"/>
    <mergeCell ref="E5:H5"/>
    <mergeCell ref="A7:H7"/>
    <mergeCell ref="G21:H21"/>
    <mergeCell ref="D10:E10"/>
    <mergeCell ref="G9:H9"/>
    <mergeCell ref="D9:E9"/>
    <mergeCell ref="A6:H6"/>
    <mergeCell ref="A8:H8"/>
    <mergeCell ref="A9:B9"/>
    <mergeCell ref="G10:H10"/>
    <mergeCell ref="A29:B29"/>
    <mergeCell ref="D29:E29"/>
    <mergeCell ref="D18:E18"/>
    <mergeCell ref="A1:H1"/>
    <mergeCell ref="A2:H2"/>
    <mergeCell ref="A4:H4"/>
    <mergeCell ref="A3:H3"/>
  </mergeCells>
  <dataValidations xWindow="421" yWindow="600" count="15">
    <dataValidation type="list" allowBlank="1" showInputMessage="1" showErrorMessage="1" sqref="B11">
      <formula1>"Male,Female"</formula1>
    </dataValidation>
    <dataValidation type="list" allowBlank="1" showInputMessage="1" showErrorMessage="1" sqref="E14">
      <formula1>"10-20 mg/L, 15-20 mg/L"</formula1>
    </dataValidation>
    <dataValidation type="list" allowBlank="1" showInputMessage="1" showErrorMessage="1" sqref="G21:H21">
      <formula1>"Peak &amp; Trough Values, C1 &amp; C2"</formula1>
    </dataValidation>
    <dataValidation allowBlank="1" showInputMessage="1" showErrorMessage="1" prompt="Enter as: YYYY-MM-DD HH:MM" sqref="H23 H25 H28:H29"/>
    <dataValidation type="decimal" allowBlank="1" showInputMessage="1" showErrorMessage="1" prompt="Height in cm" sqref="B12">
      <formula1>0</formula1>
      <formula2>250</formula2>
    </dataValidation>
    <dataValidation type="decimal" allowBlank="1" showInputMessage="1" showErrorMessage="1" prompt="Weight in kg" sqref="B13">
      <formula1>0</formula1>
      <formula2>1000</formula2>
    </dataValidation>
    <dataValidation type="decimal" allowBlank="1" showInputMessage="1" showErrorMessage="1" prompt="Dose in mg" sqref="H36 H26 E20">
      <formula1>0</formula1>
      <formula2>5000</formula2>
    </dataValidation>
    <dataValidation type="decimal" allowBlank="1" showInputMessage="1" showErrorMessage="1" prompt="Dose in mg/kg" sqref="E15 D12">
      <formula1>0</formula1>
      <formula2>50</formula2>
    </dataValidation>
    <dataValidation type="decimal" allowBlank="1" showInputMessage="1" showErrorMessage="1" prompt="Vd in L/kg" sqref="H15">
      <formula1>0</formula1>
      <formula2>5</formula2>
    </dataValidation>
    <dataValidation type="decimal" allowBlank="1" showInputMessage="1" showErrorMessage="1" prompt="Frequency in hours" sqref="H27 H37">
      <formula1>0</formula1>
      <formula2>200</formula2>
    </dataValidation>
    <dataValidation type="decimal" allowBlank="1" showInputMessage="1" showErrorMessage="1" prompt="Age in years" sqref="B10">
      <formula1>0</formula1>
      <formula2>150</formula2>
    </dataValidation>
    <dataValidation type="decimal" allowBlank="1" showInputMessage="1" showErrorMessage="1" prompt="SCr in μmol/L" sqref="B15">
      <formula1>0</formula1>
      <formula2>5000</formula2>
    </dataValidation>
    <dataValidation type="decimal" allowBlank="1" showInputMessage="1" showErrorMessage="1" prompt="Level in mg/L" sqref="H13:H14 H22 H24 E21:E22">
      <formula1>0</formula1>
      <formula2>150</formula2>
    </dataValidation>
    <dataValidation type="decimal" allowBlank="1" showInputMessage="1" showErrorMessage="1" prompt="ke in h⁻¹" sqref="H38">
      <formula1>0</formula1>
      <formula2>5</formula2>
    </dataValidation>
    <dataValidation type="decimal" allowBlank="1" showInputMessage="1" showErrorMessage="1" prompt="Vd in L" sqref="H39">
      <formula1>0</formula1>
      <formula2>500</formula2>
    </dataValidation>
  </dataValidations>
  <pageMargins left="0.25" right="0.25"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workbookViewId="0">
      <selection activeCell="H16" sqref="H16"/>
    </sheetView>
  </sheetViews>
  <sheetFormatPr defaultRowHeight="15" x14ac:dyDescent="0.25"/>
  <cols>
    <col min="1" max="1" width="14.7109375" style="2" bestFit="1" customWidth="1"/>
    <col min="2" max="2" width="12.28515625" style="2" bestFit="1" customWidth="1"/>
    <col min="3" max="3" width="4.7109375" style="2" customWidth="1"/>
    <col min="4" max="4" width="15" style="2" bestFit="1" customWidth="1"/>
    <col min="5" max="5" width="12.140625" style="2" bestFit="1" customWidth="1"/>
    <col min="6" max="6" width="4.7109375" style="2" customWidth="1"/>
    <col min="7" max="7" width="14.42578125" style="2" bestFit="1" customWidth="1"/>
    <col min="8" max="8" width="15.5703125" style="2" bestFit="1" customWidth="1"/>
    <col min="9" max="16384" width="9.140625" style="2"/>
  </cols>
  <sheetData>
    <row r="1" spans="1:8" ht="16.5" thickBot="1" x14ac:dyDescent="0.3">
      <c r="A1" s="172" t="s">
        <v>23</v>
      </c>
      <c r="B1" s="173"/>
      <c r="D1" s="174" t="s">
        <v>24</v>
      </c>
      <c r="E1" s="175"/>
      <c r="G1" s="176" t="s">
        <v>25</v>
      </c>
      <c r="H1" s="177"/>
    </row>
    <row r="2" spans="1:8" x14ac:dyDescent="0.25">
      <c r="A2" s="19" t="s">
        <v>1</v>
      </c>
      <c r="B2" s="20" t="str">
        <f>IF('Patient Information'!B10="","",'Patient Information'!B10)</f>
        <v/>
      </c>
      <c r="D2" s="170" t="s">
        <v>32</v>
      </c>
      <c r="E2" s="171"/>
      <c r="F2" s="1"/>
      <c r="G2" s="170" t="s">
        <v>34</v>
      </c>
      <c r="H2" s="171"/>
    </row>
    <row r="3" spans="1:8" x14ac:dyDescent="0.25">
      <c r="A3" s="21" t="s">
        <v>2</v>
      </c>
      <c r="B3" s="22" t="str">
        <f>IF('Patient Information'!B11="","",'Patient Information'!B11)</f>
        <v>Male</v>
      </c>
      <c r="D3" s="98" t="s">
        <v>9</v>
      </c>
      <c r="E3" s="99" t="s">
        <v>17</v>
      </c>
      <c r="G3" s="19" t="s">
        <v>37</v>
      </c>
      <c r="H3" s="36" t="str">
        <f>IF(B10="","",(0.00083*B10)+0.0044)</f>
        <v/>
      </c>
    </row>
    <row r="4" spans="1:8" ht="15.75" thickBot="1" x14ac:dyDescent="0.3">
      <c r="A4" s="21" t="s">
        <v>3</v>
      </c>
      <c r="B4" s="23" t="str">
        <f>IF('Patient Information'!B12="","",'Patient Information'!B12)</f>
        <v/>
      </c>
      <c r="D4" s="100">
        <f>'Patient Information'!D12</f>
        <v>25</v>
      </c>
      <c r="E4" s="101" t="str">
        <f>IF(B5="","",IF(D4="","",$B$5*D4))</f>
        <v/>
      </c>
      <c r="G4" s="21" t="s">
        <v>26</v>
      </c>
      <c r="H4" s="37" t="str">
        <f>IF(H3="","",0.693/H3)</f>
        <v/>
      </c>
    </row>
    <row r="5" spans="1:8" x14ac:dyDescent="0.25">
      <c r="A5" s="21" t="s">
        <v>4</v>
      </c>
      <c r="B5" s="24" t="str">
        <f>IF('Patient Information'!B13="","",'Patient Information'!B13)</f>
        <v/>
      </c>
      <c r="D5" s="170" t="s">
        <v>33</v>
      </c>
      <c r="E5" s="171"/>
      <c r="G5" s="21" t="s">
        <v>27</v>
      </c>
      <c r="H5" s="38" t="str">
        <f>IF('Patient Information'!H13="","",'Patient Information'!H13)</f>
        <v/>
      </c>
    </row>
    <row r="6" spans="1:8" x14ac:dyDescent="0.25">
      <c r="A6" s="21" t="s">
        <v>6</v>
      </c>
      <c r="B6" s="25" t="str">
        <f>IF(B4="","",IF(B3="Male",50+(0.92*(B4-150)),45.5+(0.92*(B4-150))))</f>
        <v/>
      </c>
      <c r="D6" s="19" t="s">
        <v>12</v>
      </c>
      <c r="E6" s="31" t="str">
        <f>IF('Patient Information'!E14="","",'Patient Information'!E14)</f>
        <v>10-20 mg/L</v>
      </c>
      <c r="G6" s="21" t="s">
        <v>28</v>
      </c>
      <c r="H6" s="38" t="str">
        <f>IF('Patient Information'!H14="","",'Patient Information'!H14)</f>
        <v/>
      </c>
    </row>
    <row r="7" spans="1:8" x14ac:dyDescent="0.25">
      <c r="A7" s="21" t="s">
        <v>5</v>
      </c>
      <c r="B7" s="25" t="str">
        <f>IF(B5="","",IF(B6="","",((B5-B6)*0.4)+B6))</f>
        <v/>
      </c>
      <c r="D7" s="32" t="s">
        <v>11</v>
      </c>
      <c r="E7" s="57">
        <f>IF('Patient Information'!E15="","",'Patient Information'!E15)</f>
        <v>15</v>
      </c>
      <c r="G7" s="21" t="s">
        <v>47</v>
      </c>
      <c r="H7" s="39" t="str">
        <f>IF('Patient Information'!H15="","",'Patient Information'!H15)</f>
        <v/>
      </c>
    </row>
    <row r="8" spans="1:8" x14ac:dyDescent="0.25">
      <c r="A8" s="26" t="str">
        <f>IF(B5="","CrCl Wt: ",IF(B6="","CrCl Wt: ",IF(B5&lt;B6,"CrCl Wt (ABW): ",IF(B5&gt;(B6*1.2),"CrCl Wt (DW): ","CrCl Wt (IBW): "))))</f>
        <v xml:space="preserve">CrCl Wt: </v>
      </c>
      <c r="B8" s="27" t="str">
        <f>IF(B5="","",IF(B6="","",IF(B5&lt;B6,B5,IF(B5&gt;(B6*1.2),B7,B6))))</f>
        <v/>
      </c>
      <c r="D8" s="33" t="s">
        <v>10</v>
      </c>
      <c r="E8" s="34" t="str">
        <f>IF(B5="","",IF(E7="","",E7*B5))</f>
        <v/>
      </c>
      <c r="G8" s="21" t="s">
        <v>47</v>
      </c>
      <c r="H8" s="59" t="str">
        <f>IF(H7="","",IF(B8="","",H7*B8))</f>
        <v/>
      </c>
    </row>
    <row r="9" spans="1:8" x14ac:dyDescent="0.25">
      <c r="A9" s="21" t="s">
        <v>8</v>
      </c>
      <c r="B9" s="28" t="str">
        <f>IF('Patient Information'!B15="","",'Patient Information'!B15)</f>
        <v/>
      </c>
      <c r="D9" s="35" t="s">
        <v>14</v>
      </c>
      <c r="E9" s="34" t="str">
        <f>IF(E8="","",IF(E8&gt;2000,2000,E8))</f>
        <v/>
      </c>
      <c r="G9" s="21" t="s">
        <v>16</v>
      </c>
      <c r="H9" s="40" t="str">
        <f>IF(H5="","",IF(H6="","",IF(H7="","",H7*(H5-H6))))</f>
        <v/>
      </c>
    </row>
    <row r="10" spans="1:8" ht="15.75" thickBot="1" x14ac:dyDescent="0.3">
      <c r="A10" s="29" t="s">
        <v>7</v>
      </c>
      <c r="B10" s="30" t="str">
        <f>IF(B2="","",IF(B3="","",IF(B8="","",IF(B9="","",IF(B3="Female",((140-B2)*B8)/B9,(((140-B2)*B8)/B9)*1.2)))))</f>
        <v/>
      </c>
      <c r="D10" s="29" t="s">
        <v>64</v>
      </c>
      <c r="E10" s="58" t="str">
        <f>IF(E6="","",IF(B10="","",IF(E6="10-20 mg/L",IF(B10&gt;=80,"Q12H",IF(B10&gt;=40,"Q24H",IF(B10&gt;=20,"Q36H",IF(B10&gt;=10,"Q48H","--")))),IF(E6="15-20 mg/L",IF(B10&gt;=80,"Q8H",IF(B10&gt;=40,"Q12H",IF(B10&gt;=20,"Q24H",IF(B10&gt;=10,"Q48H","--")))),""))))</f>
        <v/>
      </c>
      <c r="G10" s="21" t="s">
        <v>15</v>
      </c>
      <c r="H10" s="34" t="str">
        <f>IF(B5="","",IF(H9="","",H9*B5))</f>
        <v/>
      </c>
    </row>
    <row r="11" spans="1:8" ht="15.75" thickBot="1" x14ac:dyDescent="0.3">
      <c r="D11" s="102"/>
      <c r="E11" s="102"/>
      <c r="G11" s="29" t="s">
        <v>65</v>
      </c>
      <c r="H11" s="58" t="str">
        <f>IF(H4="","",H4*2)</f>
        <v/>
      </c>
    </row>
    <row r="12" spans="1:8" ht="16.5" thickBot="1" x14ac:dyDescent="0.3">
      <c r="D12" s="115" t="s">
        <v>56</v>
      </c>
      <c r="E12" s="117"/>
      <c r="G12" s="170" t="s">
        <v>36</v>
      </c>
      <c r="H12" s="171"/>
    </row>
    <row r="13" spans="1:8" x14ac:dyDescent="0.25">
      <c r="D13" s="49" t="s">
        <v>57</v>
      </c>
      <c r="E13" s="103" t="str">
        <f>IF('Patient Information'!E20="","",'Patient Information'!E20)</f>
        <v/>
      </c>
      <c r="G13" s="178" t="str">
        <f>'Patient Information'!G21</f>
        <v>Peak &amp; Trough Values</v>
      </c>
      <c r="H13" s="179"/>
    </row>
    <row r="14" spans="1:8" x14ac:dyDescent="0.25">
      <c r="D14" s="88" t="s">
        <v>58</v>
      </c>
      <c r="E14" s="104" t="str">
        <f>IF('Patient Information'!E21="","",'Patient Information'!E21)</f>
        <v/>
      </c>
      <c r="G14" s="21" t="s">
        <v>10</v>
      </c>
      <c r="H14" s="41" t="str">
        <f>IF('Patient Information'!H26="","",'Patient Information'!H26)</f>
        <v/>
      </c>
    </row>
    <row r="15" spans="1:8" x14ac:dyDescent="0.25">
      <c r="D15" s="54" t="s">
        <v>12</v>
      </c>
      <c r="E15" s="104" t="str">
        <f>IF('Patient Information'!E22="","",'Patient Information'!E22)</f>
        <v/>
      </c>
      <c r="G15" s="42" t="s">
        <v>64</v>
      </c>
      <c r="H15" s="43" t="str">
        <f>IF('Patient Information'!H27="","",'Patient Information'!H27)</f>
        <v/>
      </c>
    </row>
    <row r="16" spans="1:8" ht="15.75" thickBot="1" x14ac:dyDescent="0.3">
      <c r="D16" s="55" t="s">
        <v>59</v>
      </c>
      <c r="E16" s="105" t="str">
        <f>IF(E13="","",IF(E14="","",IF(E15="","",E13*E15/E14)))</f>
        <v/>
      </c>
      <c r="G16" s="21" t="s">
        <v>48</v>
      </c>
      <c r="H16" s="44" t="str">
        <f>IF('Patient Information'!H28="","",'Patient Information'!H28)</f>
        <v/>
      </c>
    </row>
    <row r="17" spans="4:8" x14ac:dyDescent="0.25">
      <c r="G17" s="21" t="s">
        <v>49</v>
      </c>
      <c r="H17" s="44" t="str">
        <f>IF('Patient Information'!H29="","",'Patient Information'!H29)</f>
        <v/>
      </c>
    </row>
    <row r="18" spans="4:8" x14ac:dyDescent="0.25">
      <c r="G18" s="21" t="str">
        <f>IF(G13="","",IF(G13="Peak &amp; Trough Values","Peak drawn: ","C1 drawn: "))</f>
        <v xml:space="preserve">Peak drawn: </v>
      </c>
      <c r="H18" s="44" t="str">
        <f>IF('Patient Information'!H23="","",'Patient Information'!H23)</f>
        <v/>
      </c>
    </row>
    <row r="19" spans="4:8" x14ac:dyDescent="0.25">
      <c r="G19" s="21" t="str">
        <f>IF(G13="","",IF(G13="Peak &amp; Trough Values","Peak =","C1 ="))</f>
        <v>Peak =</v>
      </c>
      <c r="H19" s="38" t="str">
        <f>IF('Patient Information'!H22="","",'Patient Information'!H22)</f>
        <v/>
      </c>
    </row>
    <row r="20" spans="4:8" x14ac:dyDescent="0.25">
      <c r="G20" s="21" t="s">
        <v>21</v>
      </c>
      <c r="H20" s="45" t="str">
        <f>IF(H17="","",IF(H18="","",(H18-H17)*24))</f>
        <v/>
      </c>
    </row>
    <row r="21" spans="4:8" x14ac:dyDescent="0.25">
      <c r="G21" s="21" t="str">
        <f>IF(G13="","",IF(G13="Peak &amp; Trough Values","Trough drawn: ","C2 drawn: "))</f>
        <v xml:space="preserve">Trough drawn: </v>
      </c>
      <c r="H21" s="44" t="str">
        <f>IF('Patient Information'!H25="","",'Patient Information'!H25)</f>
        <v/>
      </c>
    </row>
    <row r="22" spans="4:8" x14ac:dyDescent="0.25">
      <c r="G22" s="21" t="str">
        <f>IF(G13="","",IF(G13="Peak &amp; Trough Values","Trough =","C2 ="))</f>
        <v>Trough =</v>
      </c>
      <c r="H22" s="38" t="str">
        <f>IF('Patient Information'!H24="","",'Patient Information'!H24)</f>
        <v/>
      </c>
    </row>
    <row r="23" spans="4:8" x14ac:dyDescent="0.25">
      <c r="D23" s="3"/>
      <c r="E23" s="3"/>
      <c r="G23" s="21" t="s">
        <v>22</v>
      </c>
      <c r="H23" s="37" t="str">
        <f>IF(H16="","",IF(H21="","",(H16-H21)*24))</f>
        <v/>
      </c>
    </row>
    <row r="24" spans="4:8" x14ac:dyDescent="0.25">
      <c r="D24" s="3"/>
      <c r="E24" s="3"/>
      <c r="G24" s="42" t="s">
        <v>20</v>
      </c>
      <c r="H24" s="37" t="str">
        <f>IF(G13="","",IF(H18="","",IF(H21="","",IF(G13="Peak &amp; Trough Values",(H18-H21)*24,(H21-H18)*24))))</f>
        <v/>
      </c>
    </row>
    <row r="25" spans="4:8" x14ac:dyDescent="0.25">
      <c r="D25" s="3"/>
      <c r="E25" s="3"/>
      <c r="G25" s="42" t="s">
        <v>19</v>
      </c>
      <c r="H25" s="37" t="str">
        <f>IF(G13="","",IF(H24="","",IF(G13="Peak &amp; Trough Values",IF(H15="","",H15-H24),H24)))</f>
        <v/>
      </c>
    </row>
    <row r="26" spans="4:8" x14ac:dyDescent="0.25">
      <c r="D26" s="3"/>
      <c r="E26" s="3"/>
      <c r="G26" s="42" t="s">
        <v>30</v>
      </c>
      <c r="H26" s="46" t="str">
        <f>IF(H19="","",IF(H22="","",IF(H25="","",LN(H19/H22)/H25)))</f>
        <v/>
      </c>
    </row>
    <row r="27" spans="4:8" x14ac:dyDescent="0.25">
      <c r="G27" s="21" t="s">
        <v>31</v>
      </c>
      <c r="H27" s="37" t="str">
        <f>IF(H26="","",0.693/H26)</f>
        <v/>
      </c>
    </row>
    <row r="28" spans="4:8" x14ac:dyDescent="0.25">
      <c r="G28" s="21" t="s">
        <v>27</v>
      </c>
      <c r="H28" s="47" t="str">
        <f>IF(H19="","",IF(H20="","",IF(H26="","",H19/(EXP(-H26*H20)))))</f>
        <v/>
      </c>
    </row>
    <row r="29" spans="4:8" x14ac:dyDescent="0.25">
      <c r="G29" s="21" t="s">
        <v>28</v>
      </c>
      <c r="H29" s="47" t="str">
        <f>IF(G13="","",IF(G13="C1 &amp; C2",IF(H19="","",H19),IF(H22="","",IF(H23="","",IF(H26="","",H22*(EXP(-H26*H23)))))))</f>
        <v/>
      </c>
    </row>
    <row r="30" spans="4:8" ht="15.75" thickBot="1" x14ac:dyDescent="0.3">
      <c r="G30" s="29" t="s">
        <v>29</v>
      </c>
      <c r="H30" s="60" t="str">
        <f>IF(H14="","",IF(H28="","",IF(H29="","",H14/(H28-H29))))</f>
        <v/>
      </c>
    </row>
    <row r="31" spans="4:8" x14ac:dyDescent="0.25">
      <c r="G31" s="170" t="s">
        <v>35</v>
      </c>
      <c r="H31" s="171"/>
    </row>
    <row r="32" spans="4:8" x14ac:dyDescent="0.25">
      <c r="G32" s="42" t="s">
        <v>17</v>
      </c>
      <c r="H32" s="41" t="str">
        <f>IF('Patient Information'!H36="","",'Patient Information'!H36)</f>
        <v/>
      </c>
    </row>
    <row r="33" spans="7:8" x14ac:dyDescent="0.25">
      <c r="G33" s="42" t="s">
        <v>18</v>
      </c>
      <c r="H33" s="43" t="str">
        <f>IF('Patient Information'!H37="","",'Patient Information'!H37)</f>
        <v/>
      </c>
    </row>
    <row r="34" spans="7:8" x14ac:dyDescent="0.25">
      <c r="G34" s="48" t="s">
        <v>46</v>
      </c>
      <c r="H34" s="64" t="str">
        <f>IF('Patient Information'!H38="","",'Patient Information'!H38)</f>
        <v/>
      </c>
    </row>
    <row r="35" spans="7:8" x14ac:dyDescent="0.25">
      <c r="G35" s="49" t="s">
        <v>29</v>
      </c>
      <c r="H35" s="61" t="str">
        <f>IF('Patient Information'!H39="","",'Patient Information'!H39)</f>
        <v/>
      </c>
    </row>
    <row r="36" spans="7:8" x14ac:dyDescent="0.25">
      <c r="G36" s="21" t="s">
        <v>27</v>
      </c>
      <c r="H36" s="47" t="str">
        <f>IF(H32="","",IF(H33="","",IF(H34="","",IF(H35="","",IF(H33="","",(H32/(H35*(1-EXP(-H34*H33)))))))))</f>
        <v/>
      </c>
    </row>
    <row r="37" spans="7:8" ht="15.75" thickBot="1" x14ac:dyDescent="0.3">
      <c r="G37" s="29" t="s">
        <v>28</v>
      </c>
      <c r="H37" s="50" t="str">
        <f>IF(H33="","",IF(H34="","",IF(H36="","",H36*EXP(-H34*H33))))</f>
        <v/>
      </c>
    </row>
  </sheetData>
  <dataConsolidate/>
  <mergeCells count="10">
    <mergeCell ref="G31:H31"/>
    <mergeCell ref="G12:H12"/>
    <mergeCell ref="D2:E2"/>
    <mergeCell ref="D12:E12"/>
    <mergeCell ref="A1:B1"/>
    <mergeCell ref="D1:E1"/>
    <mergeCell ref="G1:H1"/>
    <mergeCell ref="G13:H13"/>
    <mergeCell ref="D5:E5"/>
    <mergeCell ref="G2:H2"/>
  </mergeCells>
  <dataValidations disablePrompts="1" count="2">
    <dataValidation type="decimal" allowBlank="1" showInputMessage="1" showErrorMessage="1" prompt="Level in mg/L" sqref="E14:E15">
      <formula1>0</formula1>
      <formula2>150</formula2>
    </dataValidation>
    <dataValidation type="decimal" allowBlank="1" showInputMessage="1" showErrorMessage="1" prompt="Dose in mg" sqref="E13">
      <formula1>0</formula1>
      <formula2>5000</formula2>
    </dataValidation>
  </dataValidations>
  <pageMargins left="0.25" right="0.25"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Patient Information</vt:lpstr>
      <vt:lpstr>Calculations</vt:lpstr>
      <vt:lpstr>'Patient Information'!Print_Area</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 Torrance</dc:creator>
  <cp:lastModifiedBy>Joshua R Torrance</cp:lastModifiedBy>
  <cp:lastPrinted>2014-10-07T03:40:31Z</cp:lastPrinted>
  <dcterms:created xsi:type="dcterms:W3CDTF">2014-10-05T03:06:34Z</dcterms:created>
  <dcterms:modified xsi:type="dcterms:W3CDTF">2015-08-10T05:49:41Z</dcterms:modified>
</cp:coreProperties>
</file>