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fsu-my.sharepoint.com/personal/mstukel_fsu_edu/Documents/GoM Nitrogen &amp; Trophic - NOAA RESTORE/Nutrient Uptake Eq Manuscript/Manuscript/Draft 3/"/>
    </mc:Choice>
  </mc:AlternateContent>
  <bookViews>
    <workbookView xWindow="0" yWindow="0" windowWidth="13155" windowHeight="5640"/>
  </bookViews>
  <sheets>
    <sheet name="N Uptake" sheetId="1" r:id="rId1"/>
    <sheet name="hidde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C22" i="1"/>
  <c r="F132" i="2" l="1"/>
  <c r="B95" i="2" l="1"/>
  <c r="B9" i="2" l="1"/>
  <c r="C5" i="2" l="1"/>
  <c r="H107" i="2" s="1"/>
  <c r="C6" i="2"/>
  <c r="H108" i="2" s="1"/>
  <c r="C7" i="2"/>
  <c r="H109" i="2" s="1"/>
  <c r="C4" i="2"/>
  <c r="H106" i="2" s="1"/>
  <c r="C11" i="2"/>
  <c r="B11" i="2"/>
  <c r="B12" i="2" s="1"/>
  <c r="F65" i="2" l="1"/>
  <c r="F85" i="2" s="1"/>
  <c r="F130" i="2" s="1"/>
  <c r="B5" i="2"/>
  <c r="B6" i="2"/>
  <c r="B7" i="2"/>
  <c r="B2" i="2"/>
  <c r="C3" i="2"/>
  <c r="H105" i="2" s="1"/>
  <c r="C8" i="2"/>
  <c r="H110" i="2" s="1"/>
  <c r="C9" i="2"/>
  <c r="H111" i="2" s="1"/>
  <c r="C10" i="2"/>
  <c r="H112" i="2" s="1"/>
  <c r="C2" i="2"/>
  <c r="H104" i="2" s="1"/>
  <c r="H10" i="2" l="1"/>
  <c r="B10" i="2" s="1"/>
  <c r="F34" i="2"/>
  <c r="B4" i="2" l="1"/>
  <c r="E2" i="2"/>
  <c r="E3" i="2"/>
  <c r="E8" i="2"/>
  <c r="E9" i="2"/>
  <c r="B3" i="2"/>
  <c r="B8" i="2"/>
  <c r="B96" i="2" l="1"/>
  <c r="E112" i="2" s="1"/>
  <c r="B105" i="2"/>
  <c r="E111" i="2"/>
  <c r="E110" i="2"/>
  <c r="D66" i="2"/>
  <c r="D86" i="2" s="1"/>
  <c r="D131" i="2" s="1"/>
  <c r="F67" i="2"/>
  <c r="F88" i="2" s="1"/>
  <c r="F133" i="2" s="1"/>
  <c r="B55" i="2"/>
  <c r="F66" i="2"/>
  <c r="F86" i="2" s="1"/>
  <c r="F131" i="2" s="1"/>
  <c r="D65" i="2"/>
  <c r="D85" i="2" s="1"/>
  <c r="D130" i="2" s="1"/>
  <c r="B15" i="2"/>
  <c r="B54" i="2"/>
  <c r="E105" i="2" l="1"/>
  <c r="B110" i="2"/>
  <c r="C110" i="2"/>
  <c r="B100" i="2"/>
  <c r="C111" i="2"/>
  <c r="B111" i="2"/>
  <c r="B16" i="2"/>
  <c r="C17" i="1" s="1"/>
  <c r="B97" i="2"/>
  <c r="C107" i="2" s="1"/>
  <c r="C87" i="2"/>
  <c r="B75" i="2"/>
  <c r="B120" i="2" s="1"/>
  <c r="C83" i="2"/>
  <c r="C80" i="2"/>
  <c r="C88" i="2"/>
  <c r="C85" i="2"/>
  <c r="C82" i="2"/>
  <c r="C86" i="2"/>
  <c r="C79" i="2"/>
  <c r="C84" i="2"/>
  <c r="C81" i="2"/>
  <c r="B74" i="2"/>
  <c r="B119" i="2" s="1"/>
  <c r="C60" i="2"/>
  <c r="C59" i="2"/>
  <c r="C61" i="2"/>
  <c r="C62" i="2"/>
  <c r="C63" i="2"/>
  <c r="C65" i="2"/>
  <c r="C66" i="2"/>
  <c r="C64" i="2"/>
  <c r="C67" i="2"/>
  <c r="C129" i="2" l="1"/>
  <c r="C131" i="2"/>
  <c r="C133" i="2"/>
  <c r="C130" i="2"/>
  <c r="C125" i="2"/>
  <c r="C124" i="2"/>
  <c r="C132" i="2"/>
  <c r="C128" i="2"/>
  <c r="C126" i="2"/>
  <c r="C127" i="2"/>
  <c r="D111" i="2"/>
  <c r="C105" i="2"/>
  <c r="D105" i="2" s="1"/>
  <c r="B107" i="2"/>
  <c r="D107" i="2" s="1"/>
  <c r="B112" i="2"/>
  <c r="C112" i="2"/>
  <c r="D110" i="2"/>
  <c r="B109" i="2"/>
  <c r="C108" i="2"/>
  <c r="C109" i="2"/>
  <c r="B108" i="2"/>
  <c r="C106" i="2"/>
  <c r="D106" i="2" s="1"/>
  <c r="G59" i="2"/>
  <c r="B22" i="2"/>
  <c r="C22" i="2" s="1"/>
  <c r="G61" i="2"/>
  <c r="B21" i="2"/>
  <c r="C21" i="2" s="1"/>
  <c r="B23" i="2"/>
  <c r="B64" i="2" s="1"/>
  <c r="E62" i="2"/>
  <c r="E63" i="2"/>
  <c r="G62" i="2"/>
  <c r="B20" i="2"/>
  <c r="B42" i="2" s="1"/>
  <c r="E67" i="2"/>
  <c r="E61" i="2"/>
  <c r="G67" i="2"/>
  <c r="B98" i="2"/>
  <c r="B99" i="2"/>
  <c r="E59" i="2"/>
  <c r="G65" i="2"/>
  <c r="B19" i="2"/>
  <c r="B41" i="2" s="1"/>
  <c r="E60" i="2"/>
  <c r="B24" i="2"/>
  <c r="B65" i="2" s="1"/>
  <c r="E66" i="2"/>
  <c r="G66" i="2"/>
  <c r="G64" i="2"/>
  <c r="B25" i="2"/>
  <c r="C25" i="2" s="1"/>
  <c r="B31" i="2"/>
  <c r="B39" i="2" s="1"/>
  <c r="E65" i="2"/>
  <c r="B18" i="2"/>
  <c r="C18" i="2" s="1"/>
  <c r="B56" i="2"/>
  <c r="C20" i="1" s="1"/>
  <c r="E64" i="2"/>
  <c r="G60" i="2"/>
  <c r="G63" i="2"/>
  <c r="D109" i="2" l="1"/>
  <c r="F41" i="2"/>
  <c r="D112" i="2"/>
  <c r="B45" i="2"/>
  <c r="F45" i="2" s="1"/>
  <c r="D108" i="2"/>
  <c r="B44" i="2"/>
  <c r="F44" i="2" s="1"/>
  <c r="B62" i="2"/>
  <c r="H62" i="2" s="1"/>
  <c r="I62" i="2" s="1"/>
  <c r="C23" i="2"/>
  <c r="B63" i="2"/>
  <c r="H63" i="2" s="1"/>
  <c r="I63" i="2" s="1"/>
  <c r="C19" i="2"/>
  <c r="D41" i="2"/>
  <c r="B61" i="2"/>
  <c r="H61" i="2" s="1"/>
  <c r="I61" i="2" s="1"/>
  <c r="C39" i="2"/>
  <c r="H39" i="2" s="1"/>
  <c r="C20" i="2"/>
  <c r="E34" i="2"/>
  <c r="B43" i="2"/>
  <c r="D43" i="2" s="1"/>
  <c r="H67" i="2"/>
  <c r="I67" i="2" s="1"/>
  <c r="B47" i="2"/>
  <c r="D47" i="2" s="1"/>
  <c r="F106" i="2"/>
  <c r="G106" i="2" s="1"/>
  <c r="F108" i="2"/>
  <c r="F111" i="2"/>
  <c r="G111" i="2" s="1"/>
  <c r="F105" i="2"/>
  <c r="G105" i="2" s="1"/>
  <c r="F107" i="2"/>
  <c r="G107" i="2" s="1"/>
  <c r="F109" i="2"/>
  <c r="F112" i="2"/>
  <c r="F110" i="2"/>
  <c r="G110" i="2" s="1"/>
  <c r="B101" i="2"/>
  <c r="B59" i="2"/>
  <c r="H59" i="2" s="1"/>
  <c r="I59" i="2" s="1"/>
  <c r="F42" i="2"/>
  <c r="B46" i="2"/>
  <c r="B66" i="2"/>
  <c r="H66" i="2" s="1"/>
  <c r="I66" i="2" s="1"/>
  <c r="H64" i="2"/>
  <c r="I64" i="2" s="1"/>
  <c r="D42" i="2"/>
  <c r="B32" i="2"/>
  <c r="G44" i="2" s="1"/>
  <c r="B48" i="2"/>
  <c r="D48" i="2" s="1"/>
  <c r="B33" i="2"/>
  <c r="E41" i="2" s="1"/>
  <c r="B60" i="2"/>
  <c r="H60" i="2" s="1"/>
  <c r="I60" i="2" s="1"/>
  <c r="H65" i="2"/>
  <c r="I65" i="2" s="1"/>
  <c r="C24" i="2"/>
  <c r="I105" i="2" l="1"/>
  <c r="B125" i="2"/>
  <c r="I111" i="2"/>
  <c r="B131" i="2"/>
  <c r="C19" i="1"/>
  <c r="B121" i="2"/>
  <c r="G131" i="2"/>
  <c r="G127" i="2"/>
  <c r="E124" i="2"/>
  <c r="G128" i="2"/>
  <c r="E128" i="2"/>
  <c r="G125" i="2"/>
  <c r="E129" i="2"/>
  <c r="G129" i="2"/>
  <c r="E131" i="2"/>
  <c r="E126" i="2"/>
  <c r="G130" i="2"/>
  <c r="E125" i="2"/>
  <c r="E130" i="2"/>
  <c r="G133" i="2"/>
  <c r="G132" i="2"/>
  <c r="G126" i="2"/>
  <c r="E133" i="2"/>
  <c r="H133" i="2" s="1"/>
  <c r="I133" i="2" s="1"/>
  <c r="E132" i="2"/>
  <c r="G124" i="2"/>
  <c r="E127" i="2"/>
  <c r="I106" i="2"/>
  <c r="B126" i="2"/>
  <c r="I110" i="2"/>
  <c r="B130" i="2"/>
  <c r="H130" i="2" s="1"/>
  <c r="I130" i="2" s="1"/>
  <c r="I107" i="2"/>
  <c r="B127" i="2"/>
  <c r="D44" i="2"/>
  <c r="D45" i="2"/>
  <c r="G104" i="2"/>
  <c r="F48" i="2"/>
  <c r="G109" i="2"/>
  <c r="G41" i="2"/>
  <c r="C46" i="2"/>
  <c r="G48" i="2"/>
  <c r="F47" i="2"/>
  <c r="G47" i="2"/>
  <c r="G108" i="2"/>
  <c r="F43" i="2"/>
  <c r="F24" i="2"/>
  <c r="G43" i="2"/>
  <c r="E48" i="2"/>
  <c r="I68" i="2"/>
  <c r="I69" i="2" s="1"/>
  <c r="C45" i="2"/>
  <c r="C41" i="2"/>
  <c r="F18" i="2"/>
  <c r="F25" i="2"/>
  <c r="G112" i="2"/>
  <c r="C26" i="2"/>
  <c r="E20" i="2" s="1"/>
  <c r="E26" i="2"/>
  <c r="E27" i="2" s="1"/>
  <c r="F19" i="2"/>
  <c r="F22" i="2"/>
  <c r="F20" i="2"/>
  <c r="F21" i="2"/>
  <c r="F23" i="2"/>
  <c r="C44" i="2"/>
  <c r="C47" i="2"/>
  <c r="C48" i="2"/>
  <c r="E46" i="2"/>
  <c r="G45" i="2"/>
  <c r="C43" i="2"/>
  <c r="E44" i="2"/>
  <c r="E47" i="2"/>
  <c r="C34" i="2"/>
  <c r="B35" i="2" s="1"/>
  <c r="E43" i="2"/>
  <c r="G42" i="2"/>
  <c r="C42" i="2"/>
  <c r="G46" i="2"/>
  <c r="E45" i="2"/>
  <c r="E42" i="2"/>
  <c r="I39" i="2"/>
  <c r="B87" i="2"/>
  <c r="I112" i="2" l="1"/>
  <c r="B132" i="2"/>
  <c r="H132" i="2" s="1"/>
  <c r="I132" i="2" s="1"/>
  <c r="I109" i="2"/>
  <c r="B129" i="2"/>
  <c r="H129" i="2" s="1"/>
  <c r="I129" i="2" s="1"/>
  <c r="H126" i="2"/>
  <c r="I126" i="2" s="1"/>
  <c r="H131" i="2"/>
  <c r="I131" i="2" s="1"/>
  <c r="I108" i="2"/>
  <c r="B128" i="2"/>
  <c r="H128" i="2" s="1"/>
  <c r="I128" i="2" s="1"/>
  <c r="I104" i="2"/>
  <c r="I113" i="2" s="1"/>
  <c r="I114" i="2" s="1"/>
  <c r="B124" i="2"/>
  <c r="H124" i="2" s="1"/>
  <c r="I124" i="2" s="1"/>
  <c r="H125" i="2"/>
  <c r="I125" i="2" s="1"/>
  <c r="H127" i="2"/>
  <c r="I127" i="2" s="1"/>
  <c r="I70" i="2"/>
  <c r="D20" i="1"/>
  <c r="H48" i="2"/>
  <c r="B86" i="2" s="1"/>
  <c r="E19" i="2"/>
  <c r="E21" i="2"/>
  <c r="H41" i="2"/>
  <c r="I41" i="2" s="1"/>
  <c r="E24" i="2"/>
  <c r="E25" i="2"/>
  <c r="H46" i="2"/>
  <c r="I46" i="2" s="1"/>
  <c r="H43" i="2"/>
  <c r="B82" i="2" s="1"/>
  <c r="E22" i="2"/>
  <c r="E18" i="2"/>
  <c r="H47" i="2"/>
  <c r="I47" i="2" s="1"/>
  <c r="C27" i="2"/>
  <c r="D17" i="1" s="1"/>
  <c r="E23" i="2"/>
  <c r="H42" i="2"/>
  <c r="I42" i="2" s="1"/>
  <c r="H44" i="2"/>
  <c r="I44" i="2" s="1"/>
  <c r="B34" i="2"/>
  <c r="C18" i="1" s="1"/>
  <c r="H45" i="2"/>
  <c r="I45" i="2" s="1"/>
  <c r="I48" i="2"/>
  <c r="I134" i="2" l="1"/>
  <c r="I135" i="2" s="1"/>
  <c r="I136" i="2" s="1"/>
  <c r="I115" i="2"/>
  <c r="D19" i="1"/>
  <c r="I43" i="2"/>
  <c r="J49" i="2" s="1"/>
  <c r="J50" i="2" s="1"/>
  <c r="B83" i="2"/>
  <c r="G83" i="2"/>
  <c r="B84" i="2"/>
  <c r="B80" i="2"/>
  <c r="G88" i="2"/>
  <c r="G80" i="2"/>
  <c r="B81" i="2"/>
  <c r="B79" i="2"/>
  <c r="C28" i="2"/>
  <c r="E86" i="2"/>
  <c r="E79" i="2"/>
  <c r="E82" i="2"/>
  <c r="F28" i="2"/>
  <c r="E85" i="2"/>
  <c r="E80" i="2"/>
  <c r="G86" i="2"/>
  <c r="E87" i="2"/>
  <c r="B85" i="2"/>
  <c r="E88" i="2"/>
  <c r="E83" i="2"/>
  <c r="G82" i="2"/>
  <c r="E84" i="2"/>
  <c r="E81" i="2"/>
  <c r="G81" i="2"/>
  <c r="G84" i="2"/>
  <c r="B76" i="2"/>
  <c r="C21" i="1" s="1"/>
  <c r="G87" i="2"/>
  <c r="G85" i="2"/>
  <c r="G79" i="2"/>
  <c r="H79" i="2" l="1"/>
  <c r="I79" i="2" s="1"/>
  <c r="H86" i="2"/>
  <c r="I86" i="2" s="1"/>
  <c r="H83" i="2"/>
  <c r="I83" i="2" s="1"/>
  <c r="H88" i="2"/>
  <c r="I88" i="2" s="1"/>
  <c r="H80" i="2"/>
  <c r="I80" i="2" s="1"/>
  <c r="H85" i="2"/>
  <c r="I85" i="2" s="1"/>
  <c r="H82" i="2"/>
  <c r="I82" i="2" s="1"/>
  <c r="H84" i="2"/>
  <c r="I84" i="2" s="1"/>
  <c r="H87" i="2"/>
  <c r="I87" i="2" s="1"/>
  <c r="H81" i="2"/>
  <c r="I81" i="2" s="1"/>
  <c r="J51" i="2"/>
  <c r="D18" i="1"/>
  <c r="I89" i="2" l="1"/>
  <c r="I90" i="2" s="1"/>
  <c r="I91" i="2" s="1"/>
  <c r="D21" i="1" l="1"/>
</calcChain>
</file>

<file path=xl/sharedStrings.xml><?xml version="1.0" encoding="utf-8"?>
<sst xmlns="http://schemas.openxmlformats.org/spreadsheetml/2006/main" count="215" uniqueCount="126">
  <si>
    <t>Duration</t>
  </si>
  <si>
    <t>T</t>
  </si>
  <si>
    <t>PON (final)</t>
  </si>
  <si>
    <t>P</t>
  </si>
  <si>
    <t>Isotope Ratio of PON (final)</t>
  </si>
  <si>
    <r>
      <t>I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(T)</t>
    </r>
  </si>
  <si>
    <t>Isotope Ratio of PON (initial)</t>
  </si>
  <si>
    <r>
      <t>I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(0)</t>
    </r>
  </si>
  <si>
    <t>Isotope Ratio of tracer spike</t>
  </si>
  <si>
    <r>
      <t>I</t>
    </r>
    <r>
      <rPr>
        <vertAlign val="subscript"/>
        <sz val="11"/>
        <color theme="1"/>
        <rFont val="Calibri"/>
        <family val="2"/>
        <scheme val="minor"/>
      </rPr>
      <t>spk</t>
    </r>
  </si>
  <si>
    <t>Isotope Ratio of ambient nutrient</t>
  </si>
  <si>
    <r>
      <t>I</t>
    </r>
    <r>
      <rPr>
        <vertAlign val="subscript"/>
        <sz val="11"/>
        <color theme="1"/>
        <rFont val="Calibri"/>
        <family val="2"/>
        <scheme val="minor"/>
      </rPr>
      <t>amb</t>
    </r>
  </si>
  <si>
    <t>Final concentration of tracer</t>
  </si>
  <si>
    <t>Ambient Nutrient Concentration</t>
  </si>
  <si>
    <r>
      <t>[N]</t>
    </r>
    <r>
      <rPr>
        <vertAlign val="subscript"/>
        <sz val="11"/>
        <color theme="1"/>
        <rFont val="Calibri"/>
        <family val="2"/>
        <scheme val="minor"/>
      </rPr>
      <t>spk</t>
    </r>
  </si>
  <si>
    <r>
      <t>[N]</t>
    </r>
    <r>
      <rPr>
        <vertAlign val="subscript"/>
        <sz val="11"/>
        <color theme="1"/>
        <rFont val="Calibri"/>
        <family val="2"/>
        <scheme val="minor"/>
      </rPr>
      <t>amb</t>
    </r>
  </si>
  <si>
    <t>Input Values</t>
  </si>
  <si>
    <t>Units</t>
  </si>
  <si>
    <t>hours</t>
  </si>
  <si>
    <r>
      <t>µmol N L</t>
    </r>
    <r>
      <rPr>
        <vertAlign val="superscript"/>
        <sz val="11"/>
        <color theme="1"/>
        <rFont val="Calibri"/>
        <family val="2"/>
      </rPr>
      <t>-1</t>
    </r>
  </si>
  <si>
    <t>atom %</t>
  </si>
  <si>
    <t>INPUTS</t>
  </si>
  <si>
    <t>σ</t>
  </si>
  <si>
    <t>units</t>
  </si>
  <si>
    <t>atom ratio</t>
  </si>
  <si>
    <r>
      <t>I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(0)</t>
    </r>
  </si>
  <si>
    <r>
      <t>ρ</t>
    </r>
    <r>
      <rPr>
        <vertAlign val="subscript"/>
        <sz val="11"/>
        <color theme="1"/>
        <rFont val="Calibri"/>
        <family val="2"/>
        <scheme val="minor"/>
      </rPr>
      <t>0</t>
    </r>
  </si>
  <si>
    <r>
      <t>∂ρ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/∂P</t>
    </r>
  </si>
  <si>
    <r>
      <t>∂ρ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/∂T</t>
    </r>
  </si>
  <si>
    <r>
      <t>∂ρ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/∂I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(T)</t>
    </r>
  </si>
  <si>
    <r>
      <t>∂ρ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/∂I</t>
    </r>
    <r>
      <rPr>
        <vertAlign val="subscript"/>
        <sz val="11"/>
        <color theme="1"/>
        <rFont val="Calibri"/>
        <family val="2"/>
        <scheme val="minor"/>
      </rPr>
      <t>spk</t>
    </r>
  </si>
  <si>
    <r>
      <t>∂ρ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/∂[N]</t>
    </r>
    <r>
      <rPr>
        <vertAlign val="subscript"/>
        <sz val="11"/>
        <color theme="1"/>
        <rFont val="Calibri"/>
        <family val="2"/>
        <scheme val="minor"/>
      </rPr>
      <t>spk</t>
    </r>
  </si>
  <si>
    <r>
      <t>∂ρ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/∂[N]</t>
    </r>
    <r>
      <rPr>
        <vertAlign val="subscript"/>
        <sz val="11"/>
        <color theme="1"/>
        <rFont val="Calibri"/>
        <family val="2"/>
        <scheme val="minor"/>
      </rPr>
      <t>amb</t>
    </r>
  </si>
  <si>
    <t>(df/dx)^2*sig^2</t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</si>
  <si>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</si>
  <si>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  <scheme val="minor"/>
      </rPr>
      <t>0</t>
    </r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</si>
  <si>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/ρ0</t>
    </r>
  </si>
  <si>
    <r>
      <t xml:space="preserve">Calculations for </t>
    </r>
    <r>
      <rPr>
        <b/>
        <u/>
        <sz val="11"/>
        <color theme="1"/>
        <rFont val="Calibri"/>
        <family val="2"/>
      </rPr>
      <t>ρ</t>
    </r>
    <r>
      <rPr>
        <b/>
        <u/>
        <vertAlign val="subscript"/>
        <sz val="11"/>
        <color theme="1"/>
        <rFont val="Calibri"/>
        <family val="2"/>
      </rPr>
      <t>0</t>
    </r>
  </si>
  <si>
    <r>
      <t xml:space="preserve">Calculations for </t>
    </r>
    <r>
      <rPr>
        <b/>
        <u/>
        <sz val="11"/>
        <color theme="1"/>
        <rFont val="Calibri"/>
        <family val="2"/>
      </rPr>
      <t>ρ</t>
    </r>
    <r>
      <rPr>
        <b/>
        <u/>
        <vertAlign val="subscript"/>
        <sz val="11"/>
        <color theme="1"/>
        <rFont val="Calibri"/>
        <family val="2"/>
      </rPr>
      <t>kan</t>
    </r>
  </si>
  <si>
    <t>a</t>
  </si>
  <si>
    <r>
      <t>L10</t>
    </r>
    <r>
      <rPr>
        <vertAlign val="subscript"/>
        <sz val="11"/>
        <color theme="1"/>
        <rFont val="Calibri"/>
        <family val="2"/>
        <scheme val="minor"/>
      </rPr>
      <t>KS</t>
    </r>
  </si>
  <si>
    <t>Ratio of regeneration to uptake</t>
  </si>
  <si>
    <r>
      <t>log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(half-saturation constant)</t>
    </r>
  </si>
  <si>
    <t>b</t>
  </si>
  <si>
    <r>
      <t>ρ</t>
    </r>
    <r>
      <rPr>
        <vertAlign val="subscript"/>
        <sz val="11"/>
        <color theme="1"/>
        <rFont val="Calibri"/>
        <family val="2"/>
        <scheme val="minor"/>
      </rPr>
      <t>kan</t>
    </r>
  </si>
  <si>
    <t>g(x)</t>
  </si>
  <si>
    <t>h(x)</t>
  </si>
  <si>
    <r>
      <t>ρ</t>
    </r>
    <r>
      <rPr>
        <vertAlign val="subscript"/>
        <sz val="11"/>
        <color theme="1"/>
        <rFont val="Calibri"/>
        <family val="2"/>
        <scheme val="minor"/>
      </rPr>
      <t>kan</t>
    </r>
    <r>
      <rPr>
        <sz val="11"/>
        <color theme="1"/>
        <rFont val="Calibri"/>
        <family val="2"/>
        <scheme val="minor"/>
      </rPr>
      <t>/</t>
    </r>
    <r>
      <rPr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</rPr>
      <t>0</t>
    </r>
  </si>
  <si>
    <t>if a=1</t>
  </si>
  <si>
    <t>does a=1?</t>
  </si>
  <si>
    <t>Note that if a==1, we need to slightly perturb a in order to calculate uncertainty</t>
  </si>
  <si>
    <t>term1</t>
  </si>
  <si>
    <t>term2</t>
  </si>
  <si>
    <t>drhokan/da</t>
  </si>
  <si>
    <t>dg/dx</t>
  </si>
  <si>
    <t>dh/dx</t>
  </si>
  <si>
    <t>drho0/dx</t>
  </si>
  <si>
    <t>drhokan/dx</t>
  </si>
  <si>
    <t>g*h</t>
  </si>
  <si>
    <t>rho0*h</t>
  </si>
  <si>
    <t>rho0*g</t>
  </si>
  <si>
    <t>∂ρ0/∂IP(0)</t>
  </si>
  <si>
    <t>∂ρ0/∂Iamb</t>
  </si>
  <si>
    <t>[N]spk</t>
  </si>
  <si>
    <r>
      <t xml:space="preserve">Calculations for </t>
    </r>
    <r>
      <rPr>
        <b/>
        <u/>
        <sz val="11"/>
        <color theme="1"/>
        <rFont val="Calibri"/>
        <family val="2"/>
      </rPr>
      <t>ρ</t>
    </r>
    <r>
      <rPr>
        <b/>
        <u/>
        <vertAlign val="subscript"/>
        <sz val="11"/>
        <color theme="1"/>
        <rFont val="Calibri"/>
        <family val="2"/>
      </rPr>
      <t>0,is</t>
    </r>
  </si>
  <si>
    <r>
      <t>y(N</t>
    </r>
    <r>
      <rPr>
        <vertAlign val="subscript"/>
        <sz val="11"/>
        <color theme="1"/>
        <rFont val="Calibri"/>
        <family val="2"/>
        <scheme val="minor"/>
      </rPr>
      <t>amb</t>
    </r>
    <r>
      <rPr>
        <sz val="11"/>
        <color theme="1"/>
        <rFont val="Calibri"/>
        <family val="2"/>
        <scheme val="minor"/>
      </rPr>
      <t>,N</t>
    </r>
    <r>
      <rPr>
        <vertAlign val="subscript"/>
        <sz val="11"/>
        <color theme="1"/>
        <rFont val="Calibri"/>
        <family val="2"/>
        <scheme val="minor"/>
      </rPr>
      <t>spk</t>
    </r>
    <r>
      <rPr>
        <sz val="11"/>
        <color theme="1"/>
        <rFont val="Calibri"/>
        <family val="2"/>
        <scheme val="minor"/>
      </rPr>
      <t>)</t>
    </r>
  </si>
  <si>
    <r>
      <t>z(N</t>
    </r>
    <r>
      <rPr>
        <vertAlign val="subscript"/>
        <sz val="11"/>
        <color theme="1"/>
        <rFont val="Calibri"/>
        <family val="2"/>
        <scheme val="minor"/>
      </rPr>
      <t>amb</t>
    </r>
    <r>
      <rPr>
        <sz val="11"/>
        <color theme="1"/>
        <rFont val="Calibri"/>
        <family val="2"/>
        <scheme val="minor"/>
      </rPr>
      <t>,N</t>
    </r>
    <r>
      <rPr>
        <vertAlign val="subscript"/>
        <sz val="11"/>
        <color theme="1"/>
        <rFont val="Calibri"/>
        <family val="2"/>
        <scheme val="minor"/>
      </rPr>
      <t>spk</t>
    </r>
    <r>
      <rPr>
        <sz val="11"/>
        <color theme="1"/>
        <rFont val="Calibri"/>
        <family val="2"/>
        <scheme val="minor"/>
      </rPr>
      <t>,K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</si>
  <si>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S</t>
    </r>
  </si>
  <si>
    <r>
      <t>ρ</t>
    </r>
    <r>
      <rPr>
        <vertAlign val="subscript"/>
        <sz val="11"/>
        <color theme="1"/>
        <rFont val="Calibri"/>
        <family val="2"/>
        <scheme val="minor"/>
      </rPr>
      <t>0,is</t>
    </r>
  </si>
  <si>
    <t>y*z</t>
  </si>
  <si>
    <t>dy/dx</t>
  </si>
  <si>
    <t>dz/dx</t>
  </si>
  <si>
    <r>
      <t>y*</t>
    </r>
    <r>
      <rPr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</rPr>
      <t>0</t>
    </r>
  </si>
  <si>
    <r>
      <t>z*</t>
    </r>
    <r>
      <rPr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</rPr>
      <t>0</t>
    </r>
  </si>
  <si>
    <r>
      <t>I</t>
    </r>
    <r>
      <rPr>
        <b/>
        <vertAlign val="subscript"/>
        <sz val="12"/>
        <color theme="8"/>
        <rFont val="Calibri"/>
        <family val="2"/>
        <scheme val="minor"/>
      </rPr>
      <t>P</t>
    </r>
    <r>
      <rPr>
        <b/>
        <sz val="12"/>
        <color theme="8"/>
        <rFont val="Calibri"/>
        <family val="2"/>
        <scheme val="minor"/>
      </rPr>
      <t>(T)</t>
    </r>
  </si>
  <si>
    <r>
      <t>I</t>
    </r>
    <r>
      <rPr>
        <b/>
        <vertAlign val="subscript"/>
        <sz val="12"/>
        <color theme="8"/>
        <rFont val="Calibri"/>
        <family val="2"/>
        <scheme val="minor"/>
      </rPr>
      <t>P</t>
    </r>
    <r>
      <rPr>
        <b/>
        <sz val="12"/>
        <color theme="8"/>
        <rFont val="Calibri"/>
        <family val="2"/>
        <scheme val="minor"/>
      </rPr>
      <t>(0)</t>
    </r>
  </si>
  <si>
    <r>
      <t>I</t>
    </r>
    <r>
      <rPr>
        <b/>
        <vertAlign val="subscript"/>
        <sz val="12"/>
        <color theme="8"/>
        <rFont val="Calibri"/>
        <family val="2"/>
        <scheme val="minor"/>
      </rPr>
      <t>spk</t>
    </r>
  </si>
  <si>
    <r>
      <t>I</t>
    </r>
    <r>
      <rPr>
        <b/>
        <vertAlign val="subscript"/>
        <sz val="12"/>
        <color theme="8"/>
        <rFont val="Calibri"/>
        <family val="2"/>
        <scheme val="minor"/>
      </rPr>
      <t>amb</t>
    </r>
  </si>
  <si>
    <r>
      <t>[N]</t>
    </r>
    <r>
      <rPr>
        <b/>
        <vertAlign val="subscript"/>
        <sz val="12"/>
        <color theme="8"/>
        <rFont val="Calibri"/>
        <family val="2"/>
        <scheme val="minor"/>
      </rPr>
      <t>spk</t>
    </r>
  </si>
  <si>
    <r>
      <t>[N]</t>
    </r>
    <r>
      <rPr>
        <b/>
        <vertAlign val="subscript"/>
        <sz val="12"/>
        <color theme="8"/>
        <rFont val="Calibri"/>
        <family val="2"/>
        <scheme val="minor"/>
      </rPr>
      <t>amb</t>
    </r>
  </si>
  <si>
    <r>
      <t>L10</t>
    </r>
    <r>
      <rPr>
        <b/>
        <vertAlign val="subscript"/>
        <sz val="12"/>
        <color theme="8"/>
        <rFont val="Calibri"/>
        <family val="2"/>
        <scheme val="minor"/>
      </rPr>
      <t>KS</t>
    </r>
  </si>
  <si>
    <r>
      <t xml:space="preserve">Calculations for </t>
    </r>
    <r>
      <rPr>
        <b/>
        <u/>
        <sz val="11"/>
        <color theme="1"/>
        <rFont val="Calibri"/>
        <family val="2"/>
      </rPr>
      <t>ρ</t>
    </r>
    <r>
      <rPr>
        <b/>
        <u/>
        <vertAlign val="subscript"/>
        <sz val="11"/>
        <color theme="1"/>
        <rFont val="Calibri"/>
        <family val="2"/>
      </rPr>
      <t>kan,is</t>
    </r>
  </si>
  <si>
    <r>
      <t>ρ</t>
    </r>
    <r>
      <rPr>
        <vertAlign val="subscript"/>
        <sz val="11"/>
        <color theme="1"/>
        <rFont val="Calibri"/>
        <family val="2"/>
        <scheme val="minor"/>
      </rPr>
      <t>kan,is</t>
    </r>
  </si>
  <si>
    <t>drho0is/dx</t>
  </si>
  <si>
    <t>drhokanis/dx</t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</si>
  <si>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  <scheme val="minor"/>
      </rPr>
      <t>0is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</si>
  <si>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  <scheme val="minor"/>
      </rPr>
      <t>0is</t>
    </r>
    <r>
      <rPr>
        <sz val="11"/>
        <color theme="1"/>
        <rFont val="Calibri"/>
        <family val="2"/>
        <scheme val="minor"/>
      </rPr>
      <t>/ρ</t>
    </r>
    <r>
      <rPr>
        <vertAlign val="subscript"/>
        <sz val="11"/>
        <color theme="1"/>
        <rFont val="Calibri"/>
        <family val="2"/>
        <scheme val="minor"/>
      </rPr>
      <t>0is</t>
    </r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</si>
  <si>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  <scheme val="minor"/>
      </rPr>
      <t>kanis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</si>
  <si>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  <scheme val="minor"/>
      </rPr>
      <t>kanis</t>
    </r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</si>
  <si>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  <scheme val="minor"/>
      </rPr>
      <t>kanis</t>
    </r>
    <r>
      <rPr>
        <sz val="11"/>
        <color theme="1"/>
        <rFont val="Calibri"/>
        <family val="2"/>
        <scheme val="minor"/>
      </rPr>
      <t>/ρ0</t>
    </r>
  </si>
  <si>
    <r>
      <t>z*</t>
    </r>
    <r>
      <rPr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</rPr>
      <t>kan</t>
    </r>
  </si>
  <si>
    <r>
      <t>y*</t>
    </r>
    <r>
      <rPr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</rPr>
      <t>kan</t>
    </r>
  </si>
  <si>
    <r>
      <t>[N]</t>
    </r>
    <r>
      <rPr>
        <vertAlign val="subscript"/>
        <sz val="11"/>
        <rFont val="Calibri"/>
        <family val="2"/>
        <scheme val="minor"/>
      </rPr>
      <t>spk</t>
    </r>
  </si>
  <si>
    <r>
      <t>[N]</t>
    </r>
    <r>
      <rPr>
        <vertAlign val="subscript"/>
        <sz val="11"/>
        <rFont val="Calibri"/>
        <family val="2"/>
        <scheme val="minor"/>
      </rPr>
      <t>amb</t>
    </r>
  </si>
  <si>
    <r>
      <t>L10</t>
    </r>
    <r>
      <rPr>
        <vertAlign val="subscript"/>
        <sz val="11"/>
        <rFont val="Calibri"/>
        <family val="2"/>
        <scheme val="minor"/>
      </rPr>
      <t>KS</t>
    </r>
  </si>
  <si>
    <r>
      <t>(K</t>
    </r>
    <r>
      <rPr>
        <vertAlign val="subscript"/>
        <sz val="11"/>
        <color theme="1"/>
        <rFont val="Calibri"/>
        <family val="2"/>
      </rPr>
      <t>S</t>
    </r>
    <r>
      <rPr>
        <sz val="11"/>
        <color theme="1"/>
        <rFont val="Calibri"/>
        <family val="2"/>
      </rPr>
      <t xml:space="preserve"> is in units of µmol N L</t>
    </r>
    <r>
      <rPr>
        <vertAlign val="superscript"/>
        <sz val="11"/>
        <color theme="1"/>
        <rFont val="Calibri"/>
        <family val="2"/>
      </rPr>
      <t>-1</t>
    </r>
    <r>
      <rPr>
        <sz val="11"/>
        <color theme="1"/>
        <rFont val="Calibri"/>
        <family val="2"/>
      </rPr>
      <t>)</t>
    </r>
  </si>
  <si>
    <t>OUTPUTS</t>
  </si>
  <si>
    <t>value</t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</si>
  <si>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  <scheme val="minor"/>
      </rPr>
      <t>kan</t>
    </r>
    <r>
      <rPr>
        <vertAlign val="superscript"/>
        <sz val="11"/>
        <color theme="1"/>
        <rFont val="Calibri"/>
        <family val="2"/>
        <scheme val="minor"/>
      </rPr>
      <t>2</t>
    </r>
  </si>
  <si>
    <r>
      <t>σ</t>
    </r>
    <r>
      <rPr>
        <vertAlign val="subscript"/>
        <sz val="11"/>
        <color theme="1"/>
        <rFont val="Calibri"/>
        <family val="2"/>
      </rPr>
      <t>ρkan2</t>
    </r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</si>
  <si>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  <scheme val="minor"/>
      </rPr>
      <t>kan</t>
    </r>
    <r>
      <rPr>
        <sz val="11"/>
        <color theme="1"/>
        <rFont val="Calibri"/>
        <family val="2"/>
        <scheme val="minor"/>
      </rPr>
      <t>/ρ</t>
    </r>
    <r>
      <rPr>
        <vertAlign val="subscript"/>
        <sz val="11"/>
        <color theme="1"/>
        <rFont val="Calibri"/>
        <family val="2"/>
        <scheme val="minor"/>
      </rPr>
      <t>kan</t>
    </r>
  </si>
  <si>
    <r>
      <t>σ</t>
    </r>
    <r>
      <rPr>
        <vertAlign val="subscript"/>
        <sz val="11"/>
        <color theme="1"/>
        <rFont val="Calibri"/>
        <family val="2"/>
      </rPr>
      <t>ρ0is</t>
    </r>
  </si>
  <si>
    <r>
      <t xml:space="preserve">Calculations for </t>
    </r>
    <r>
      <rPr>
        <b/>
        <u/>
        <sz val="11"/>
        <color theme="1"/>
        <rFont val="Calibri"/>
        <family val="2"/>
      </rPr>
      <t>ρ</t>
    </r>
    <r>
      <rPr>
        <b/>
        <u/>
        <vertAlign val="subscript"/>
        <sz val="11"/>
        <color theme="1"/>
        <rFont val="Calibri"/>
        <family val="2"/>
      </rPr>
      <t>reg,is</t>
    </r>
  </si>
  <si>
    <r>
      <t xml:space="preserve">Calculations for </t>
    </r>
    <r>
      <rPr>
        <b/>
        <u/>
        <sz val="11"/>
        <color theme="1"/>
        <rFont val="Calibri"/>
        <family val="2"/>
      </rPr>
      <t>ρ</t>
    </r>
    <r>
      <rPr>
        <b/>
        <u/>
        <vertAlign val="subscript"/>
        <sz val="11"/>
        <color theme="1"/>
        <rFont val="Calibri"/>
        <family val="2"/>
      </rPr>
      <t>reg</t>
    </r>
  </si>
  <si>
    <t>Is0</t>
  </si>
  <si>
    <t>f</t>
  </si>
  <si>
    <t>g</t>
  </si>
  <si>
    <t>h</t>
  </si>
  <si>
    <t>S</t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</si>
  <si>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  <scheme val="minor"/>
      </rPr>
      <t>reg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</si>
  <si>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  <scheme val="minor"/>
      </rPr>
      <t>reg</t>
    </r>
  </si>
  <si>
    <t>df/dx</t>
  </si>
  <si>
    <t xml:space="preserve">(df/dx-dg/dx)*h/T </t>
  </si>
  <si>
    <t>(f-g)*dh/dx / T</t>
  </si>
  <si>
    <t>drhoreg/dx</t>
  </si>
  <si>
    <r>
      <t>ρ</t>
    </r>
    <r>
      <rPr>
        <vertAlign val="subscript"/>
        <sz val="11"/>
        <color theme="1"/>
        <rFont val="Calibri"/>
        <family val="2"/>
        <scheme val="minor"/>
      </rPr>
      <t>reg</t>
    </r>
  </si>
  <si>
    <r>
      <t>σ</t>
    </r>
    <r>
      <rPr>
        <b/>
        <vertAlign val="subscript"/>
        <sz val="12"/>
        <color theme="8"/>
        <rFont val="Calibri"/>
        <family val="2"/>
        <scheme val="minor"/>
      </rPr>
      <t>x</t>
    </r>
  </si>
  <si>
    <r>
      <t>(drho/dx)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*(σ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</si>
  <si>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  <scheme val="minor"/>
      </rPr>
      <t>reg</t>
    </r>
    <r>
      <rPr>
        <sz val="11"/>
        <color theme="1"/>
        <rFont val="Calibri"/>
        <family val="2"/>
        <scheme val="minor"/>
      </rPr>
      <t>/ρ</t>
    </r>
    <r>
      <rPr>
        <vertAlign val="subscript"/>
        <sz val="11"/>
        <color theme="1"/>
        <rFont val="Calibri"/>
        <family val="2"/>
        <scheme val="minor"/>
      </rPr>
      <t>reg</t>
    </r>
  </si>
  <si>
    <r>
      <t>nmol N L</t>
    </r>
    <r>
      <rPr>
        <vertAlign val="superscript"/>
        <sz val="11"/>
        <color theme="1"/>
        <rFont val="Calibri"/>
        <family val="2"/>
      </rPr>
      <t>-1</t>
    </r>
    <r>
      <rPr>
        <sz val="11"/>
        <color theme="1"/>
        <rFont val="Calibri"/>
        <family val="2"/>
      </rPr>
      <t xml:space="preserve"> h</t>
    </r>
    <r>
      <rPr>
        <vertAlign val="superscript"/>
        <sz val="11"/>
        <color theme="1"/>
        <rFont val="Calibri"/>
        <family val="2"/>
      </rPr>
      <t>-1</t>
    </r>
  </si>
  <si>
    <r>
      <t>ρ</t>
    </r>
    <r>
      <rPr>
        <vertAlign val="subscript"/>
        <sz val="11"/>
        <color theme="1"/>
        <rFont val="Calibri"/>
        <family val="2"/>
        <scheme val="minor"/>
      </rPr>
      <t>reg,is</t>
    </r>
  </si>
  <si>
    <r>
      <t>z*</t>
    </r>
    <r>
      <rPr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</rPr>
      <t>reg</t>
    </r>
  </si>
  <si>
    <t>drhoregis/dx</t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</si>
  <si>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  <scheme val="minor"/>
      </rPr>
      <t>regis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</si>
  <si>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  <scheme val="minor"/>
      </rPr>
      <t>regis</t>
    </r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</si>
  <si>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  <scheme val="minor"/>
      </rPr>
      <t>regis</t>
    </r>
    <r>
      <rPr>
        <sz val="11"/>
        <color theme="1"/>
        <rFont val="Calibri"/>
        <family val="2"/>
        <scheme val="minor"/>
      </rPr>
      <t>/ρ</t>
    </r>
    <r>
      <rPr>
        <vertAlign val="subscript"/>
        <sz val="11"/>
        <color theme="1"/>
        <rFont val="Calibri"/>
        <family val="2"/>
        <scheme val="minor"/>
      </rPr>
      <t>reg,is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</si>
</sst>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7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u/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8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vertAlign val="subscript"/>
      <sz val="12"/>
      <color theme="8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Border="1"/>
    <xf numFmtId="0" fontId="2" fillId="0" borderId="5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2" fontId="0" fillId="0" borderId="0" xfId="0" applyNumberFormat="1"/>
    <xf numFmtId="0" fontId="0" fillId="2" borderId="0" xfId="0" applyFill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Fill="1" applyBorder="1" applyAlignment="1">
      <alignment horizontal="center"/>
    </xf>
    <xf numFmtId="0" fontId="12" fillId="0" borderId="0" xfId="0" applyFont="1"/>
    <xf numFmtId="0" fontId="5" fillId="3" borderId="1" xfId="0" applyFon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4" fillId="3" borderId="5" xfId="0" applyFont="1" applyFill="1" applyBorder="1"/>
    <xf numFmtId="0" fontId="0" fillId="3" borderId="5" xfId="0" applyFill="1" applyBorder="1"/>
    <xf numFmtId="0" fontId="2" fillId="3" borderId="5" xfId="0" applyFont="1" applyFill="1" applyBorder="1"/>
    <xf numFmtId="0" fontId="0" fillId="3" borderId="6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/>
    <xf numFmtId="0" fontId="5" fillId="4" borderId="1" xfId="0" applyFont="1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/>
    <xf numFmtId="0" fontId="4" fillId="4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0" fillId="4" borderId="6" xfId="0" applyFon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0" fontId="0" fillId="0" borderId="0" xfId="0" applyFill="1"/>
    <xf numFmtId="0" fontId="0" fillId="5" borderId="0" xfId="0" applyFill="1"/>
    <xf numFmtId="0" fontId="2" fillId="4" borderId="8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tabSelected="1" topLeftCell="A13" workbookViewId="0">
      <selection activeCell="C22" sqref="C22:D22"/>
    </sheetView>
  </sheetViews>
  <sheetFormatPr defaultRowHeight="15" x14ac:dyDescent="0.25"/>
  <cols>
    <col min="1" max="1" width="4.5703125" customWidth="1"/>
    <col min="2" max="2" width="32.42578125" customWidth="1"/>
    <col min="3" max="3" width="7.85546875" style="3" customWidth="1"/>
    <col min="4" max="5" width="13.140625" style="3" customWidth="1"/>
    <col min="6" max="6" width="11" customWidth="1"/>
  </cols>
  <sheetData>
    <row r="1" spans="2:8" ht="15.75" thickBot="1" x14ac:dyDescent="0.3"/>
    <row r="2" spans="2:8" ht="18.75" x14ac:dyDescent="0.3">
      <c r="B2" s="19" t="s">
        <v>21</v>
      </c>
      <c r="C2" s="20"/>
      <c r="D2" s="20"/>
      <c r="E2" s="20"/>
      <c r="F2" s="21"/>
    </row>
    <row r="3" spans="2:8" x14ac:dyDescent="0.25">
      <c r="B3" s="22"/>
      <c r="C3" s="23"/>
      <c r="D3" s="24" t="s">
        <v>16</v>
      </c>
      <c r="E3" s="25" t="s">
        <v>22</v>
      </c>
      <c r="F3" s="26" t="s">
        <v>17</v>
      </c>
    </row>
    <row r="4" spans="2:8" x14ac:dyDescent="0.25">
      <c r="B4" s="22" t="s">
        <v>0</v>
      </c>
      <c r="C4" s="23" t="s">
        <v>1</v>
      </c>
      <c r="D4" s="23">
        <v>4</v>
      </c>
      <c r="E4" s="23">
        <v>0.25</v>
      </c>
      <c r="F4" s="27" t="s">
        <v>18</v>
      </c>
    </row>
    <row r="5" spans="2:8" ht="17.25" x14ac:dyDescent="0.25">
      <c r="B5" s="22" t="s">
        <v>2</v>
      </c>
      <c r="C5" s="23" t="s">
        <v>3</v>
      </c>
      <c r="D5" s="23">
        <v>0.5</v>
      </c>
      <c r="E5" s="23">
        <v>0.05</v>
      </c>
      <c r="F5" s="28" t="s">
        <v>19</v>
      </c>
    </row>
    <row r="6" spans="2:8" ht="18" x14ac:dyDescent="0.35">
      <c r="B6" s="22" t="s">
        <v>4</v>
      </c>
      <c r="C6" s="23" t="s">
        <v>5</v>
      </c>
      <c r="D6" s="23">
        <v>1</v>
      </c>
      <c r="E6" s="23">
        <v>0.1</v>
      </c>
      <c r="F6" s="28" t="s">
        <v>20</v>
      </c>
    </row>
    <row r="7" spans="2:8" ht="18" x14ac:dyDescent="0.35">
      <c r="B7" s="22" t="s">
        <v>6</v>
      </c>
      <c r="C7" s="23" t="s">
        <v>7</v>
      </c>
      <c r="D7" s="23">
        <v>0.36691200000000002</v>
      </c>
      <c r="E7" s="23">
        <v>1E-3</v>
      </c>
      <c r="F7" s="28" t="s">
        <v>20</v>
      </c>
    </row>
    <row r="8" spans="2:8" ht="18" x14ac:dyDescent="0.35">
      <c r="B8" s="22" t="s">
        <v>8</v>
      </c>
      <c r="C8" s="23" t="s">
        <v>9</v>
      </c>
      <c r="D8" s="23">
        <v>99</v>
      </c>
      <c r="E8" s="23">
        <v>1</v>
      </c>
      <c r="F8" s="28" t="s">
        <v>20</v>
      </c>
    </row>
    <row r="9" spans="2:8" ht="18" x14ac:dyDescent="0.35">
      <c r="B9" s="22" t="s">
        <v>10</v>
      </c>
      <c r="C9" s="23" t="s">
        <v>11</v>
      </c>
      <c r="D9" s="23">
        <v>0.36691200000000002</v>
      </c>
      <c r="E9" s="23">
        <v>1E-3</v>
      </c>
      <c r="F9" s="28" t="s">
        <v>20</v>
      </c>
    </row>
    <row r="10" spans="2:8" ht="18.75" x14ac:dyDescent="0.35">
      <c r="B10" s="22" t="s">
        <v>12</v>
      </c>
      <c r="C10" s="23" t="s">
        <v>14</v>
      </c>
      <c r="D10" s="23">
        <v>0.01</v>
      </c>
      <c r="E10" s="23">
        <v>1E-4</v>
      </c>
      <c r="F10" s="28" t="s">
        <v>19</v>
      </c>
    </row>
    <row r="11" spans="2:8" ht="18.75" x14ac:dyDescent="0.35">
      <c r="B11" s="22" t="s">
        <v>13</v>
      </c>
      <c r="C11" s="23" t="s">
        <v>15</v>
      </c>
      <c r="D11" s="23">
        <v>0.1</v>
      </c>
      <c r="E11" s="23">
        <v>0.01</v>
      </c>
      <c r="F11" s="28" t="s">
        <v>19</v>
      </c>
    </row>
    <row r="12" spans="2:8" x14ac:dyDescent="0.25">
      <c r="B12" s="22" t="s">
        <v>41</v>
      </c>
      <c r="C12" s="23" t="s">
        <v>39</v>
      </c>
      <c r="D12" s="23">
        <v>0.9</v>
      </c>
      <c r="E12" s="23">
        <v>0.5</v>
      </c>
      <c r="F12" s="27"/>
    </row>
    <row r="13" spans="2:8" ht="19.5" thickBot="1" x14ac:dyDescent="0.4">
      <c r="B13" s="29" t="s">
        <v>42</v>
      </c>
      <c r="C13" s="30" t="s">
        <v>40</v>
      </c>
      <c r="D13" s="30">
        <v>-1</v>
      </c>
      <c r="E13" s="30">
        <v>1</v>
      </c>
      <c r="F13" s="31"/>
      <c r="H13" s="2" t="s">
        <v>95</v>
      </c>
    </row>
    <row r="14" spans="2:8" ht="15.75" thickBot="1" x14ac:dyDescent="0.3"/>
    <row r="15" spans="2:8" ht="18.75" x14ac:dyDescent="0.3">
      <c r="B15" s="32" t="s">
        <v>96</v>
      </c>
      <c r="C15" s="33"/>
      <c r="D15" s="33"/>
      <c r="E15" s="34"/>
      <c r="F15" s="1"/>
    </row>
    <row r="16" spans="2:8" x14ac:dyDescent="0.25">
      <c r="B16" s="35"/>
      <c r="C16" s="36" t="s">
        <v>97</v>
      </c>
      <c r="D16" s="37" t="s">
        <v>22</v>
      </c>
      <c r="E16" s="38"/>
      <c r="F16" s="1"/>
    </row>
    <row r="17" spans="2:6" ht="18.75" x14ac:dyDescent="0.35">
      <c r="B17" s="39" t="s">
        <v>26</v>
      </c>
      <c r="C17" s="40">
        <f>hidden!B16*1000</f>
        <v>8.8255981603252636</v>
      </c>
      <c r="D17" s="40">
        <f>hidden!C27*1000</f>
        <v>1.91961097019879</v>
      </c>
      <c r="E17" s="41" t="s">
        <v>119</v>
      </c>
      <c r="F17" s="1"/>
    </row>
    <row r="18" spans="2:6" ht="18.75" x14ac:dyDescent="0.35">
      <c r="B18" s="39" t="s">
        <v>44</v>
      </c>
      <c r="C18" s="40">
        <f>hidden!B34*1000</f>
        <v>10.440053288736204</v>
      </c>
      <c r="D18" s="40">
        <f>hidden!J50*1000</f>
        <v>2.7977412271531219</v>
      </c>
      <c r="E18" s="41" t="s">
        <v>119</v>
      </c>
      <c r="F18" s="1"/>
    </row>
    <row r="19" spans="2:6" ht="18.75" x14ac:dyDescent="0.35">
      <c r="B19" s="39" t="s">
        <v>115</v>
      </c>
      <c r="C19" s="40">
        <f>hidden!B101*1000</f>
        <v>11.081206397299425</v>
      </c>
      <c r="D19" s="40">
        <f>hidden!I114*1000</f>
        <v>2.983522883442812</v>
      </c>
      <c r="E19" s="41" t="s">
        <v>119</v>
      </c>
      <c r="F19" s="1"/>
    </row>
    <row r="20" spans="2:6" ht="18.75" x14ac:dyDescent="0.35">
      <c r="B20" s="39" t="s">
        <v>68</v>
      </c>
      <c r="C20" s="40">
        <f>hidden!B56*1000</f>
        <v>8.4244346075832066</v>
      </c>
      <c r="D20" s="40">
        <f>hidden!I69*1000</f>
        <v>1.9134239531175157</v>
      </c>
      <c r="E20" s="41" t="s">
        <v>119</v>
      </c>
      <c r="F20" s="1"/>
    </row>
    <row r="21" spans="2:6" ht="18.75" x14ac:dyDescent="0.35">
      <c r="B21" s="39" t="s">
        <v>82</v>
      </c>
      <c r="C21" s="40">
        <f>hidden!B76*1000</f>
        <v>9.9655054119754691</v>
      </c>
      <c r="D21" s="40">
        <f>hidden!I90*1000</f>
        <v>2.7490074713822898</v>
      </c>
      <c r="E21" s="41" t="s">
        <v>119</v>
      </c>
      <c r="F21" s="1"/>
    </row>
    <row r="22" spans="2:6" ht="19.5" thickBot="1" x14ac:dyDescent="0.4">
      <c r="B22" s="42" t="s">
        <v>120</v>
      </c>
      <c r="C22" s="43">
        <f>hidden!B121*1000</f>
        <v>10.57751519742218</v>
      </c>
      <c r="D22" s="43">
        <f>hidden!I135*1000</f>
        <v>2.9317721143666211</v>
      </c>
      <c r="E22" s="46" t="s">
        <v>119</v>
      </c>
      <c r="F22" s="1"/>
    </row>
    <row r="23" spans="2:6" x14ac:dyDescent="0.25">
      <c r="B23" s="1"/>
      <c r="C23" s="4"/>
      <c r="D23" s="4"/>
      <c r="E23" s="4"/>
    </row>
    <row r="24" spans="2:6" x14ac:dyDescent="0.25">
      <c r="B24" s="1"/>
      <c r="C24" s="4"/>
      <c r="D24" s="4"/>
      <c r="E2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topLeftCell="A127" workbookViewId="0">
      <selection activeCell="E135" sqref="E135"/>
    </sheetView>
  </sheetViews>
  <sheetFormatPr defaultRowHeight="15" x14ac:dyDescent="0.25"/>
  <cols>
    <col min="1" max="1" width="15" customWidth="1"/>
    <col min="2" max="2" width="13" customWidth="1"/>
    <col min="3" max="3" width="12.28515625" bestFit="1" customWidth="1"/>
    <col min="4" max="4" width="18.7109375" customWidth="1"/>
    <col min="5" max="5" width="10.7109375" style="3" customWidth="1"/>
    <col min="6" max="6" width="14" customWidth="1"/>
    <col min="7" max="7" width="12.7109375" bestFit="1" customWidth="1"/>
    <col min="8" max="8" width="13" bestFit="1" customWidth="1"/>
    <col min="9" max="10" width="12" bestFit="1" customWidth="1"/>
  </cols>
  <sheetData>
    <row r="1" spans="1:10" ht="15.75" x14ac:dyDescent="0.25">
      <c r="A1" s="14"/>
      <c r="B1" s="15" t="s">
        <v>16</v>
      </c>
      <c r="C1" s="15" t="s">
        <v>22</v>
      </c>
      <c r="D1" s="6"/>
      <c r="E1" s="5" t="s">
        <v>23</v>
      </c>
    </row>
    <row r="2" spans="1:10" ht="15.75" x14ac:dyDescent="0.25">
      <c r="A2" s="15" t="s">
        <v>1</v>
      </c>
      <c r="B2" s="14">
        <f>'N Uptake'!D4</f>
        <v>4</v>
      </c>
      <c r="C2" s="14">
        <f>'N Uptake'!E4</f>
        <v>0.25</v>
      </c>
      <c r="D2" s="4"/>
      <c r="E2" s="4" t="str">
        <f>'N Uptake'!F4</f>
        <v>hours</v>
      </c>
    </row>
    <row r="3" spans="1:10" ht="15.75" x14ac:dyDescent="0.25">
      <c r="A3" s="15" t="s">
        <v>3</v>
      </c>
      <c r="B3" s="14">
        <f>'N Uptake'!D5</f>
        <v>0.5</v>
      </c>
      <c r="C3" s="14">
        <f>'N Uptake'!E5</f>
        <v>0.05</v>
      </c>
      <c r="D3" s="4"/>
      <c r="E3" s="4" t="str">
        <f>'N Uptake'!F5</f>
        <v>µmol N L-1</v>
      </c>
    </row>
    <row r="4" spans="1:10" ht="18.75" x14ac:dyDescent="0.35">
      <c r="A4" s="15" t="s">
        <v>74</v>
      </c>
      <c r="B4" s="14">
        <f>'N Uptake'!D6/100</f>
        <v>0.01</v>
      </c>
      <c r="C4" s="14">
        <f>'N Uptake'!E6/100</f>
        <v>1E-3</v>
      </c>
      <c r="D4" s="4"/>
      <c r="E4" s="4" t="s">
        <v>24</v>
      </c>
    </row>
    <row r="5" spans="1:10" ht="18.75" x14ac:dyDescent="0.35">
      <c r="A5" s="15" t="s">
        <v>75</v>
      </c>
      <c r="B5" s="14">
        <f>'N Uptake'!D7/100</f>
        <v>3.6691200000000001E-3</v>
      </c>
      <c r="C5" s="14">
        <f>'N Uptake'!E7/100</f>
        <v>1.0000000000000001E-5</v>
      </c>
      <c r="D5" s="4"/>
      <c r="E5" s="4" t="s">
        <v>24</v>
      </c>
    </row>
    <row r="6" spans="1:10" ht="18.75" x14ac:dyDescent="0.35">
      <c r="A6" s="15" t="s">
        <v>76</v>
      </c>
      <c r="B6" s="14">
        <f>'N Uptake'!D8/100</f>
        <v>0.99</v>
      </c>
      <c r="C6" s="14">
        <f>'N Uptake'!E8/100</f>
        <v>0.01</v>
      </c>
      <c r="D6" s="4"/>
      <c r="E6" s="4" t="s">
        <v>24</v>
      </c>
    </row>
    <row r="7" spans="1:10" ht="18.75" x14ac:dyDescent="0.35">
      <c r="A7" s="15" t="s">
        <v>77</v>
      </c>
      <c r="B7" s="14">
        <f>'N Uptake'!D9/100</f>
        <v>3.6691200000000001E-3</v>
      </c>
      <c r="C7" s="14">
        <f>'N Uptake'!E9/100</f>
        <v>1.0000000000000001E-5</v>
      </c>
      <c r="D7" s="4"/>
      <c r="E7" s="4" t="s">
        <v>24</v>
      </c>
    </row>
    <row r="8" spans="1:10" ht="18.75" x14ac:dyDescent="0.35">
      <c r="A8" s="15" t="s">
        <v>78</v>
      </c>
      <c r="B8" s="14">
        <f>'N Uptake'!D10</f>
        <v>0.01</v>
      </c>
      <c r="C8" s="14">
        <f>'N Uptake'!E10</f>
        <v>1E-4</v>
      </c>
      <c r="D8" s="4"/>
      <c r="E8" s="4" t="str">
        <f>'N Uptake'!F10</f>
        <v>µmol N L-1</v>
      </c>
    </row>
    <row r="9" spans="1:10" ht="18.75" x14ac:dyDescent="0.35">
      <c r="A9" s="15" t="s">
        <v>79</v>
      </c>
      <c r="B9" s="14">
        <f>'N Uptake'!D11</f>
        <v>0.1</v>
      </c>
      <c r="C9" s="14">
        <f>'N Uptake'!E11</f>
        <v>0.01</v>
      </c>
      <c r="D9" s="4"/>
      <c r="E9" s="4" t="str">
        <f>'N Uptake'!F11</f>
        <v>µmol N L-1</v>
      </c>
      <c r="H9" t="s">
        <v>49</v>
      </c>
    </row>
    <row r="10" spans="1:10" ht="15.75" x14ac:dyDescent="0.25">
      <c r="A10" s="15" t="s">
        <v>39</v>
      </c>
      <c r="B10" s="14">
        <f>MAX((1-H10)*'N Uptake'!D12,'N Uptake'!D12*0.99999)</f>
        <v>0.9</v>
      </c>
      <c r="C10" s="14">
        <f>'N Uptake'!E12</f>
        <v>0.5</v>
      </c>
      <c r="D10" s="4"/>
      <c r="E10" s="4"/>
      <c r="H10" t="b">
        <f>'N Uptake'!D12=1</f>
        <v>0</v>
      </c>
      <c r="J10" t="s">
        <v>50</v>
      </c>
    </row>
    <row r="11" spans="1:10" ht="18.75" x14ac:dyDescent="0.35">
      <c r="A11" s="15" t="s">
        <v>80</v>
      </c>
      <c r="B11" s="14">
        <f>'N Uptake'!D13</f>
        <v>-1</v>
      </c>
      <c r="C11" s="14">
        <f>'N Uptake'!E13</f>
        <v>1</v>
      </c>
      <c r="D11" s="4"/>
      <c r="E11" s="4"/>
    </row>
    <row r="12" spans="1:10" ht="18" x14ac:dyDescent="0.35">
      <c r="A12" s="12" t="s">
        <v>67</v>
      </c>
      <c r="B12" s="3">
        <f>10^B11</f>
        <v>0.1</v>
      </c>
      <c r="C12" s="3"/>
      <c r="D12" s="1"/>
      <c r="E12" s="4"/>
    </row>
    <row r="13" spans="1:10" x14ac:dyDescent="0.25">
      <c r="A13" s="1"/>
      <c r="B13" s="1"/>
      <c r="C13" s="1"/>
      <c r="D13" s="1"/>
      <c r="E13" s="4"/>
    </row>
    <row r="14" spans="1:10" ht="18" x14ac:dyDescent="0.35">
      <c r="A14" s="8" t="s">
        <v>37</v>
      </c>
    </row>
    <row r="15" spans="1:10" ht="18" x14ac:dyDescent="0.35">
      <c r="A15" s="7" t="s">
        <v>25</v>
      </c>
      <c r="B15">
        <f>(B6*B8+B7*B9)/(B8+B9)</f>
        <v>9.3335563636363653E-2</v>
      </c>
    </row>
    <row r="16" spans="1:10" ht="18" x14ac:dyDescent="0.35">
      <c r="A16" s="9" t="s">
        <v>26</v>
      </c>
      <c r="B16" s="11">
        <f>B3/B2*(B4-B5)/(B15-B5)</f>
        <v>8.825598160325264E-3</v>
      </c>
      <c r="E16" s="4"/>
    </row>
    <row r="17" spans="1:6" ht="10.5" customHeight="1" x14ac:dyDescent="0.25">
      <c r="C17" t="s">
        <v>33</v>
      </c>
    </row>
    <row r="18" spans="1:6" ht="18" x14ac:dyDescent="0.35">
      <c r="A18" s="9" t="s">
        <v>28</v>
      </c>
      <c r="B18">
        <f>-B16/B2</f>
        <v>-2.206399540081316E-3</v>
      </c>
      <c r="C18">
        <f t="shared" ref="C18:C25" si="0">B18^2*C2^2</f>
        <v>3.0426243315444019E-7</v>
      </c>
      <c r="E18" s="3">
        <f>C18/C$26</f>
        <v>8.2569924521875337E-2</v>
      </c>
      <c r="F18" t="b">
        <f>C18=MAX(C$18:C$25)</f>
        <v>0</v>
      </c>
    </row>
    <row r="19" spans="1:6" ht="18" x14ac:dyDescent="0.35">
      <c r="A19" s="9" t="s">
        <v>27</v>
      </c>
      <c r="B19">
        <f>B16/B3</f>
        <v>1.7651196320650528E-2</v>
      </c>
      <c r="C19">
        <f t="shared" si="0"/>
        <v>7.7891182887536704E-7</v>
      </c>
      <c r="E19" s="3">
        <f t="shared" ref="E19:E25" si="1">C19/C$26</f>
        <v>0.21137900677600091</v>
      </c>
      <c r="F19" t="b">
        <f t="shared" ref="F19:F25" si="2">C19=MAX(C$18:C$25)</f>
        <v>0</v>
      </c>
    </row>
    <row r="20" spans="1:6" ht="18" x14ac:dyDescent="0.35">
      <c r="A20" s="9" t="s">
        <v>29</v>
      </c>
      <c r="B20">
        <f>B16/(B4-B5)</f>
        <v>1.3940555120813005</v>
      </c>
      <c r="C20">
        <f t="shared" si="0"/>
        <v>1.9433907707642572E-6</v>
      </c>
      <c r="E20" s="3">
        <f t="shared" si="1"/>
        <v>0.5273921844208197</v>
      </c>
      <c r="F20" t="b">
        <f t="shared" si="2"/>
        <v>1</v>
      </c>
    </row>
    <row r="21" spans="1:6" x14ac:dyDescent="0.25">
      <c r="A21" t="s">
        <v>61</v>
      </c>
      <c r="B21">
        <f>B16/(B15-B5)-B3/B2/(B15-B5)</f>
        <v>-1.2956285219787724</v>
      </c>
      <c r="C21">
        <f t="shared" si="0"/>
        <v>1.6786532669648986E-10</v>
      </c>
      <c r="E21">
        <f t="shared" si="1"/>
        <v>4.5554842940908234E-5</v>
      </c>
      <c r="F21" t="b">
        <f t="shared" si="2"/>
        <v>0</v>
      </c>
    </row>
    <row r="22" spans="1:6" ht="18" x14ac:dyDescent="0.35">
      <c r="A22" s="9" t="s">
        <v>30</v>
      </c>
      <c r="B22">
        <f>-B16/(B15-B5)*B8/(B8+B9)</f>
        <v>-8.9479081911389233E-3</v>
      </c>
      <c r="C22">
        <f t="shared" si="0"/>
        <v>8.0065060997051034E-9</v>
      </c>
      <c r="E22" s="3">
        <f t="shared" si="1"/>
        <v>2.1727841898937935E-3</v>
      </c>
      <c r="F22" t="b">
        <f t="shared" si="2"/>
        <v>0</v>
      </c>
    </row>
    <row r="23" spans="1:6" x14ac:dyDescent="0.25">
      <c r="A23" t="s">
        <v>62</v>
      </c>
      <c r="B23">
        <f>-B16/(B15-B5)*B9/(B8+B9)</f>
        <v>-8.947908191138923E-2</v>
      </c>
      <c r="C23">
        <f t="shared" si="0"/>
        <v>8.0065060997051054E-13</v>
      </c>
      <c r="E23">
        <f t="shared" si="1"/>
        <v>2.1727841898937943E-7</v>
      </c>
      <c r="F23" t="b">
        <f t="shared" si="2"/>
        <v>0</v>
      </c>
    </row>
    <row r="24" spans="1:6" ht="18" x14ac:dyDescent="0.35">
      <c r="A24" s="9" t="s">
        <v>31</v>
      </c>
      <c r="B24">
        <f>-B16/(B15-B5)*(B6-B15)/(B8+B9)</f>
        <v>-0.80232710548411479</v>
      </c>
      <c r="C24">
        <f t="shared" si="0"/>
        <v>6.4372878419451782E-9</v>
      </c>
      <c r="E24" s="3">
        <f t="shared" si="1"/>
        <v>1.7469339402975271E-3</v>
      </c>
      <c r="F24" t="b">
        <f t="shared" si="2"/>
        <v>0</v>
      </c>
    </row>
    <row r="25" spans="1:6" ht="18" x14ac:dyDescent="0.35">
      <c r="A25" s="9" t="s">
        <v>32</v>
      </c>
      <c r="B25">
        <f>-B16/(B15-B5)*(B7-B15)/(B8+B9)</f>
        <v>8.0232710548411496E-2</v>
      </c>
      <c r="C25">
        <f t="shared" si="0"/>
        <v>6.4372878419451814E-7</v>
      </c>
      <c r="E25" s="3">
        <f t="shared" si="1"/>
        <v>0.17469339402975279</v>
      </c>
      <c r="F25" t="b">
        <f t="shared" si="2"/>
        <v>0</v>
      </c>
    </row>
    <row r="26" spans="1:6" ht="18.75" x14ac:dyDescent="0.35">
      <c r="A26" s="9" t="s">
        <v>34</v>
      </c>
      <c r="C26">
        <f>SUM(C18:C25)</f>
        <v>3.6849062769075394E-6</v>
      </c>
      <c r="E26" s="3">
        <f>SUM(C18:C20,C22,C24:C25)</f>
        <v>3.6847376109302327E-6</v>
      </c>
    </row>
    <row r="27" spans="1:6" ht="18" x14ac:dyDescent="0.35">
      <c r="A27" s="9" t="s">
        <v>35</v>
      </c>
      <c r="C27" s="11">
        <f>SQRT(C26)</f>
        <v>1.91961097019879E-3</v>
      </c>
      <c r="E27" s="3">
        <f>SQRT(E26)</f>
        <v>1.9195670373629134E-3</v>
      </c>
    </row>
    <row r="28" spans="1:6" ht="18" x14ac:dyDescent="0.35">
      <c r="A28" s="9" t="s">
        <v>36</v>
      </c>
      <c r="C28">
        <f>C27/B16</f>
        <v>0.2175049141516821</v>
      </c>
      <c r="F28">
        <f>E27/C27*100</f>
        <v>99.997711367742809</v>
      </c>
    </row>
    <row r="30" spans="1:6" ht="18" x14ac:dyDescent="0.35">
      <c r="A30" s="8" t="s">
        <v>38</v>
      </c>
    </row>
    <row r="31" spans="1:6" x14ac:dyDescent="0.25">
      <c r="A31" s="9" t="s">
        <v>43</v>
      </c>
      <c r="B31">
        <f>B16*B2/(B9+B8)</f>
        <v>0.32093084219364598</v>
      </c>
    </row>
    <row r="32" spans="1:6" x14ac:dyDescent="0.25">
      <c r="A32" s="9" t="s">
        <v>45</v>
      </c>
      <c r="B32">
        <f>-1+(1-B31)^(1-B10)</f>
        <v>-3.7963830140858912E-2</v>
      </c>
    </row>
    <row r="33" spans="1:9" x14ac:dyDescent="0.25">
      <c r="A33" s="9" t="s">
        <v>46</v>
      </c>
      <c r="B33">
        <f>1/((B10-1)*B31)</f>
        <v>-31.159361099878701</v>
      </c>
      <c r="E33" s="3" t="s">
        <v>48</v>
      </c>
      <c r="F33" t="s">
        <v>49</v>
      </c>
    </row>
    <row r="34" spans="1:9" ht="18" x14ac:dyDescent="0.35">
      <c r="A34" s="9" t="s">
        <v>44</v>
      </c>
      <c r="B34" s="11">
        <f>(F34*E34)+(1-F34)*C34</f>
        <v>1.0440053288736203E-2</v>
      </c>
      <c r="C34">
        <f>B16*B32*B33</f>
        <v>1.0440053288736203E-2</v>
      </c>
      <c r="E34" s="3">
        <f>(-1/B31)*LN(1-B31)*B16</f>
        <v>1.0643388364692773E-2</v>
      </c>
      <c r="F34" s="10" t="b">
        <f>'N Uptake'!D12=1</f>
        <v>0</v>
      </c>
    </row>
    <row r="35" spans="1:9" ht="18" x14ac:dyDescent="0.35">
      <c r="A35" s="9" t="s">
        <v>47</v>
      </c>
      <c r="B35">
        <f>C34/B16</f>
        <v>1.1829286920934816</v>
      </c>
    </row>
    <row r="38" spans="1:9" x14ac:dyDescent="0.25">
      <c r="B38" s="9" t="s">
        <v>51</v>
      </c>
      <c r="C38" s="9" t="s">
        <v>52</v>
      </c>
      <c r="D38" s="3"/>
      <c r="E38"/>
      <c r="I38" t="s">
        <v>33</v>
      </c>
    </row>
    <row r="39" spans="1:9" x14ac:dyDescent="0.25">
      <c r="A39" t="s">
        <v>53</v>
      </c>
      <c r="B39">
        <f>(-LN(1-B31)*(1-B31)^(1-B10))*B16/((B10-1)*B31)</f>
        <v>-0.10239324576692387</v>
      </c>
      <c r="C39">
        <f>(1-(1-B31)^(1-B10))*B16/(B31*(B10-1)^2)</f>
        <v>0.10440053288736206</v>
      </c>
      <c r="E39"/>
      <c r="H39">
        <f>B39+C39</f>
        <v>2.0072871204381976E-3</v>
      </c>
      <c r="I39">
        <f>H39^2*C10^2</f>
        <v>1.0073003959692678E-6</v>
      </c>
    </row>
    <row r="40" spans="1:9" x14ac:dyDescent="0.25">
      <c r="B40" t="s">
        <v>56</v>
      </c>
      <c r="C40" t="s">
        <v>58</v>
      </c>
      <c r="D40" s="3" t="s">
        <v>54</v>
      </c>
      <c r="E40" t="s">
        <v>59</v>
      </c>
      <c r="F40" t="s">
        <v>55</v>
      </c>
      <c r="G40" t="s">
        <v>60</v>
      </c>
      <c r="H40" t="s">
        <v>57</v>
      </c>
    </row>
    <row r="41" spans="1:9" x14ac:dyDescent="0.25">
      <c r="A41" t="s">
        <v>3</v>
      </c>
      <c r="B41">
        <f>B19</f>
        <v>1.7651196320650528E-2</v>
      </c>
      <c r="C41">
        <f>B$32*B$33</f>
        <v>1.1829286920934818</v>
      </c>
      <c r="D41">
        <f>(B$10-1)/(1-B$31)^(B$10)*(B$2/(B$8+B$9))*B41</f>
        <v>-9.0932440286645169E-2</v>
      </c>
      <c r="E41">
        <f>B$33*B$16</f>
        <v>-0.27500000000000008</v>
      </c>
      <c r="F41">
        <f>-1/((B$10-1)*B$31^2)*(B$2/(B$8+B$9))*B41</f>
        <v>62.318722199757403</v>
      </c>
      <c r="G41">
        <f>B$32*B$16</f>
        <v>-3.3505350945006523E-4</v>
      </c>
      <c r="H41">
        <f t="shared" ref="H41:H48" si="3">B41*C41+D41*E41+F41*G41</f>
        <v>2.5006421078827432E-2</v>
      </c>
      <c r="I41">
        <f>H41^2*C3^2</f>
        <v>1.5633027379290626E-6</v>
      </c>
    </row>
    <row r="42" spans="1:9" ht="18" x14ac:dyDescent="0.35">
      <c r="A42" t="s">
        <v>5</v>
      </c>
      <c r="B42">
        <f>B20</f>
        <v>1.3940555120813005</v>
      </c>
      <c r="C42">
        <f t="shared" ref="C42:C48" si="4">B$32*B$33</f>
        <v>1.1829286920934818</v>
      </c>
      <c r="D42">
        <f>(B$10-1)/(1-B$31)^(B$10)*(B$2/(B$8+B$9))*B42</f>
        <v>-7.1816588125699088</v>
      </c>
      <c r="E42">
        <f t="shared" ref="E42:E43" si="5">B$33*B$16</f>
        <v>-0.27500000000000008</v>
      </c>
      <c r="F42">
        <f>-1/((B$10-1)*B$31^2)*(B$2/(B$8+B$9))*B42</f>
        <v>4921.8056731258057</v>
      </c>
      <c r="G42">
        <f t="shared" ref="G42:G43" si="6">B$32*B$16</f>
        <v>-3.3505350945006523E-4</v>
      </c>
      <c r="H42">
        <f t="shared" si="3"/>
        <v>1.9749561734567256</v>
      </c>
      <c r="I42">
        <f>H42^2*C4^2</f>
        <v>3.9004518870748318E-6</v>
      </c>
    </row>
    <row r="43" spans="1:9" ht="18" x14ac:dyDescent="0.35">
      <c r="A43" t="s">
        <v>7</v>
      </c>
      <c r="B43">
        <f t="shared" ref="B43:B45" si="7">B21</f>
        <v>-1.2956285219787724</v>
      </c>
      <c r="C43">
        <f t="shared" si="4"/>
        <v>1.1829286920934818</v>
      </c>
      <c r="D43">
        <f>(B$10-1)/(1-B$31)^(B$10)*(B$2/(B$8+B$9))*B43</f>
        <v>6.674599334135503</v>
      </c>
      <c r="E43">
        <f t="shared" si="5"/>
        <v>-0.27500000000000008</v>
      </c>
      <c r="F43">
        <f>-1/((B$10-1)*B$31^2)*(B$2/(B$8+B$9))*B43</f>
        <v>-4574.3026403720651</v>
      </c>
      <c r="G43">
        <f t="shared" si="6"/>
        <v>-3.3505350945006523E-4</v>
      </c>
      <c r="H43">
        <f t="shared" si="3"/>
        <v>-1.8355148168872641</v>
      </c>
      <c r="I43">
        <f>H43^2*C5^2</f>
        <v>3.3691146430126874E-10</v>
      </c>
    </row>
    <row r="44" spans="1:9" ht="18" x14ac:dyDescent="0.35">
      <c r="A44" t="s">
        <v>9</v>
      </c>
      <c r="B44">
        <f t="shared" si="7"/>
        <v>-8.9479081911389233E-3</v>
      </c>
      <c r="C44">
        <f t="shared" si="4"/>
        <v>1.1829286920934818</v>
      </c>
      <c r="D44">
        <f>(B$10-1)/(1-B$31)^(B$10)*(B$2/(B$8+B$9))*B44</f>
        <v>4.6096316221309601E-2</v>
      </c>
      <c r="E44">
        <f t="shared" ref="E44:E48" si="8">B$33*B$16</f>
        <v>-0.27500000000000008</v>
      </c>
      <c r="F44">
        <f>-1/((B$10-1)*B$31^2)*(B$2/(B$8+B$9))*B44</f>
        <v>-31.591184795794589</v>
      </c>
      <c r="G44">
        <f t="shared" ref="G44:G48" si="9">B$32*B$16</f>
        <v>-3.3505350945006523E-4</v>
      </c>
      <c r="H44">
        <f t="shared" si="3"/>
        <v>-1.2676486960860146E-2</v>
      </c>
      <c r="I44">
        <f>H44^2*C6^2</f>
        <v>1.606933216688573E-8</v>
      </c>
    </row>
    <row r="45" spans="1:9" ht="18" x14ac:dyDescent="0.35">
      <c r="A45" t="s">
        <v>11</v>
      </c>
      <c r="B45">
        <f t="shared" si="7"/>
        <v>-8.947908191138923E-2</v>
      </c>
      <c r="C45">
        <f t="shared" si="4"/>
        <v>1.1829286920934818</v>
      </c>
      <c r="D45">
        <f>(B$10-1)/(1-B$31)^(B$10)*(B$2/(B$8+B$9))*B45</f>
        <v>0.46096316221309602</v>
      </c>
      <c r="E45">
        <f t="shared" si="8"/>
        <v>-0.27500000000000008</v>
      </c>
      <c r="F45">
        <f>-1/((B$10-1)*B$31^2)*(B$2/(B$8+B$9))*B45</f>
        <v>-315.91184795794589</v>
      </c>
      <c r="G45">
        <f t="shared" si="9"/>
        <v>-3.3505350945006523E-4</v>
      </c>
      <c r="H45">
        <f t="shared" si="3"/>
        <v>-0.12676486960860145</v>
      </c>
      <c r="I45">
        <f>H45^2*C7^2</f>
        <v>1.606933216688573E-12</v>
      </c>
    </row>
    <row r="46" spans="1:9" x14ac:dyDescent="0.25">
      <c r="A46" t="s">
        <v>1</v>
      </c>
      <c r="B46">
        <f>B18</f>
        <v>-2.206399540081316E-3</v>
      </c>
      <c r="C46">
        <f t="shared" si="4"/>
        <v>1.1829286920934818</v>
      </c>
      <c r="D46">
        <v>0</v>
      </c>
      <c r="E46">
        <f t="shared" si="8"/>
        <v>-0.27500000000000008</v>
      </c>
      <c r="F46">
        <v>0</v>
      </c>
      <c r="G46">
        <f t="shared" si="9"/>
        <v>-3.3505350945006523E-4</v>
      </c>
      <c r="H46">
        <f t="shared" si="3"/>
        <v>-2.6100133221840511E-3</v>
      </c>
      <c r="I46">
        <f>H46^2*C2^2</f>
        <v>4.2576059637363922E-7</v>
      </c>
    </row>
    <row r="47" spans="1:9" x14ac:dyDescent="0.25">
      <c r="A47" t="s">
        <v>63</v>
      </c>
      <c r="B47">
        <f>B24</f>
        <v>-0.80232710548411479</v>
      </c>
      <c r="C47">
        <f t="shared" si="4"/>
        <v>1.1829286920934818</v>
      </c>
      <c r="D47">
        <f>(B$10-1)/(1-B$31)^(B$10)*(-B$31/(B$8+B$9)+B$2/(B$8+B$9)*B47)</f>
        <v>4.5466220143322582</v>
      </c>
      <c r="E47">
        <f t="shared" si="8"/>
        <v>-0.27500000000000008</v>
      </c>
      <c r="F47">
        <f>-1/((B$10-1)*B$31^2)*(-B$31/(B$8+B$9)+B$2/(B$8+B$9)*B47)</f>
        <v>-3115.9361099878702</v>
      </c>
      <c r="G47">
        <f t="shared" si="9"/>
        <v>-3.3505350945006523E-4</v>
      </c>
      <c r="H47">
        <f t="shared" si="3"/>
        <v>-1.155411478589224</v>
      </c>
      <c r="I47">
        <f>H47^2*C8^2</f>
        <v>1.3349756848557369E-8</v>
      </c>
    </row>
    <row r="48" spans="1:9" ht="18" x14ac:dyDescent="0.35">
      <c r="A48" t="s">
        <v>15</v>
      </c>
      <c r="B48">
        <f>B25</f>
        <v>8.0232710548411496E-2</v>
      </c>
      <c r="C48">
        <f t="shared" si="4"/>
        <v>1.1829286920934818</v>
      </c>
      <c r="D48">
        <f>(B$10-1)/(1-B$31)^(B$10)*(-B$31/(B$8+B$9)+B$2/(B$8+B$9)*B48)</f>
        <v>-6.2914046030309776E-17</v>
      </c>
      <c r="E48">
        <f t="shared" si="8"/>
        <v>-0.27500000000000008</v>
      </c>
      <c r="F48">
        <f>-1/((B$10-1)*B$31^2)*(-B$31/(B$8+B$9)+B$2/(B$8+B$9)*B48)</f>
        <v>4.3116878252319859E-14</v>
      </c>
      <c r="G48">
        <f t="shared" si="9"/>
        <v>-3.3505350945006523E-4</v>
      </c>
      <c r="H48">
        <f t="shared" si="3"/>
        <v>9.4909575352147307E-2</v>
      </c>
      <c r="I48">
        <f>H48^2*C9^2</f>
        <v>9.0078274935249278E-7</v>
      </c>
    </row>
    <row r="49" spans="1:10" ht="18.75" x14ac:dyDescent="0.35">
      <c r="A49" s="9" t="s">
        <v>98</v>
      </c>
      <c r="J49">
        <f>SUM(I39,I41:I48)</f>
        <v>7.827355974112256E-6</v>
      </c>
    </row>
    <row r="50" spans="1:10" ht="18" x14ac:dyDescent="0.35">
      <c r="A50" s="17" t="s">
        <v>99</v>
      </c>
      <c r="J50" s="11">
        <f>SQRT(J49)</f>
        <v>2.7977412271531217E-3</v>
      </c>
    </row>
    <row r="51" spans="1:10" ht="18" x14ac:dyDescent="0.35">
      <c r="A51" s="9" t="s">
        <v>100</v>
      </c>
      <c r="J51">
        <f>J50/B34</f>
        <v>0.26798150831007839</v>
      </c>
    </row>
    <row r="53" spans="1:10" ht="18" x14ac:dyDescent="0.35">
      <c r="A53" s="8" t="s">
        <v>64</v>
      </c>
    </row>
    <row r="54" spans="1:10" ht="18" x14ac:dyDescent="0.35">
      <c r="A54" s="9" t="s">
        <v>65</v>
      </c>
      <c r="B54">
        <f>B9/(B9+B8)</f>
        <v>0.90909090909090917</v>
      </c>
    </row>
    <row r="55" spans="1:10" ht="18" x14ac:dyDescent="0.35">
      <c r="A55" s="9" t="s">
        <v>66</v>
      </c>
      <c r="B55" s="16">
        <f>(B8+B9+B12)/(B9+B12)</f>
        <v>1.05</v>
      </c>
    </row>
    <row r="56" spans="1:10" ht="18" x14ac:dyDescent="0.35">
      <c r="A56" s="9" t="s">
        <v>68</v>
      </c>
      <c r="B56" s="11">
        <f>B16*B54*B55</f>
        <v>8.4244346075832074E-3</v>
      </c>
    </row>
    <row r="58" spans="1:10" ht="18" x14ac:dyDescent="0.35">
      <c r="B58" t="s">
        <v>56</v>
      </c>
      <c r="C58" t="s">
        <v>69</v>
      </c>
      <c r="D58" t="s">
        <v>70</v>
      </c>
      <c r="E58" t="s">
        <v>73</v>
      </c>
      <c r="F58" t="s">
        <v>71</v>
      </c>
      <c r="G58" t="s">
        <v>72</v>
      </c>
      <c r="H58" t="s">
        <v>83</v>
      </c>
      <c r="I58" t="s">
        <v>33</v>
      </c>
    </row>
    <row r="59" spans="1:10" x14ac:dyDescent="0.25">
      <c r="A59" s="3" t="s">
        <v>1</v>
      </c>
      <c r="B59">
        <f>B18</f>
        <v>-2.206399540081316E-3</v>
      </c>
      <c r="C59">
        <f>B$54*B$55</f>
        <v>0.9545454545454547</v>
      </c>
      <c r="D59">
        <v>0</v>
      </c>
      <c r="E59" s="3">
        <f>B$55*B$16</f>
        <v>9.2668780683415278E-3</v>
      </c>
      <c r="F59">
        <v>0</v>
      </c>
      <c r="G59">
        <f>B$54*B$16</f>
        <v>8.0232710548411492E-3</v>
      </c>
      <c r="H59">
        <f>B59*C59+D59*E59+F59*G59</f>
        <v>-2.1061086518958019E-3</v>
      </c>
      <c r="I59">
        <f>H59^2*C2^2</f>
        <v>2.7723085334939699E-7</v>
      </c>
    </row>
    <row r="60" spans="1:10" x14ac:dyDescent="0.25">
      <c r="A60" s="3" t="s">
        <v>3</v>
      </c>
      <c r="B60">
        <f t="shared" ref="B60:B66" si="10">B19</f>
        <v>1.7651196320650528E-2</v>
      </c>
      <c r="C60">
        <f t="shared" ref="C60:C67" si="11">B$54*B$55</f>
        <v>0.9545454545454547</v>
      </c>
      <c r="D60">
        <v>0</v>
      </c>
      <c r="E60" s="3">
        <f t="shared" ref="E60:E67" si="12">B$55*B$16</f>
        <v>9.2668780683415278E-3</v>
      </c>
      <c r="F60">
        <v>0</v>
      </c>
      <c r="G60">
        <f t="shared" ref="G60:G67" si="13">B$54*B$16</f>
        <v>8.0232710548411492E-3</v>
      </c>
      <c r="H60">
        <f t="shared" ref="H60:H67" si="14">B60*C60+D60*E60+F60*G60</f>
        <v>1.6848869215166415E-2</v>
      </c>
      <c r="I60">
        <f t="shared" ref="I60:I66" si="15">H60^2*C3^2</f>
        <v>7.0971098457445646E-7</v>
      </c>
    </row>
    <row r="61" spans="1:10" ht="18" x14ac:dyDescent="0.35">
      <c r="A61" s="3" t="s">
        <v>5</v>
      </c>
      <c r="B61">
        <f t="shared" si="10"/>
        <v>1.3940555120813005</v>
      </c>
      <c r="C61">
        <f t="shared" si="11"/>
        <v>0.9545454545454547</v>
      </c>
      <c r="D61">
        <v>0</v>
      </c>
      <c r="E61" s="3">
        <f t="shared" si="12"/>
        <v>9.2668780683415278E-3</v>
      </c>
      <c r="F61">
        <v>0</v>
      </c>
      <c r="G61">
        <f t="shared" si="13"/>
        <v>8.0232710548411492E-3</v>
      </c>
      <c r="H61">
        <f t="shared" si="14"/>
        <v>1.3306893524412415</v>
      </c>
      <c r="I61">
        <f t="shared" si="15"/>
        <v>1.7707341527004906E-6</v>
      </c>
    </row>
    <row r="62" spans="1:10" ht="18" x14ac:dyDescent="0.35">
      <c r="A62" s="3" t="s">
        <v>7</v>
      </c>
      <c r="B62">
        <f t="shared" si="10"/>
        <v>-1.2956285219787724</v>
      </c>
      <c r="C62">
        <f t="shared" si="11"/>
        <v>0.9545454545454547</v>
      </c>
      <c r="D62">
        <v>0</v>
      </c>
      <c r="E62" s="3">
        <f t="shared" si="12"/>
        <v>9.2668780683415278E-3</v>
      </c>
      <c r="F62">
        <v>0</v>
      </c>
      <c r="G62">
        <f t="shared" si="13"/>
        <v>8.0232710548411492E-3</v>
      </c>
      <c r="H62">
        <f t="shared" si="14"/>
        <v>-1.2367363164342831</v>
      </c>
      <c r="I62">
        <f t="shared" si="15"/>
        <v>1.5295167163874392E-10</v>
      </c>
    </row>
    <row r="63" spans="1:10" ht="18" x14ac:dyDescent="0.35">
      <c r="A63" s="3" t="s">
        <v>9</v>
      </c>
      <c r="B63">
        <f t="shared" si="10"/>
        <v>-8.9479081911389233E-3</v>
      </c>
      <c r="C63">
        <f t="shared" si="11"/>
        <v>0.9545454545454547</v>
      </c>
      <c r="D63">
        <v>0</v>
      </c>
      <c r="E63" s="3">
        <f t="shared" si="12"/>
        <v>9.2668780683415278E-3</v>
      </c>
      <c r="F63">
        <v>0</v>
      </c>
      <c r="G63">
        <f t="shared" si="13"/>
        <v>8.0232710548411492E-3</v>
      </c>
      <c r="H63">
        <f t="shared" si="14"/>
        <v>-8.5411850915417011E-3</v>
      </c>
      <c r="I63">
        <f>H63^2*C6^2</f>
        <v>7.2951842767974227E-9</v>
      </c>
    </row>
    <row r="64" spans="1:10" ht="18" x14ac:dyDescent="0.35">
      <c r="A64" s="3" t="s">
        <v>11</v>
      </c>
      <c r="B64">
        <f t="shared" si="10"/>
        <v>-8.947908191138923E-2</v>
      </c>
      <c r="C64">
        <f t="shared" si="11"/>
        <v>0.9545454545454547</v>
      </c>
      <c r="D64">
        <v>0</v>
      </c>
      <c r="E64" s="3">
        <f t="shared" si="12"/>
        <v>9.2668780683415278E-3</v>
      </c>
      <c r="F64">
        <v>0</v>
      </c>
      <c r="G64">
        <f t="shared" si="13"/>
        <v>8.0232710548411492E-3</v>
      </c>
      <c r="H64">
        <f t="shared" si="14"/>
        <v>-8.5411850915417004E-2</v>
      </c>
      <c r="I64">
        <f t="shared" si="15"/>
        <v>7.2951842767974217E-13</v>
      </c>
    </row>
    <row r="65" spans="1:9" x14ac:dyDescent="0.25">
      <c r="A65" s="3" t="s">
        <v>63</v>
      </c>
      <c r="B65">
        <f t="shared" si="10"/>
        <v>-0.80232710548411479</v>
      </c>
      <c r="C65">
        <f t="shared" si="11"/>
        <v>0.9545454545454547</v>
      </c>
      <c r="D65">
        <f>-B9/((B8+B9)^2)</f>
        <v>-8.2644628099173563</v>
      </c>
      <c r="E65" s="3">
        <f t="shared" si="12"/>
        <v>9.2668780683415278E-3</v>
      </c>
      <c r="F65">
        <f>1/(B12+B9)</f>
        <v>5</v>
      </c>
      <c r="G65">
        <f t="shared" si="13"/>
        <v>8.0232710548411492E-3</v>
      </c>
      <c r="H65">
        <f t="shared" si="14"/>
        <v>-0.8023271054841149</v>
      </c>
      <c r="I65">
        <f t="shared" si="15"/>
        <v>6.4372878419451807E-9</v>
      </c>
    </row>
    <row r="66" spans="1:9" ht="18" x14ac:dyDescent="0.35">
      <c r="A66" s="3" t="s">
        <v>15</v>
      </c>
      <c r="B66">
        <f t="shared" si="10"/>
        <v>8.0232710548411496E-2</v>
      </c>
      <c r="C66">
        <f t="shared" si="11"/>
        <v>0.9545454545454547</v>
      </c>
      <c r="D66">
        <f>B8/((B8+B9)^2)</f>
        <v>0.82644628099173556</v>
      </c>
      <c r="E66" s="3">
        <f t="shared" si="12"/>
        <v>9.2668780683415278E-3</v>
      </c>
      <c r="F66">
        <f>-B8/((B12+B9)^2)</f>
        <v>-0.24999999999999994</v>
      </c>
      <c r="G66">
        <f t="shared" si="13"/>
        <v>8.0232710548411492E-3</v>
      </c>
      <c r="H66">
        <f t="shared" si="14"/>
        <v>8.2238528312121806E-2</v>
      </c>
      <c r="I66">
        <f t="shared" si="15"/>
        <v>6.7631755389436602E-7</v>
      </c>
    </row>
    <row r="67" spans="1:9" ht="18" x14ac:dyDescent="0.35">
      <c r="A67" s="3" t="s">
        <v>40</v>
      </c>
      <c r="B67">
        <v>0</v>
      </c>
      <c r="C67">
        <f t="shared" si="11"/>
        <v>0.9545454545454547</v>
      </c>
      <c r="D67">
        <v>0</v>
      </c>
      <c r="E67" s="3">
        <f t="shared" si="12"/>
        <v>9.2668780683415278E-3</v>
      </c>
      <c r="F67">
        <f>-LN(10)*B8*B12/((B9+B12)^2)</f>
        <v>-5.7564627324851132E-2</v>
      </c>
      <c r="G67">
        <f t="shared" si="13"/>
        <v>8.0232710548411492E-3</v>
      </c>
      <c r="H67">
        <f t="shared" si="14"/>
        <v>-4.6185660819819598E-4</v>
      </c>
      <c r="I67">
        <f>H67^2*C11^2</f>
        <v>2.1331152653634192E-7</v>
      </c>
    </row>
    <row r="68" spans="1:9" ht="18.75" x14ac:dyDescent="0.35">
      <c r="A68" s="9" t="s">
        <v>85</v>
      </c>
      <c r="I68">
        <f>SUM(I59:I67)</f>
        <v>3.6611912243638609E-6</v>
      </c>
    </row>
    <row r="69" spans="1:9" ht="18" x14ac:dyDescent="0.35">
      <c r="A69" s="17" t="s">
        <v>101</v>
      </c>
      <c r="I69" s="11">
        <f>SQRT(I68)</f>
        <v>1.9134239531175157E-3</v>
      </c>
    </row>
    <row r="70" spans="1:9" ht="18" x14ac:dyDescent="0.35">
      <c r="A70" s="9" t="s">
        <v>86</v>
      </c>
      <c r="I70">
        <f>I69/B56</f>
        <v>0.22712787768512771</v>
      </c>
    </row>
    <row r="73" spans="1:9" ht="18" x14ac:dyDescent="0.35">
      <c r="A73" s="8" t="s">
        <v>81</v>
      </c>
    </row>
    <row r="74" spans="1:9" ht="18" x14ac:dyDescent="0.35">
      <c r="A74" s="9" t="s">
        <v>65</v>
      </c>
      <c r="B74">
        <f>B54</f>
        <v>0.90909090909090917</v>
      </c>
    </row>
    <row r="75" spans="1:9" ht="18" x14ac:dyDescent="0.35">
      <c r="A75" s="9" t="s">
        <v>66</v>
      </c>
      <c r="B75">
        <f>B55</f>
        <v>1.05</v>
      </c>
    </row>
    <row r="76" spans="1:9" ht="18" x14ac:dyDescent="0.35">
      <c r="A76" s="9" t="s">
        <v>82</v>
      </c>
      <c r="B76" s="11">
        <f>B34*B74*B75</f>
        <v>9.9655054119754689E-3</v>
      </c>
    </row>
    <row r="78" spans="1:9" ht="18" x14ac:dyDescent="0.35">
      <c r="B78" t="s">
        <v>57</v>
      </c>
      <c r="C78" t="s">
        <v>69</v>
      </c>
      <c r="D78" t="s">
        <v>70</v>
      </c>
      <c r="E78" t="s">
        <v>90</v>
      </c>
      <c r="F78" t="s">
        <v>71</v>
      </c>
      <c r="G78" t="s">
        <v>91</v>
      </c>
      <c r="H78" t="s">
        <v>84</v>
      </c>
      <c r="I78" t="s">
        <v>33</v>
      </c>
    </row>
    <row r="79" spans="1:9" x14ac:dyDescent="0.25">
      <c r="A79" s="3" t="s">
        <v>1</v>
      </c>
      <c r="B79">
        <f>H46</f>
        <v>-2.6100133221840511E-3</v>
      </c>
      <c r="C79">
        <f>B$54*B$55</f>
        <v>0.9545454545454547</v>
      </c>
      <c r="D79">
        <v>0</v>
      </c>
      <c r="E79" s="3">
        <f>B$75*B$34</f>
        <v>1.0962055953173013E-2</v>
      </c>
      <c r="F79">
        <v>0</v>
      </c>
      <c r="G79">
        <f>B$74*B$34</f>
        <v>9.4909575352147314E-3</v>
      </c>
      <c r="H79">
        <f>B79*C79+D79*E79+F79*G79</f>
        <v>-2.4913763529938672E-3</v>
      </c>
      <c r="I79">
        <f>H79^2*C2^2</f>
        <v>3.8793475826606391E-7</v>
      </c>
    </row>
    <row r="80" spans="1:9" x14ac:dyDescent="0.25">
      <c r="A80" s="3" t="s">
        <v>3</v>
      </c>
      <c r="B80">
        <f>H41</f>
        <v>2.5006421078827432E-2</v>
      </c>
      <c r="C80">
        <f t="shared" ref="C80:C88" si="16">B$54*B$55</f>
        <v>0.9545454545454547</v>
      </c>
      <c r="D80">
        <v>0</v>
      </c>
      <c r="E80" s="3">
        <f t="shared" ref="E80:E88" si="17">B$75*B$34</f>
        <v>1.0962055953173013E-2</v>
      </c>
      <c r="F80">
        <v>0</v>
      </c>
      <c r="G80">
        <f t="shared" ref="G80:G88" si="18">B$74*B$34</f>
        <v>9.4909575352147314E-3</v>
      </c>
      <c r="H80">
        <f t="shared" ref="H80:H88" si="19">B80*C80+D80*E80+F80*G80</f>
        <v>2.3869765575244371E-2</v>
      </c>
      <c r="I80">
        <f t="shared" ref="I80:I88" si="20">H80^2*C3^2</f>
        <v>1.4244142715428033E-6</v>
      </c>
    </row>
    <row r="81" spans="1:9" ht="18" x14ac:dyDescent="0.35">
      <c r="A81" s="3" t="s">
        <v>5</v>
      </c>
      <c r="B81">
        <f>H42</f>
        <v>1.9749561734567256</v>
      </c>
      <c r="C81">
        <f t="shared" si="16"/>
        <v>0.9545454545454547</v>
      </c>
      <c r="D81">
        <v>0</v>
      </c>
      <c r="E81" s="3">
        <f t="shared" si="17"/>
        <v>1.0962055953173013E-2</v>
      </c>
      <c r="F81">
        <v>0</v>
      </c>
      <c r="G81">
        <f t="shared" si="18"/>
        <v>9.4909575352147314E-3</v>
      </c>
      <c r="H81">
        <f t="shared" si="19"/>
        <v>1.8851854382996021</v>
      </c>
      <c r="I81">
        <f t="shared" si="20"/>
        <v>3.5539241367768625E-6</v>
      </c>
    </row>
    <row r="82" spans="1:9" ht="18" x14ac:dyDescent="0.35">
      <c r="A82" s="3" t="s">
        <v>7</v>
      </c>
      <c r="B82">
        <f>H43</f>
        <v>-1.8355148168872641</v>
      </c>
      <c r="C82">
        <f t="shared" si="16"/>
        <v>0.9545454545454547</v>
      </c>
      <c r="D82">
        <v>0</v>
      </c>
      <c r="E82" s="3">
        <f t="shared" si="17"/>
        <v>1.0962055953173013E-2</v>
      </c>
      <c r="F82">
        <v>0</v>
      </c>
      <c r="G82">
        <f t="shared" si="18"/>
        <v>9.4909575352147314E-3</v>
      </c>
      <c r="H82">
        <f t="shared" si="19"/>
        <v>-1.7520823252105706</v>
      </c>
      <c r="I82">
        <f t="shared" si="20"/>
        <v>3.0697924743152802E-10</v>
      </c>
    </row>
    <row r="83" spans="1:9" ht="18" x14ac:dyDescent="0.35">
      <c r="A83" s="3" t="s">
        <v>9</v>
      </c>
      <c r="B83">
        <f>H44</f>
        <v>-1.2676486960860146E-2</v>
      </c>
      <c r="C83">
        <f t="shared" si="16"/>
        <v>0.9545454545454547</v>
      </c>
      <c r="D83">
        <v>0</v>
      </c>
      <c r="E83" s="3">
        <f t="shared" si="17"/>
        <v>1.0962055953173013E-2</v>
      </c>
      <c r="F83">
        <v>0</v>
      </c>
      <c r="G83">
        <f t="shared" si="18"/>
        <v>9.4909575352147314E-3</v>
      </c>
      <c r="H83">
        <f t="shared" si="19"/>
        <v>-1.2100283008093777E-2</v>
      </c>
      <c r="I83">
        <f t="shared" si="20"/>
        <v>1.4641684887596301E-8</v>
      </c>
    </row>
    <row r="84" spans="1:9" ht="18" x14ac:dyDescent="0.35">
      <c r="A84" s="3" t="s">
        <v>11</v>
      </c>
      <c r="B84">
        <f>H45</f>
        <v>-0.12676486960860145</v>
      </c>
      <c r="C84">
        <f t="shared" si="16"/>
        <v>0.9545454545454547</v>
      </c>
      <c r="D84">
        <v>0</v>
      </c>
      <c r="E84" s="3">
        <f t="shared" si="17"/>
        <v>1.0962055953173013E-2</v>
      </c>
      <c r="F84">
        <v>0</v>
      </c>
      <c r="G84">
        <f t="shared" si="18"/>
        <v>9.4909575352147314E-3</v>
      </c>
      <c r="H84">
        <f t="shared" si="19"/>
        <v>-0.12100283008093776</v>
      </c>
      <c r="I84">
        <f t="shared" si="20"/>
        <v>1.46416848875963E-12</v>
      </c>
    </row>
    <row r="85" spans="1:9" s="18" customFormat="1" ht="18" x14ac:dyDescent="0.35">
      <c r="A85" s="13" t="s">
        <v>92</v>
      </c>
      <c r="B85" s="18">
        <f>H47</f>
        <v>-1.155411478589224</v>
      </c>
      <c r="C85" s="18">
        <f t="shared" si="16"/>
        <v>0.9545454545454547</v>
      </c>
      <c r="D85" s="18">
        <f>D65</f>
        <v>-8.2644628099173563</v>
      </c>
      <c r="E85" s="13">
        <f t="shared" si="17"/>
        <v>1.0962055953173013E-2</v>
      </c>
      <c r="F85" s="18">
        <f t="shared" ref="F85:F86" si="21">F65</f>
        <v>5</v>
      </c>
      <c r="G85" s="18">
        <f t="shared" si="18"/>
        <v>9.4909575352147314E-3</v>
      </c>
      <c r="H85" s="18">
        <f t="shared" si="19"/>
        <v>-1.1460334910861447</v>
      </c>
      <c r="I85" s="18">
        <f t="shared" si="20"/>
        <v>1.3133927626910967E-8</v>
      </c>
    </row>
    <row r="86" spans="1:9" s="18" customFormat="1" ht="18" x14ac:dyDescent="0.35">
      <c r="A86" s="13" t="s">
        <v>93</v>
      </c>
      <c r="B86" s="18">
        <f>H48</f>
        <v>9.4909575352147307E-2</v>
      </c>
      <c r="C86" s="18">
        <f t="shared" si="16"/>
        <v>0.9545454545454547</v>
      </c>
      <c r="D86" s="18">
        <f>D66</f>
        <v>0.82644628099173556</v>
      </c>
      <c r="E86" s="13">
        <f t="shared" si="17"/>
        <v>1.0962055953173013E-2</v>
      </c>
      <c r="F86" s="18">
        <f t="shared" si="21"/>
        <v>-0.24999999999999994</v>
      </c>
      <c r="G86" s="18">
        <f t="shared" si="18"/>
        <v>9.4909575352147314E-3</v>
      </c>
      <c r="H86" s="18">
        <f t="shared" si="19"/>
        <v>9.7282314735951003E-2</v>
      </c>
      <c r="I86" s="18">
        <f t="shared" si="20"/>
        <v>9.4638487603846296E-7</v>
      </c>
    </row>
    <row r="87" spans="1:9" s="18" customFormat="1" x14ac:dyDescent="0.25">
      <c r="A87" s="13" t="s">
        <v>39</v>
      </c>
      <c r="B87" s="18">
        <f>H39</f>
        <v>2.0072871204381976E-3</v>
      </c>
      <c r="C87" s="18">
        <f t="shared" si="16"/>
        <v>0.9545454545454547</v>
      </c>
      <c r="D87" s="18">
        <v>0</v>
      </c>
      <c r="E87" s="13">
        <f t="shared" si="17"/>
        <v>1.0962055953173013E-2</v>
      </c>
      <c r="F87" s="18">
        <v>0</v>
      </c>
      <c r="G87" s="18">
        <f t="shared" si="18"/>
        <v>9.4909575352147314E-3</v>
      </c>
      <c r="H87" s="18">
        <f t="shared" si="19"/>
        <v>1.9160467967819161E-3</v>
      </c>
      <c r="I87" s="18">
        <f t="shared" si="20"/>
        <v>9.1780883186456026E-7</v>
      </c>
    </row>
    <row r="88" spans="1:9" s="18" customFormat="1" ht="18" x14ac:dyDescent="0.35">
      <c r="A88" s="13" t="s">
        <v>94</v>
      </c>
      <c r="B88" s="18">
        <v>0</v>
      </c>
      <c r="C88" s="18">
        <f t="shared" si="16"/>
        <v>0.9545454545454547</v>
      </c>
      <c r="D88" s="18">
        <v>0</v>
      </c>
      <c r="E88" s="13">
        <f t="shared" si="17"/>
        <v>1.0962055953173013E-2</v>
      </c>
      <c r="F88" s="18">
        <f>F67</f>
        <v>-5.7564627324851132E-2</v>
      </c>
      <c r="G88" s="18">
        <f t="shared" si="18"/>
        <v>9.4909575352147314E-3</v>
      </c>
      <c r="H88" s="18">
        <f t="shared" si="19"/>
        <v>-5.4634343347062368E-4</v>
      </c>
      <c r="I88" s="18">
        <f t="shared" si="20"/>
        <v>2.9849114729646979E-7</v>
      </c>
    </row>
    <row r="89" spans="1:9" ht="18.75" x14ac:dyDescent="0.35">
      <c r="A89" s="9" t="s">
        <v>87</v>
      </c>
      <c r="I89">
        <f>SUM(I79:I88)</f>
        <v>7.5570420777156504E-6</v>
      </c>
    </row>
    <row r="90" spans="1:9" ht="18" x14ac:dyDescent="0.35">
      <c r="A90" s="9" t="s">
        <v>88</v>
      </c>
      <c r="I90" s="11">
        <f>SQRT(I89)</f>
        <v>2.7490074713822899E-3</v>
      </c>
    </row>
    <row r="91" spans="1:9" ht="18" x14ac:dyDescent="0.35">
      <c r="A91" s="9" t="s">
        <v>89</v>
      </c>
      <c r="I91">
        <f>I90/B76</f>
        <v>0.27585228824208247</v>
      </c>
    </row>
    <row r="94" spans="1:9" ht="18" x14ac:dyDescent="0.35">
      <c r="A94" s="8" t="s">
        <v>103</v>
      </c>
    </row>
    <row r="95" spans="1:9" x14ac:dyDescent="0.25">
      <c r="A95" s="9" t="s">
        <v>39</v>
      </c>
      <c r="B95">
        <f>'N Uptake'!D12</f>
        <v>0.9</v>
      </c>
    </row>
    <row r="96" spans="1:9" x14ac:dyDescent="0.25">
      <c r="A96" s="3" t="s">
        <v>108</v>
      </c>
      <c r="B96">
        <f>B8+B9</f>
        <v>0.11</v>
      </c>
    </row>
    <row r="97" spans="1:9" x14ac:dyDescent="0.25">
      <c r="A97" s="3" t="s">
        <v>104</v>
      </c>
      <c r="B97">
        <f>B15</f>
        <v>9.3335563636363653E-2</v>
      </c>
    </row>
    <row r="98" spans="1:9" x14ac:dyDescent="0.25">
      <c r="A98" s="3" t="s">
        <v>105</v>
      </c>
      <c r="B98">
        <f>LN( (B97-B10*B5)/B3)</f>
        <v>-1.7144278785720624</v>
      </c>
    </row>
    <row r="99" spans="1:9" x14ac:dyDescent="0.25">
      <c r="A99" s="3" t="s">
        <v>106</v>
      </c>
      <c r="B99">
        <f>LN( (B5-B4)/B96 + (B97-B10*B4)/B3 )</f>
        <v>-2.1971655245344155</v>
      </c>
    </row>
    <row r="100" spans="1:9" x14ac:dyDescent="0.25">
      <c r="A100" s="3" t="s">
        <v>107</v>
      </c>
      <c r="B100">
        <f>B3*B96/(B3+B10*B96)</f>
        <v>9.1819699499165283E-2</v>
      </c>
    </row>
    <row r="101" spans="1:9" ht="18" x14ac:dyDescent="0.35">
      <c r="A101" s="3" t="s">
        <v>115</v>
      </c>
      <c r="B101">
        <f>(B98-B99)*B100/B2</f>
        <v>1.1081206397299426E-2</v>
      </c>
    </row>
    <row r="102" spans="1:9" x14ac:dyDescent="0.25">
      <c r="A102" s="3"/>
    </row>
    <row r="103" spans="1:9" ht="18.75" x14ac:dyDescent="0.35">
      <c r="A103" s="3"/>
      <c r="B103" t="s">
        <v>111</v>
      </c>
      <c r="C103" t="s">
        <v>54</v>
      </c>
      <c r="D103" t="s">
        <v>112</v>
      </c>
      <c r="E103" t="s">
        <v>55</v>
      </c>
      <c r="F103" t="s">
        <v>113</v>
      </c>
      <c r="G103" t="s">
        <v>114</v>
      </c>
      <c r="H103" s="15" t="s">
        <v>116</v>
      </c>
      <c r="I103" t="s">
        <v>117</v>
      </c>
    </row>
    <row r="104" spans="1:9" x14ac:dyDescent="0.25">
      <c r="A104" s="3" t="s">
        <v>1</v>
      </c>
      <c r="G104" s="44">
        <f>-1/B2*B101</f>
        <v>-2.7703015993248564E-3</v>
      </c>
      <c r="H104">
        <f t="shared" ref="H104:H112" si="22">C2</f>
        <v>0.25</v>
      </c>
      <c r="I104">
        <f>G104^2*H104^2</f>
        <v>4.7966068445136611E-7</v>
      </c>
    </row>
    <row r="105" spans="1:9" x14ac:dyDescent="0.25">
      <c r="A105" s="3" t="s">
        <v>3</v>
      </c>
      <c r="B105">
        <f>-1/B3</f>
        <v>-2</v>
      </c>
      <c r="C105">
        <f xml:space="preserve"> -(B97-B95*B4) / (B3* ( ( (B5-B4)/B96)*B3 + (B97-B95*B4)))</f>
        <v>-3.0359010071550681</v>
      </c>
      <c r="D105">
        <f>(B105-C105)*$B$100/$B$2</f>
        <v>2.3779029796965254E-2</v>
      </c>
      <c r="E105" s="3">
        <f>B95 * B96^2 / (B3+B95*B96)^2</f>
        <v>3.0351085978021247E-2</v>
      </c>
      <c r="F105">
        <f>($B$98-$B$99)*E105/$B$2</f>
        <v>3.6629029493577404E-3</v>
      </c>
      <c r="G105" s="44">
        <f>D105+F105</f>
        <v>2.7441932746322995E-2</v>
      </c>
      <c r="H105">
        <f t="shared" si="22"/>
        <v>0.05</v>
      </c>
      <c r="I105">
        <f t="shared" ref="I105:I112" si="23">G105^2*H105^2</f>
        <v>1.8826491821342862E-6</v>
      </c>
    </row>
    <row r="106" spans="1:9" ht="18" x14ac:dyDescent="0.35">
      <c r="A106" s="3" t="s">
        <v>5</v>
      </c>
      <c r="B106">
        <v>0</v>
      </c>
      <c r="C106">
        <f>(B3+B95*B96)/((B3+B95*B96)*B4-B96*B97-B5*B3)</f>
        <v>-98.012393740820514</v>
      </c>
      <c r="D106">
        <f>(B956-C106)*$B$100/$B$2</f>
        <v>2.2498671351190018</v>
      </c>
      <c r="E106" s="3">
        <v>0</v>
      </c>
      <c r="F106">
        <f t="shared" ref="F106:F112" si="24">($B$98-$B$99)*E106/$B$2</f>
        <v>0</v>
      </c>
      <c r="G106" s="44">
        <f t="shared" ref="G106:G112" si="25">D106+F106</f>
        <v>2.2498671351190018</v>
      </c>
      <c r="H106">
        <f t="shared" si="22"/>
        <v>1E-3</v>
      </c>
      <c r="I106">
        <f t="shared" si="23"/>
        <v>5.0619021256885842E-6</v>
      </c>
    </row>
    <row r="107" spans="1:9" ht="18" x14ac:dyDescent="0.35">
      <c r="A107" s="3" t="s">
        <v>7</v>
      </c>
      <c r="B107">
        <f>B95/(B95*B5-B97)</f>
        <v>-9.9962951912512992</v>
      </c>
      <c r="C107">
        <f>B3 / ( (B5-B4)*B3 + B96*(B97-B95*B4))</f>
        <v>81.813350367963707</v>
      </c>
      <c r="D107">
        <f>(B107-C107)*$B$100/$B$2</f>
        <v>-2.1074835165929988</v>
      </c>
      <c r="E107" s="3">
        <v>0</v>
      </c>
      <c r="F107">
        <f t="shared" si="24"/>
        <v>0</v>
      </c>
      <c r="G107" s="44">
        <f t="shared" si="25"/>
        <v>-2.1074835165929988</v>
      </c>
      <c r="H107">
        <f t="shared" si="22"/>
        <v>1.0000000000000001E-5</v>
      </c>
      <c r="I107">
        <f t="shared" si="23"/>
        <v>4.441486772711194E-10</v>
      </c>
    </row>
    <row r="108" spans="1:9" ht="18" x14ac:dyDescent="0.35">
      <c r="A108" s="3" t="s">
        <v>9</v>
      </c>
      <c r="B108">
        <f>1 / (B97-B95*B5) * B8/B96</f>
        <v>1.0097267869950808</v>
      </c>
      <c r="C108">
        <f>B8 / ((B97 - B95*B4)*B96 + (B5-B4)*B3)</f>
        <v>1.6362670073592742</v>
      </c>
      <c r="D108">
        <f t="shared" ref="D108:D112" si="26">(B108-C108)*$B$100/$B$2</f>
        <v>-1.4382183689495259E-2</v>
      </c>
      <c r="E108" s="3">
        <v>0</v>
      </c>
      <c r="F108">
        <f t="shared" si="24"/>
        <v>0</v>
      </c>
      <c r="G108" s="44">
        <f t="shared" si="25"/>
        <v>-1.4382183689495259E-2</v>
      </c>
      <c r="H108">
        <f t="shared" si="22"/>
        <v>0.01</v>
      </c>
      <c r="I108">
        <f t="shared" si="23"/>
        <v>2.0684720767838348E-8</v>
      </c>
    </row>
    <row r="109" spans="1:9" ht="18" x14ac:dyDescent="0.35">
      <c r="A109" s="3" t="s">
        <v>11</v>
      </c>
      <c r="B109">
        <f>1 / (B97-B95*B5) * B9/B96</f>
        <v>10.097267869950807</v>
      </c>
      <c r="C109">
        <f>1 / (B97 + B3*((B5-B4)/B96) - B95*B4) * B9/B96</f>
        <v>16.362670073592742</v>
      </c>
      <c r="D109">
        <f t="shared" si="26"/>
        <v>-0.14382183689495262</v>
      </c>
      <c r="E109" s="3">
        <v>0</v>
      </c>
      <c r="F109">
        <f t="shared" si="24"/>
        <v>0</v>
      </c>
      <c r="G109" s="44">
        <f t="shared" si="25"/>
        <v>-0.14382183689495262</v>
      </c>
      <c r="H109">
        <f t="shared" si="22"/>
        <v>1.0000000000000001E-5</v>
      </c>
      <c r="I109">
        <f t="shared" si="23"/>
        <v>2.0684720767838359E-12</v>
      </c>
    </row>
    <row r="110" spans="1:9" ht="18" x14ac:dyDescent="0.35">
      <c r="A110" s="13" t="s">
        <v>92</v>
      </c>
      <c r="B110">
        <f>(B7-B6)*B9 / (B96*((B95*B5-B6)*B8+(B95*B5-B7)*B9))</f>
        <v>90.53861003422098</v>
      </c>
      <c r="C110">
        <f>-(B3*B4+(B6-B7)*B9-B3*B5) / ( B96*((B95*B4-B6)*B8 + (B95*B9+B3)*B4 - B7*B9 - B3*B5) )</f>
        <v>151.42688433103578</v>
      </c>
      <c r="D110">
        <f t="shared" si="26"/>
        <v>-1.397685762239071</v>
      </c>
      <c r="E110" s="3">
        <f>B3^2 / (B95*B8+B95*B9+B3)^2</f>
        <v>0.69676505918322418</v>
      </c>
      <c r="F110">
        <f t="shared" si="24"/>
        <v>8.4088681114732319E-2</v>
      </c>
      <c r="G110" s="44">
        <f t="shared" si="25"/>
        <v>-1.3135970811243387</v>
      </c>
      <c r="H110">
        <f t="shared" si="22"/>
        <v>1E-4</v>
      </c>
      <c r="I110">
        <f t="shared" si="23"/>
        <v>1.7255372915383825E-8</v>
      </c>
    </row>
    <row r="111" spans="1:9" ht="18" x14ac:dyDescent="0.35">
      <c r="A111" s="13" t="s">
        <v>93</v>
      </c>
      <c r="B111">
        <f xml:space="preserve"> - (B7-B6)*B8 / (B96*((B95*B5-B6)*B8 + (B10*B5-B7)*B9))</f>
        <v>-9.0538610034220959</v>
      </c>
      <c r="C111">
        <f>( (B5-B4)*B3 + (B6-B7)*B8 ) / ( B96 * ((B95*B4-B7)*B9 + B8*B95*B4 - (B5-B4)*B3 - B6*B8))</f>
        <v>-9.9631833973282298</v>
      </c>
      <c r="D111">
        <f t="shared" si="26"/>
        <v>2.0873427239080703E-2</v>
      </c>
      <c r="E111" s="3">
        <f>B3^2 / (B95*B8 +B95*B9 + B3)^2</f>
        <v>0.69676505918322418</v>
      </c>
      <c r="F111">
        <f t="shared" si="24"/>
        <v>8.4088681114732319E-2</v>
      </c>
      <c r="G111" s="44">
        <f t="shared" si="25"/>
        <v>0.10496210835381302</v>
      </c>
      <c r="H111">
        <f t="shared" si="22"/>
        <v>0.01</v>
      </c>
      <c r="I111">
        <f t="shared" si="23"/>
        <v>1.1017044190077584E-6</v>
      </c>
    </row>
    <row r="112" spans="1:9" x14ac:dyDescent="0.25">
      <c r="A112" s="13" t="s">
        <v>39</v>
      </c>
      <c r="B112">
        <f xml:space="preserve"> B5 / (B95*B5 - B97)</f>
        <v>-4.0752896235693295E-2</v>
      </c>
      <c r="C112">
        <f>B4/(B95*B4-B97-B3*(B5-B4)/B96)</f>
        <v>-0.17998937080952013</v>
      </c>
      <c r="D112">
        <f t="shared" si="26"/>
        <v>3.1961628136729864E-3</v>
      </c>
      <c r="E112" s="3">
        <f>-B3*B96^2/((B96*B95+B3)^2)</f>
        <v>-1.6861714432234023E-2</v>
      </c>
      <c r="F112">
        <f t="shared" si="24"/>
        <v>-2.0349460829765221E-3</v>
      </c>
      <c r="G112" s="44">
        <f t="shared" si="25"/>
        <v>1.1612167306964643E-3</v>
      </c>
      <c r="H112">
        <f t="shared" si="22"/>
        <v>0.5</v>
      </c>
      <c r="I112">
        <f t="shared" si="23"/>
        <v>3.3710607391234626E-7</v>
      </c>
    </row>
    <row r="113" spans="1:9" ht="18.75" x14ac:dyDescent="0.35">
      <c r="A113" s="9" t="s">
        <v>109</v>
      </c>
      <c r="I113">
        <f>SUM(I104:I112)</f>
        <v>8.9014087960269112E-6</v>
      </c>
    </row>
    <row r="114" spans="1:9" ht="18" x14ac:dyDescent="0.35">
      <c r="A114" s="9" t="s">
        <v>110</v>
      </c>
      <c r="I114">
        <f>SQRT(I113)</f>
        <v>2.9835228834428121E-3</v>
      </c>
    </row>
    <row r="115" spans="1:9" ht="18" x14ac:dyDescent="0.35">
      <c r="A115" s="9" t="s">
        <v>118</v>
      </c>
      <c r="I115">
        <f>I114/B101</f>
        <v>0.26924170315697027</v>
      </c>
    </row>
    <row r="118" spans="1:9" ht="18" x14ac:dyDescent="0.35">
      <c r="A118" s="8" t="s">
        <v>102</v>
      </c>
    </row>
    <row r="119" spans="1:9" ht="18" x14ac:dyDescent="0.35">
      <c r="A119" s="9" t="s">
        <v>65</v>
      </c>
      <c r="B119">
        <f>B74</f>
        <v>0.90909090909090917</v>
      </c>
    </row>
    <row r="120" spans="1:9" ht="18" x14ac:dyDescent="0.35">
      <c r="A120" s="9" t="s">
        <v>66</v>
      </c>
      <c r="B120">
        <f>B75</f>
        <v>1.05</v>
      </c>
    </row>
    <row r="121" spans="1:9" ht="18" x14ac:dyDescent="0.35">
      <c r="A121" s="9" t="s">
        <v>120</v>
      </c>
      <c r="B121" s="45">
        <f>B101*B119*B120</f>
        <v>1.057751519742218E-2</v>
      </c>
    </row>
    <row r="123" spans="1:9" ht="18" x14ac:dyDescent="0.35">
      <c r="B123" t="s">
        <v>114</v>
      </c>
      <c r="C123" t="s">
        <v>69</v>
      </c>
      <c r="D123" t="s">
        <v>70</v>
      </c>
      <c r="E123" t="s">
        <v>121</v>
      </c>
      <c r="F123" t="s">
        <v>71</v>
      </c>
      <c r="G123" t="s">
        <v>91</v>
      </c>
      <c r="H123" t="s">
        <v>122</v>
      </c>
      <c r="I123" t="s">
        <v>33</v>
      </c>
    </row>
    <row r="124" spans="1:9" x14ac:dyDescent="0.25">
      <c r="A124" s="3" t="s">
        <v>1</v>
      </c>
      <c r="B124">
        <f>G104</f>
        <v>-2.7703015993248564E-3</v>
      </c>
      <c r="C124">
        <f>B$119*B$120</f>
        <v>0.9545454545454547</v>
      </c>
      <c r="D124">
        <v>0</v>
      </c>
      <c r="E124" s="3">
        <f>B$120*B$101</f>
        <v>1.1635266717164397E-2</v>
      </c>
      <c r="F124">
        <v>0</v>
      </c>
      <c r="G124">
        <f>B$119*B$101</f>
        <v>1.0073823997544933E-2</v>
      </c>
      <c r="H124">
        <f>B124*C124+D124*E124+F124*G124</f>
        <v>-2.644378799355545E-3</v>
      </c>
      <c r="I124">
        <f>H124^2*C2^2</f>
        <v>4.3704620215506712E-7</v>
      </c>
    </row>
    <row r="125" spans="1:9" x14ac:dyDescent="0.25">
      <c r="A125" s="3" t="s">
        <v>3</v>
      </c>
      <c r="B125">
        <f t="shared" ref="B125:B132" si="27">G105</f>
        <v>2.7441932746322995E-2</v>
      </c>
      <c r="C125">
        <f t="shared" ref="C125:C133" si="28">B$119*B$120</f>
        <v>0.9545454545454547</v>
      </c>
      <c r="D125">
        <v>0</v>
      </c>
      <c r="E125" s="3">
        <f t="shared" ref="E125:E133" si="29">B$120*B$101</f>
        <v>1.1635266717164397E-2</v>
      </c>
      <c r="F125">
        <v>0</v>
      </c>
      <c r="G125">
        <f t="shared" ref="G125:G133" si="30">B$119*B$101</f>
        <v>1.0073823997544933E-2</v>
      </c>
      <c r="H125">
        <f t="shared" ref="H125:H133" si="31">B125*C125+D125*E125+F125*G125</f>
        <v>2.6194572166944683E-2</v>
      </c>
      <c r="I125">
        <f t="shared" ref="I125:I133" si="32">H125^2*C3^2</f>
        <v>1.7153890275231831E-6</v>
      </c>
    </row>
    <row r="126" spans="1:9" ht="18" x14ac:dyDescent="0.35">
      <c r="A126" s="3" t="s">
        <v>5</v>
      </c>
      <c r="B126">
        <f t="shared" si="27"/>
        <v>2.2498671351190018</v>
      </c>
      <c r="C126">
        <f t="shared" si="28"/>
        <v>0.9545454545454547</v>
      </c>
      <c r="D126">
        <v>0</v>
      </c>
      <c r="E126" s="3">
        <f t="shared" si="29"/>
        <v>1.1635266717164397E-2</v>
      </c>
      <c r="F126">
        <v>0</v>
      </c>
      <c r="G126">
        <f t="shared" si="30"/>
        <v>1.0073823997544933E-2</v>
      </c>
      <c r="H126">
        <f t="shared" si="31"/>
        <v>2.1476004471590477</v>
      </c>
      <c r="I126">
        <f t="shared" si="32"/>
        <v>4.612187680637742E-6</v>
      </c>
    </row>
    <row r="127" spans="1:9" ht="18" x14ac:dyDescent="0.35">
      <c r="A127" s="3" t="s">
        <v>7</v>
      </c>
      <c r="B127">
        <f t="shared" si="27"/>
        <v>-2.1074835165929988</v>
      </c>
      <c r="C127">
        <f t="shared" si="28"/>
        <v>0.9545454545454547</v>
      </c>
      <c r="D127">
        <v>0</v>
      </c>
      <c r="E127" s="3">
        <f t="shared" si="29"/>
        <v>1.1635266717164397E-2</v>
      </c>
      <c r="F127">
        <v>0</v>
      </c>
      <c r="G127">
        <f t="shared" si="30"/>
        <v>1.0073823997544933E-2</v>
      </c>
      <c r="H127">
        <f t="shared" si="31"/>
        <v>-2.0116888112933173</v>
      </c>
      <c r="I127">
        <f t="shared" si="32"/>
        <v>4.046891873482721E-10</v>
      </c>
    </row>
    <row r="128" spans="1:9" ht="18" x14ac:dyDescent="0.35">
      <c r="A128" s="3" t="s">
        <v>9</v>
      </c>
      <c r="B128">
        <f t="shared" si="27"/>
        <v>-1.4382183689495259E-2</v>
      </c>
      <c r="C128">
        <f t="shared" si="28"/>
        <v>0.9545454545454547</v>
      </c>
      <c r="D128">
        <v>0</v>
      </c>
      <c r="E128" s="3">
        <f t="shared" si="29"/>
        <v>1.1635266717164397E-2</v>
      </c>
      <c r="F128">
        <v>0</v>
      </c>
      <c r="G128">
        <f t="shared" si="30"/>
        <v>1.0073823997544933E-2</v>
      </c>
      <c r="H128">
        <f t="shared" si="31"/>
        <v>-1.3728448067245477E-2</v>
      </c>
      <c r="I128">
        <f t="shared" si="32"/>
        <v>1.8847028633505608E-8</v>
      </c>
    </row>
    <row r="129" spans="1:9" ht="18" x14ac:dyDescent="0.35">
      <c r="A129" s="3" t="s">
        <v>11</v>
      </c>
      <c r="B129">
        <f t="shared" si="27"/>
        <v>-0.14382183689495262</v>
      </c>
      <c r="C129">
        <f t="shared" si="28"/>
        <v>0.9545454545454547</v>
      </c>
      <c r="D129">
        <v>0</v>
      </c>
      <c r="E129" s="3">
        <f t="shared" si="29"/>
        <v>1.1635266717164397E-2</v>
      </c>
      <c r="F129">
        <v>0</v>
      </c>
      <c r="G129">
        <f t="shared" si="30"/>
        <v>1.0073823997544933E-2</v>
      </c>
      <c r="H129">
        <f t="shared" si="31"/>
        <v>-0.1372844806724548</v>
      </c>
      <c r="I129">
        <f t="shared" si="32"/>
        <v>1.8847028633505617E-12</v>
      </c>
    </row>
    <row r="130" spans="1:9" ht="18" x14ac:dyDescent="0.35">
      <c r="A130" s="13" t="s">
        <v>92</v>
      </c>
      <c r="B130">
        <f t="shared" si="27"/>
        <v>-1.3135970811243387</v>
      </c>
      <c r="C130">
        <f t="shared" si="28"/>
        <v>0.9545454545454547</v>
      </c>
      <c r="D130" s="18">
        <f>D85</f>
        <v>-8.2644628099173563</v>
      </c>
      <c r="E130" s="3">
        <f t="shared" si="29"/>
        <v>1.1635266717164397E-2</v>
      </c>
      <c r="F130" s="18">
        <f>F85</f>
        <v>5</v>
      </c>
      <c r="G130">
        <f t="shared" si="30"/>
        <v>1.0073823997544933E-2</v>
      </c>
      <c r="H130" s="18">
        <f t="shared" si="31"/>
        <v>-1.2996782319711642</v>
      </c>
      <c r="I130">
        <f t="shared" si="32"/>
        <v>1.6891635066596913E-8</v>
      </c>
    </row>
    <row r="131" spans="1:9" ht="18" x14ac:dyDescent="0.35">
      <c r="A131" s="13" t="s">
        <v>93</v>
      </c>
      <c r="B131">
        <f t="shared" si="27"/>
        <v>0.10496210835381302</v>
      </c>
      <c r="C131">
        <f t="shared" si="28"/>
        <v>0.9545454545454547</v>
      </c>
      <c r="D131" s="18">
        <f>D86</f>
        <v>0.82644628099173556</v>
      </c>
      <c r="E131" s="3">
        <f t="shared" si="29"/>
        <v>1.1635266717164397E-2</v>
      </c>
      <c r="F131" s="18">
        <f t="shared" ref="F131:F133" si="33">F86</f>
        <v>-0.24999999999999994</v>
      </c>
      <c r="G131">
        <f t="shared" si="30"/>
        <v>1.0073823997544933E-2</v>
      </c>
      <c r="H131" s="18">
        <f t="shared" si="31"/>
        <v>0.10728857033600092</v>
      </c>
      <c r="I131">
        <f t="shared" si="32"/>
        <v>1.1510837324743018E-6</v>
      </c>
    </row>
    <row r="132" spans="1:9" x14ac:dyDescent="0.25">
      <c r="A132" s="13" t="s">
        <v>39</v>
      </c>
      <c r="B132">
        <f t="shared" si="27"/>
        <v>1.1612167306964643E-3</v>
      </c>
      <c r="C132">
        <f t="shared" si="28"/>
        <v>0.9545454545454547</v>
      </c>
      <c r="D132" s="18">
        <v>0</v>
      </c>
      <c r="E132" s="3">
        <f t="shared" si="29"/>
        <v>1.1635266717164397E-2</v>
      </c>
      <c r="F132" s="18">
        <f t="shared" si="33"/>
        <v>0</v>
      </c>
      <c r="G132">
        <f t="shared" si="30"/>
        <v>1.0073823997544933E-2</v>
      </c>
      <c r="H132" s="18">
        <f t="shared" si="31"/>
        <v>1.1084341520284434E-3</v>
      </c>
      <c r="I132">
        <f t="shared" si="32"/>
        <v>3.071565673457536E-7</v>
      </c>
    </row>
    <row r="133" spans="1:9" ht="18" x14ac:dyDescent="0.35">
      <c r="A133" s="13" t="s">
        <v>94</v>
      </c>
      <c r="B133">
        <v>0</v>
      </c>
      <c r="C133">
        <f t="shared" si="28"/>
        <v>0.9545454545454547</v>
      </c>
      <c r="D133" s="18">
        <v>0</v>
      </c>
      <c r="E133" s="3">
        <f t="shared" si="29"/>
        <v>1.1635266717164397E-2</v>
      </c>
      <c r="F133" s="18">
        <f t="shared" si="33"/>
        <v>-5.7564627324851132E-2</v>
      </c>
      <c r="G133">
        <f t="shared" si="30"/>
        <v>1.0073823997544933E-2</v>
      </c>
      <c r="H133" s="18">
        <f t="shared" si="31"/>
        <v>-5.7989592415481613E-4</v>
      </c>
      <c r="I133">
        <f t="shared" si="32"/>
        <v>3.3627928285136825E-7</v>
      </c>
    </row>
    <row r="134" spans="1:9" ht="18.75" x14ac:dyDescent="0.35">
      <c r="A134" s="9" t="s">
        <v>123</v>
      </c>
      <c r="I134">
        <f>SUM(I124:I133)</f>
        <v>8.5952877305777297E-6</v>
      </c>
    </row>
    <row r="135" spans="1:9" ht="18" x14ac:dyDescent="0.35">
      <c r="A135" s="9" t="s">
        <v>124</v>
      </c>
      <c r="I135">
        <f>SQRT(I134)</f>
        <v>2.9317721143666212E-3</v>
      </c>
    </row>
    <row r="136" spans="1:9" ht="18" x14ac:dyDescent="0.35">
      <c r="A136" s="9" t="s">
        <v>125</v>
      </c>
      <c r="I136">
        <f>I135/B121</f>
        <v>0.27717021055012203</v>
      </c>
    </row>
  </sheetData>
  <conditionalFormatting sqref="E18:E25">
    <cfRule type="cellIs" dxfId="2" priority="3" operator="greaterThan">
      <formula>0.01</formula>
    </cfRule>
  </conditionalFormatting>
  <conditionalFormatting sqref="F18:F25">
    <cfRule type="containsText" dxfId="1" priority="1" operator="containsText" text="TRUE">
      <formula>NOT(ISERROR(SEARCH("TRUE",F18)))</formula>
    </cfRule>
    <cfRule type="cellIs" dxfId="0" priority="2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 Uptake</vt:lpstr>
      <vt:lpstr>hidden</vt:lpstr>
    </vt:vector>
  </TitlesOfParts>
  <Company>Florida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Stukel</dc:creator>
  <cp:lastModifiedBy>Mike Stukel</cp:lastModifiedBy>
  <dcterms:created xsi:type="dcterms:W3CDTF">2019-02-13T22:06:06Z</dcterms:created>
  <dcterms:modified xsi:type="dcterms:W3CDTF">2019-05-30T15:05:43Z</dcterms:modified>
</cp:coreProperties>
</file>