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@@Учёный секретарь\ПО Учёный секретарь\DataBaseIO\DataBaseIO\bin\Debug\Ведомости 2018-2019 июнь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M28" i="1"/>
  <c r="L28" i="1"/>
  <c r="I28" i="1"/>
  <c r="H28" i="1"/>
  <c r="E28" i="1"/>
  <c r="D28" i="1"/>
  <c r="W27" i="1"/>
  <c r="T27" i="1"/>
  <c r="Q27" i="1"/>
  <c r="P27" i="1"/>
  <c r="N27" i="1"/>
  <c r="M27" i="1"/>
  <c r="L27" i="1"/>
  <c r="I27" i="1"/>
  <c r="H27" i="1"/>
  <c r="D27" i="1"/>
  <c r="T25" i="1"/>
  <c r="M25" i="1"/>
  <c r="L25" i="1"/>
  <c r="E25" i="1"/>
  <c r="D25" i="1"/>
  <c r="T19" i="1"/>
  <c r="M19" i="1"/>
  <c r="L19" i="1"/>
  <c r="H19" i="1"/>
  <c r="E19" i="1"/>
  <c r="D19" i="1"/>
  <c r="T18" i="1"/>
  <c r="W18" i="1"/>
  <c r="Q18" i="1"/>
  <c r="P18" i="1"/>
  <c r="M18" i="1"/>
  <c r="L18" i="1"/>
  <c r="I18" i="1"/>
  <c r="H18" i="1"/>
  <c r="E18" i="1"/>
  <c r="D18" i="1"/>
  <c r="U16" i="1"/>
  <c r="N16" i="1"/>
  <c r="M16" i="1"/>
  <c r="L16" i="1"/>
  <c r="I16" i="1"/>
  <c r="H16" i="1"/>
  <c r="F16" i="1"/>
  <c r="D16" i="1"/>
  <c r="T15" i="1"/>
  <c r="E13" i="1" l="1"/>
  <c r="W13" i="1" l="1"/>
  <c r="T13" i="1"/>
  <c r="Q13" i="1"/>
  <c r="P13" i="1"/>
  <c r="N13" i="1"/>
  <c r="M13" i="1"/>
  <c r="L13" i="1"/>
  <c r="I13" i="1"/>
  <c r="H13" i="1"/>
  <c r="D13" i="1"/>
  <c r="W12" i="1"/>
  <c r="Q12" i="1"/>
  <c r="P12" i="1"/>
  <c r="N12" i="1"/>
  <c r="M12" i="1"/>
  <c r="L12" i="1"/>
  <c r="I12" i="1"/>
  <c r="H12" i="1"/>
  <c r="F12" i="1"/>
  <c r="D12" i="1"/>
  <c r="T14" i="1"/>
  <c r="Q14" i="1"/>
  <c r="M14" i="1"/>
  <c r="L14" i="1"/>
  <c r="I14" i="1"/>
  <c r="H14" i="1"/>
  <c r="E14" i="1"/>
  <c r="D14" i="1"/>
  <c r="T20" i="1"/>
  <c r="L20" i="1"/>
  <c r="H20" i="1"/>
  <c r="D20" i="1"/>
  <c r="T24" i="1"/>
  <c r="M24" i="1"/>
  <c r="L24" i="1"/>
  <c r="D24" i="1"/>
  <c r="I26" i="1"/>
  <c r="D26" i="1"/>
  <c r="U29" i="1"/>
  <c r="T29" i="1"/>
  <c r="Q29" i="1"/>
  <c r="M29" i="1"/>
  <c r="L29" i="1"/>
  <c r="I29" i="1"/>
  <c r="H29" i="1"/>
  <c r="E29" i="1"/>
  <c r="D29" i="1"/>
  <c r="Q21" i="1"/>
  <c r="N31" i="1"/>
  <c r="M31" i="1"/>
  <c r="L31" i="1"/>
  <c r="H31" i="1"/>
  <c r="E31" i="1"/>
  <c r="D31" i="1"/>
  <c r="I32" i="1"/>
  <c r="T32" i="1"/>
  <c r="W11" i="1"/>
  <c r="T11" i="1"/>
  <c r="Q11" i="1"/>
  <c r="P11" i="1"/>
  <c r="N11" i="1"/>
  <c r="M11" i="1"/>
  <c r="L11" i="1"/>
  <c r="I11" i="1"/>
  <c r="T10" i="1"/>
  <c r="M10" i="1"/>
  <c r="L10" i="1"/>
  <c r="I10" i="1"/>
  <c r="H10" i="1"/>
  <c r="D10" i="1"/>
  <c r="T9" i="1"/>
  <c r="W8" i="1"/>
  <c r="V8" i="1"/>
  <c r="U8" i="1"/>
  <c r="R8" i="1"/>
  <c r="Q8" i="1"/>
  <c r="P8" i="1"/>
  <c r="O8" i="1"/>
  <c r="N8" i="1"/>
  <c r="M8" i="1"/>
  <c r="L8" i="1"/>
  <c r="I8" i="1"/>
  <c r="H8" i="1"/>
  <c r="E8" i="1"/>
  <c r="D8" i="1"/>
  <c r="N6" i="1"/>
  <c r="M6" i="1"/>
  <c r="L6" i="1"/>
  <c r="I6" i="1"/>
  <c r="H6" i="1"/>
  <c r="F6" i="1"/>
  <c r="D6" i="1"/>
  <c r="X34" i="1" l="1"/>
  <c r="Y33" i="1" l="1"/>
  <c r="Z33" i="1" s="1"/>
  <c r="Y32" i="1"/>
  <c r="Z32" i="1" s="1"/>
  <c r="X32" i="1"/>
  <c r="X31" i="1"/>
  <c r="X29" i="1"/>
  <c r="X28" i="1"/>
  <c r="X27" i="1"/>
  <c r="X26" i="1"/>
  <c r="X25" i="1"/>
  <c r="X24" i="1"/>
  <c r="X23" i="1"/>
  <c r="X22" i="1"/>
  <c r="X21" i="1"/>
  <c r="X20" i="1"/>
  <c r="X19" i="1"/>
  <c r="X18" i="1"/>
  <c r="X16" i="1"/>
  <c r="X15" i="1"/>
  <c r="X14" i="1"/>
  <c r="X13" i="1"/>
  <c r="X12" i="1" l="1"/>
  <c r="X11" i="1"/>
  <c r="X10" i="1"/>
  <c r="X9" i="1"/>
  <c r="X8" i="1"/>
  <c r="X7" i="1"/>
  <c r="X6" i="1"/>
  <c r="Y23" i="1" l="1"/>
  <c r="Z23" i="1" s="1"/>
  <c r="Y31" i="1" l="1"/>
  <c r="Z31" i="1" s="1"/>
  <c r="Y30" i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2" i="1"/>
  <c r="Z22" i="1" s="1"/>
  <c r="Y21" i="1"/>
  <c r="Z21" i="1" s="1"/>
  <c r="Y20" i="1"/>
  <c r="Z20" i="1" s="1"/>
  <c r="Y19" i="1"/>
  <c r="Z19" i="1" s="1"/>
  <c r="Y18" i="1"/>
  <c r="Z18" i="1" s="1"/>
  <c r="Z17" i="1"/>
  <c r="Y17" i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7" i="1"/>
  <c r="Y7" i="1"/>
  <c r="Y6" i="1"/>
  <c r="Y34" i="1" l="1"/>
  <c r="Z6" i="1"/>
  <c r="Z30" i="1"/>
  <c r="Z8" i="1"/>
  <c r="Z34" i="1" l="1"/>
</calcChain>
</file>

<file path=xl/sharedStrings.xml><?xml version="1.0" encoding="utf-8"?>
<sst xmlns="http://schemas.openxmlformats.org/spreadsheetml/2006/main" count="90" uniqueCount="72">
  <si>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</si>
  <si>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</si>
  <si>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</si>
  <si>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</si>
  <si>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Экзамены</t>
  </si>
  <si>
    <t>Зачеты</t>
  </si>
  <si>
    <t>ПК</t>
  </si>
  <si>
    <t>Текущая аттестация</t>
  </si>
  <si>
    <t>Учебная практика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</si>
  <si>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</si>
  <si>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</si>
  <si>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</si>
  <si>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</si>
  <si>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</si>
  <si>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</si>
  <si>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</si>
  <si>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</si>
  <si>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</si>
  <si>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</si>
  <si>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</si>
  <si>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</si>
  <si>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0,60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</si>
  <si>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</si>
  <si>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</si>
  <si>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</si>
  <si>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</si>
  <si>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</si>
  <si>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</si>
  <si>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</si>
  <si>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</si>
  <si>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</si>
  <si>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</si>
  <si>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Катина Марина Владимировна</t>
  </si>
  <si>
    <t>0,55</t>
  </si>
  <si>
    <t>Клепцов Михаил Яковлевич</t>
  </si>
  <si>
    <t>0,85</t>
  </si>
  <si>
    <t>Кулагин Максим Алексеевич</t>
  </si>
  <si>
    <t>0,25</t>
  </si>
  <si>
    <t>Логинова Людмила Николаевна</t>
  </si>
  <si>
    <t>Лызлов Сергей Сергеевич</t>
  </si>
  <si>
    <t>Максимов Владислав Михайлович</t>
  </si>
  <si>
    <t>Михалевич Игорь Феодосиевич</t>
  </si>
  <si>
    <t>Монахов Олег Иванович</t>
  </si>
  <si>
    <t>0,35</t>
  </si>
  <si>
    <t>Павлинов Дмитрий Васильевич</t>
  </si>
  <si>
    <t>Петров Александр Сергеевич</t>
  </si>
  <si>
    <t>Привалов Александр Андреевич</t>
  </si>
  <si>
    <t>Сафронов Антон Игоревич</t>
  </si>
  <si>
    <t>Сеславин Андрей Игоревич</t>
  </si>
  <si>
    <t>Сидоренко Валентина Геннадьевна</t>
  </si>
  <si>
    <t>Уваров Сергей Сергеевич</t>
  </si>
  <si>
    <t>Федянин Валерий Петрович</t>
  </si>
  <si>
    <t>Шаров Алексей Васильевич</t>
  </si>
  <si>
    <t>итого:</t>
  </si>
  <si>
    <t>Заведующий кафедрой</t>
  </si>
  <si>
    <t>/ Л.А. Баранов /</t>
  </si>
  <si>
    <t>Новиков Вячеслав Геннадьевич</t>
  </si>
  <si>
    <t>"28" июня 2019 г.</t>
  </si>
  <si>
    <t>Лекции, Конс. по ЛК на б. пот. по семестрам</t>
  </si>
  <si>
    <t>Тек. конс. по ЛК, Конс. перед ЭК</t>
  </si>
  <si>
    <t>Практ. занятия</t>
  </si>
  <si>
    <t>Реферат, дом. зад., Эссэ</t>
  </si>
  <si>
    <t>КСР</t>
  </si>
  <si>
    <t>Конт.  раб. И ПК.</t>
  </si>
  <si>
    <t>Курс. Проект, Курс. раб.</t>
  </si>
  <si>
    <t>Подготовка ВКР</t>
  </si>
  <si>
    <t>Преддип. и произ. практика</t>
  </si>
  <si>
    <t>Государ.экзамен</t>
  </si>
  <si>
    <t>б.л. №338968725061</t>
  </si>
  <si>
    <t>Сведения о фактически выполненной учебной нагрузке преподавателя за учебный год</t>
  </si>
  <si>
    <t>б.л. №321885638668</t>
  </si>
  <si>
    <t>Щеглов Максим Игоревич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</si>
</sst>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workbookViewId="0">
      <pane xSplit="3" ySplit="5" topLeftCell="D7" activePane="bottomRight" state="frozen"/>
      <selection pane="topRight" activeCell="D1" sqref="D1"/>
      <selection pane="bottomLeft" activeCell="A6" sqref="A6"/>
      <selection pane="bottomRight" activeCell="A8" sqref="A8"/>
    </sheetView>
  </sheetViews>
  <sheetFormatPr defaultRowHeight="15" x14ac:dyDescent="0.25"/>
  <cols>
    <col min="1" max="1" width="4.5703125" customWidth="1"/>
    <col min="2" max="2" width="28.28515625" customWidth="1"/>
    <col min="27" max="27" width="31.7109375" customWidth="1"/>
  </cols>
  <sheetData>
    <row r="1" spans="1:27" x14ac:dyDescent="0.25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ht="67.150000000000006" customHeight="1" x14ac:dyDescent="0.25">
      <c r="A4" s="2" t="s">
        <v>1</v>
      </c>
      <c r="B4" s="2" t="s">
        <v>2</v>
      </c>
      <c r="C4" s="3" t="s">
        <v>3</v>
      </c>
      <c r="D4" s="3" t="s">
        <v>58</v>
      </c>
      <c r="E4" s="3" t="s">
        <v>4</v>
      </c>
      <c r="F4" s="3" t="s">
        <v>5</v>
      </c>
      <c r="G4" s="3" t="s">
        <v>6</v>
      </c>
      <c r="H4" s="3" t="s">
        <v>59</v>
      </c>
      <c r="I4" s="3" t="s">
        <v>60</v>
      </c>
      <c r="J4" s="3" t="s">
        <v>61</v>
      </c>
      <c r="K4" s="3" t="s">
        <v>7</v>
      </c>
      <c r="L4" s="3" t="s">
        <v>62</v>
      </c>
      <c r="M4" s="3" t="s">
        <v>63</v>
      </c>
      <c r="N4" s="3" t="s">
        <v>64</v>
      </c>
      <c r="O4" s="3" t="s">
        <v>65</v>
      </c>
      <c r="P4" s="3" t="s">
        <v>8</v>
      </c>
      <c r="Q4" s="3" t="s">
        <v>66</v>
      </c>
      <c r="R4" s="3" t="s">
        <v>67</v>
      </c>
      <c r="S4" s="3" t="s">
        <v>9</v>
      </c>
      <c r="T4" s="3" t="s">
        <v>10</v>
      </c>
      <c r="U4" s="3" t="s">
        <v>11</v>
      </c>
      <c r="V4" s="3" t="s">
        <v>12</v>
      </c>
      <c r="W4" s="3" t="s">
        <v>13</v>
      </c>
      <c r="X4" s="5" t="s">
        <v>14</v>
      </c>
      <c r="Y4" s="3" t="s">
        <v>15</v>
      </c>
      <c r="Z4" s="4" t="s">
        <v>16</v>
      </c>
      <c r="AA4" s="2" t="s">
        <v>17</v>
      </c>
    </row>
    <row r="5" spans="1:27" ht="67.150000000000006" customHeight="1" x14ac:dyDescent="0.2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6"/>
      <c r="Y5" s="3"/>
      <c r="Z5" s="4"/>
      <c r="AA5" s="2"/>
    </row>
    <row r="6" spans="1:27" ht="30" customHeight="1" x14ac:dyDescent="0.25">
      <c r="A6" s="7">
        <v>1</v>
      </c>
      <c r="B6" s="8" t="s">
        <v>18</v>
      </c>
      <c r="C6" s="8" t="s">
        <v>19</v>
      </c>
      <c r="D6" s="7">
        <f>18+162</f>
        <v>180</v>
      </c>
      <c r="E6" s="7">
        <v>11</v>
      </c>
      <c r="F6" s="7">
        <f>2+4</f>
        <v>6</v>
      </c>
      <c r="G6" s="7">
        <v>0</v>
      </c>
      <c r="H6" s="7">
        <f>1+16</f>
        <v>17</v>
      </c>
      <c r="I6" s="7">
        <f>36+198</f>
        <v>234</v>
      </c>
      <c r="J6" s="7">
        <v>0</v>
      </c>
      <c r="K6" s="7">
        <v>0</v>
      </c>
      <c r="L6" s="7">
        <f>5+23</f>
        <v>28</v>
      </c>
      <c r="M6" s="7">
        <f>3+28</f>
        <v>31</v>
      </c>
      <c r="N6" s="7">
        <f>45+30</f>
        <v>75</v>
      </c>
      <c r="O6" s="7">
        <v>138</v>
      </c>
      <c r="P6" s="7">
        <v>0</v>
      </c>
      <c r="Q6" s="7">
        <v>24</v>
      </c>
      <c r="R6" s="7">
        <v>6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f>110+640</f>
        <v>750</v>
      </c>
      <c r="Y6" s="7">
        <f t="shared" ref="Y6:Y33" si="0">D6+E6+F6+G6+H6+I6+J6+K6+L6+M6+N6+O6+P6+Q6+R6+S6+T6+U6+V6+W6</f>
        <v>750</v>
      </c>
      <c r="Z6" s="7">
        <f t="shared" ref="Z6:Z33" si="1">Y6-X6</f>
        <v>0</v>
      </c>
      <c r="AA6" s="7"/>
    </row>
    <row r="7" spans="1:27" ht="30" customHeight="1" x14ac:dyDescent="0.25">
      <c r="A7" s="7">
        <v>2</v>
      </c>
      <c r="B7" s="8" t="s">
        <v>20</v>
      </c>
      <c r="C7" s="8" t="s">
        <v>21</v>
      </c>
      <c r="D7" s="7">
        <v>44</v>
      </c>
      <c r="E7" s="7">
        <v>7</v>
      </c>
      <c r="F7" s="7">
        <v>0</v>
      </c>
      <c r="G7" s="7">
        <v>0</v>
      </c>
      <c r="H7" s="7">
        <v>10</v>
      </c>
      <c r="I7" s="7">
        <v>26</v>
      </c>
      <c r="J7" s="7">
        <v>0</v>
      </c>
      <c r="K7" s="7">
        <v>0</v>
      </c>
      <c r="L7" s="7">
        <v>13</v>
      </c>
      <c r="M7" s="7">
        <v>9</v>
      </c>
      <c r="N7" s="7">
        <v>87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86</v>
      </c>
      <c r="U7" s="7">
        <v>0</v>
      </c>
      <c r="V7" s="7">
        <v>0</v>
      </c>
      <c r="W7" s="7">
        <v>0</v>
      </c>
      <c r="X7" s="7">
        <f>282+373</f>
        <v>655</v>
      </c>
      <c r="Y7" s="7">
        <f t="shared" si="0"/>
        <v>282</v>
      </c>
      <c r="Z7" s="7">
        <f t="shared" si="1"/>
        <v>-373</v>
      </c>
      <c r="AA7" s="7" t="s">
        <v>70</v>
      </c>
    </row>
    <row r="8" spans="1:27" ht="30" customHeight="1" x14ac:dyDescent="0.25">
      <c r="A8" s="7">
        <v>3</v>
      </c>
      <c r="B8" s="8" t="s">
        <v>22</v>
      </c>
      <c r="C8" s="8" t="s">
        <v>19</v>
      </c>
      <c r="D8" s="7">
        <f>36+36</f>
        <v>72</v>
      </c>
      <c r="E8" s="7">
        <f>4+2</f>
        <v>6</v>
      </c>
      <c r="F8" s="7">
        <v>0</v>
      </c>
      <c r="G8" s="7">
        <v>0</v>
      </c>
      <c r="H8" s="7">
        <f>3+3</f>
        <v>6</v>
      </c>
      <c r="I8" s="7">
        <f>18+18</f>
        <v>36</v>
      </c>
      <c r="J8" s="7">
        <v>0</v>
      </c>
      <c r="K8" s="7">
        <v>0</v>
      </c>
      <c r="L8" s="7">
        <f>4+4</f>
        <v>8</v>
      </c>
      <c r="M8" s="7">
        <f>7+5</f>
        <v>12</v>
      </c>
      <c r="N8" s="7">
        <f>13+12</f>
        <v>25</v>
      </c>
      <c r="O8" s="7">
        <f>59+12</f>
        <v>71</v>
      </c>
      <c r="P8" s="7">
        <f>12+12</f>
        <v>24</v>
      </c>
      <c r="Q8" s="7">
        <f>18+6</f>
        <v>24</v>
      </c>
      <c r="R8" s="7">
        <f>13+6</f>
        <v>19</v>
      </c>
      <c r="S8" s="7">
        <v>0</v>
      </c>
      <c r="T8" s="7">
        <v>0</v>
      </c>
      <c r="U8" s="7">
        <f>10+75</f>
        <v>85</v>
      </c>
      <c r="V8" s="7">
        <f>19+18</f>
        <v>37</v>
      </c>
      <c r="W8" s="7">
        <f>25+30</f>
        <v>55</v>
      </c>
      <c r="X8" s="7">
        <f>241+239</f>
        <v>480</v>
      </c>
      <c r="Y8" s="7">
        <f t="shared" si="0"/>
        <v>480</v>
      </c>
      <c r="Z8" s="7">
        <f t="shared" si="1"/>
        <v>0</v>
      </c>
      <c r="AA8" s="7"/>
    </row>
    <row r="9" spans="1:27" ht="30" customHeight="1" x14ac:dyDescent="0.25">
      <c r="A9" s="7">
        <v>4</v>
      </c>
      <c r="B9" s="8" t="s">
        <v>23</v>
      </c>
      <c r="C9" s="8" t="s">
        <v>24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>60+20</f>
        <v>80</v>
      </c>
      <c r="U9" s="7">
        <v>0</v>
      </c>
      <c r="V9" s="7">
        <v>0</v>
      </c>
      <c r="W9" s="7">
        <v>0</v>
      </c>
      <c r="X9" s="7">
        <f>60+20</f>
        <v>80</v>
      </c>
      <c r="Y9" s="7">
        <f t="shared" si="0"/>
        <v>80</v>
      </c>
      <c r="Z9" s="7">
        <f t="shared" si="1"/>
        <v>0</v>
      </c>
      <c r="AA9" s="7"/>
    </row>
    <row r="10" spans="1:27" ht="30" customHeight="1" x14ac:dyDescent="0.25">
      <c r="A10" s="7">
        <v>5</v>
      </c>
      <c r="B10" s="8" t="s">
        <v>25</v>
      </c>
      <c r="C10" s="8" t="s">
        <v>26</v>
      </c>
      <c r="D10" s="7">
        <f>50+18</f>
        <v>68</v>
      </c>
      <c r="E10" s="7">
        <v>3</v>
      </c>
      <c r="F10" s="7">
        <v>9</v>
      </c>
      <c r="G10" s="7">
        <v>0</v>
      </c>
      <c r="H10" s="7">
        <f>7+6</f>
        <v>13</v>
      </c>
      <c r="I10" s="7">
        <f>16+3</f>
        <v>19</v>
      </c>
      <c r="J10" s="7">
        <v>0</v>
      </c>
      <c r="K10" s="7">
        <v>0</v>
      </c>
      <c r="L10" s="7">
        <f>7+24</f>
        <v>31</v>
      </c>
      <c r="M10" s="7">
        <f>7+13</f>
        <v>20</v>
      </c>
      <c r="N10" s="7">
        <v>21</v>
      </c>
      <c r="O10" s="7">
        <v>0</v>
      </c>
      <c r="P10" s="7">
        <v>0</v>
      </c>
      <c r="Q10" s="7">
        <v>72</v>
      </c>
      <c r="R10" s="7">
        <v>0</v>
      </c>
      <c r="S10" s="7">
        <v>0</v>
      </c>
      <c r="T10" s="7">
        <f>18+140</f>
        <v>158</v>
      </c>
      <c r="U10" s="7">
        <v>0</v>
      </c>
      <c r="V10" s="7">
        <v>0</v>
      </c>
      <c r="W10" s="7">
        <v>0</v>
      </c>
      <c r="X10" s="7">
        <f>201+213</f>
        <v>414</v>
      </c>
      <c r="Y10" s="7">
        <f t="shared" si="0"/>
        <v>414</v>
      </c>
      <c r="Z10" s="7">
        <f t="shared" si="1"/>
        <v>0</v>
      </c>
      <c r="AA10" s="7"/>
    </row>
    <row r="11" spans="1:27" ht="30" customHeight="1" x14ac:dyDescent="0.25">
      <c r="A11" s="7">
        <v>6</v>
      </c>
      <c r="B11" s="8" t="s">
        <v>27</v>
      </c>
      <c r="C11" s="8" t="s">
        <v>21</v>
      </c>
      <c r="D11" s="7">
        <v>16</v>
      </c>
      <c r="E11" s="7">
        <v>4</v>
      </c>
      <c r="F11" s="7">
        <v>2</v>
      </c>
      <c r="G11" s="7">
        <v>0</v>
      </c>
      <c r="H11" s="7">
        <v>2</v>
      </c>
      <c r="I11" s="7">
        <f>62+26</f>
        <v>88</v>
      </c>
      <c r="J11" s="7">
        <v>0</v>
      </c>
      <c r="K11" s="7">
        <v>0</v>
      </c>
      <c r="L11" s="7">
        <f>23+16</f>
        <v>39</v>
      </c>
      <c r="M11" s="7">
        <f>5+7</f>
        <v>12</v>
      </c>
      <c r="N11" s="7">
        <f>9+54</f>
        <v>63</v>
      </c>
      <c r="O11" s="7">
        <v>128</v>
      </c>
      <c r="P11" s="7">
        <f>6+6</f>
        <v>12</v>
      </c>
      <c r="Q11" s="7">
        <f>72+24</f>
        <v>96</v>
      </c>
      <c r="R11" s="7">
        <v>0</v>
      </c>
      <c r="S11" s="7">
        <v>0</v>
      </c>
      <c r="T11" s="7">
        <f>28+48</f>
        <v>76</v>
      </c>
      <c r="U11" s="7">
        <v>0</v>
      </c>
      <c r="V11" s="7">
        <v>0</v>
      </c>
      <c r="W11" s="7">
        <f>5+25</f>
        <v>30</v>
      </c>
      <c r="X11" s="7">
        <f>341+227</f>
        <v>568</v>
      </c>
      <c r="Y11" s="7">
        <f t="shared" si="0"/>
        <v>568</v>
      </c>
      <c r="Z11" s="7">
        <f t="shared" si="1"/>
        <v>0</v>
      </c>
      <c r="AA11" s="7"/>
    </row>
    <row r="12" spans="1:27" ht="30" customHeight="1" x14ac:dyDescent="0.25">
      <c r="A12" s="7">
        <v>7</v>
      </c>
      <c r="B12" s="8" t="s">
        <v>28</v>
      </c>
      <c r="C12" s="8" t="s">
        <v>26</v>
      </c>
      <c r="D12" s="7">
        <f>16+90</f>
        <v>106</v>
      </c>
      <c r="E12" s="7">
        <v>1</v>
      </c>
      <c r="F12" s="7">
        <f>1+4</f>
        <v>5</v>
      </c>
      <c r="G12" s="7">
        <v>0</v>
      </c>
      <c r="H12" s="7">
        <f>2+7</f>
        <v>9</v>
      </c>
      <c r="I12" s="7">
        <f>16+36</f>
        <v>52</v>
      </c>
      <c r="J12" s="7">
        <v>0</v>
      </c>
      <c r="K12" s="7">
        <v>0</v>
      </c>
      <c r="L12" s="7">
        <f>7+18</f>
        <v>25</v>
      </c>
      <c r="M12" s="7">
        <f>1+8</f>
        <v>9</v>
      </c>
      <c r="N12" s="7">
        <f>14+42</f>
        <v>56</v>
      </c>
      <c r="O12" s="7">
        <v>32</v>
      </c>
      <c r="P12" s="7">
        <f>6+6</f>
        <v>12</v>
      </c>
      <c r="Q12" s="7">
        <f>18+6</f>
        <v>24</v>
      </c>
      <c r="R12" s="7">
        <v>14</v>
      </c>
      <c r="S12" s="7">
        <v>0</v>
      </c>
      <c r="T12" s="7">
        <v>0</v>
      </c>
      <c r="U12" s="7">
        <v>16</v>
      </c>
      <c r="V12" s="7">
        <v>0</v>
      </c>
      <c r="W12" s="7">
        <f>5+10</f>
        <v>15</v>
      </c>
      <c r="X12" s="7">
        <f>148+228</f>
        <v>376</v>
      </c>
      <c r="Y12" s="7">
        <f t="shared" si="0"/>
        <v>376</v>
      </c>
      <c r="Z12" s="7">
        <f t="shared" si="1"/>
        <v>0</v>
      </c>
      <c r="AA12" s="7"/>
    </row>
    <row r="13" spans="1:27" ht="30" customHeight="1" x14ac:dyDescent="0.25">
      <c r="A13" s="7">
        <v>8</v>
      </c>
      <c r="B13" s="8" t="s">
        <v>29</v>
      </c>
      <c r="C13" s="8" t="s">
        <v>26</v>
      </c>
      <c r="D13" s="7">
        <f>36+44</f>
        <v>80</v>
      </c>
      <c r="E13" s="7">
        <f>6+6</f>
        <v>12</v>
      </c>
      <c r="F13" s="7">
        <v>4</v>
      </c>
      <c r="G13" s="7">
        <v>0</v>
      </c>
      <c r="H13" s="7">
        <f>5+9</f>
        <v>14</v>
      </c>
      <c r="I13" s="7">
        <f>54+29</f>
        <v>83</v>
      </c>
      <c r="J13" s="7">
        <v>0</v>
      </c>
      <c r="K13" s="7">
        <v>0</v>
      </c>
      <c r="L13" s="7">
        <f>27+20</f>
        <v>47</v>
      </c>
      <c r="M13" s="7">
        <f>12+17</f>
        <v>29</v>
      </c>
      <c r="N13" s="7">
        <f>26+52</f>
        <v>78</v>
      </c>
      <c r="O13" s="7">
        <v>32</v>
      </c>
      <c r="P13" s="7">
        <f>6+6</f>
        <v>12</v>
      </c>
      <c r="Q13" s="7">
        <f>18+6</f>
        <v>24</v>
      </c>
      <c r="R13" s="7">
        <v>0</v>
      </c>
      <c r="S13" s="7">
        <v>0</v>
      </c>
      <c r="T13" s="7">
        <f>20+4</f>
        <v>24</v>
      </c>
      <c r="U13" s="7">
        <v>0</v>
      </c>
      <c r="V13" s="7">
        <v>0</v>
      </c>
      <c r="W13" s="7">
        <f>5+10</f>
        <v>15</v>
      </c>
      <c r="X13" s="7">
        <f>247+207</f>
        <v>454</v>
      </c>
      <c r="Y13" s="7">
        <f t="shared" si="0"/>
        <v>454</v>
      </c>
      <c r="Z13" s="7">
        <f t="shared" si="1"/>
        <v>0</v>
      </c>
      <c r="AA13" s="7"/>
    </row>
    <row r="14" spans="1:27" ht="30" customHeight="1" x14ac:dyDescent="0.25">
      <c r="A14" s="7">
        <v>9</v>
      </c>
      <c r="B14" s="8" t="s">
        <v>30</v>
      </c>
      <c r="C14" s="8" t="s">
        <v>31</v>
      </c>
      <c r="D14" s="7">
        <f>10+18</f>
        <v>28</v>
      </c>
      <c r="E14" s="7">
        <f>4+3</f>
        <v>7</v>
      </c>
      <c r="F14" s="7">
        <v>0</v>
      </c>
      <c r="G14" s="7">
        <v>0</v>
      </c>
      <c r="H14" s="7">
        <f>4+2</f>
        <v>6</v>
      </c>
      <c r="I14" s="7">
        <f>18+18</f>
        <v>36</v>
      </c>
      <c r="J14" s="7">
        <v>0</v>
      </c>
      <c r="K14" s="7">
        <v>0</v>
      </c>
      <c r="L14" s="7">
        <f>6+4</f>
        <v>10</v>
      </c>
      <c r="M14" s="7">
        <f>6+5</f>
        <v>11</v>
      </c>
      <c r="N14" s="7">
        <v>38</v>
      </c>
      <c r="O14" s="7">
        <v>32</v>
      </c>
      <c r="P14" s="7">
        <v>0</v>
      </c>
      <c r="Q14" s="7">
        <f>18+6</f>
        <v>24</v>
      </c>
      <c r="R14" s="7">
        <v>0</v>
      </c>
      <c r="S14" s="7">
        <v>0</v>
      </c>
      <c r="T14" s="7">
        <f>12+40</f>
        <v>52</v>
      </c>
      <c r="U14" s="7">
        <v>0</v>
      </c>
      <c r="V14" s="7">
        <v>0</v>
      </c>
      <c r="W14" s="7">
        <v>5</v>
      </c>
      <c r="X14" s="7">
        <f>148+101</f>
        <v>249</v>
      </c>
      <c r="Y14" s="7">
        <f t="shared" si="0"/>
        <v>249</v>
      </c>
      <c r="Z14" s="7">
        <f t="shared" si="1"/>
        <v>0</v>
      </c>
      <c r="AA14" s="7"/>
    </row>
    <row r="15" spans="1:27" ht="30" customHeight="1" x14ac:dyDescent="0.25">
      <c r="A15" s="7">
        <v>10</v>
      </c>
      <c r="B15" s="8" t="s">
        <v>32</v>
      </c>
      <c r="C15" s="8" t="s">
        <v>33</v>
      </c>
      <c r="D15" s="7">
        <v>68</v>
      </c>
      <c r="E15" s="7">
        <v>3</v>
      </c>
      <c r="F15" s="7">
        <v>3</v>
      </c>
      <c r="G15" s="7">
        <v>0</v>
      </c>
      <c r="H15" s="7">
        <v>5</v>
      </c>
      <c r="I15" s="7">
        <v>0</v>
      </c>
      <c r="J15" s="7">
        <v>0</v>
      </c>
      <c r="K15" s="7">
        <v>0</v>
      </c>
      <c r="L15" s="7">
        <v>14</v>
      </c>
      <c r="M15" s="7">
        <v>9</v>
      </c>
      <c r="N15" s="7">
        <v>0</v>
      </c>
      <c r="O15" s="7">
        <v>0</v>
      </c>
      <c r="P15" s="7">
        <v>0</v>
      </c>
      <c r="Q15" s="7">
        <v>0</v>
      </c>
      <c r="R15" s="7">
        <v>6</v>
      </c>
      <c r="S15" s="7">
        <v>0</v>
      </c>
      <c r="T15" s="7">
        <f>160+178</f>
        <v>338</v>
      </c>
      <c r="U15" s="7">
        <v>0</v>
      </c>
      <c r="V15" s="7">
        <v>0</v>
      </c>
      <c r="W15" s="7">
        <v>0</v>
      </c>
      <c r="X15" s="7">
        <f>160+286</f>
        <v>446</v>
      </c>
      <c r="Y15" s="7">
        <f t="shared" si="0"/>
        <v>446</v>
      </c>
      <c r="Z15" s="7">
        <f t="shared" si="1"/>
        <v>0</v>
      </c>
      <c r="AA15" s="7"/>
    </row>
    <row r="16" spans="1:27" ht="30" customHeight="1" x14ac:dyDescent="0.25">
      <c r="A16" s="7">
        <v>11</v>
      </c>
      <c r="B16" s="8" t="s">
        <v>34</v>
      </c>
      <c r="C16" s="8" t="s">
        <v>35</v>
      </c>
      <c r="D16" s="7">
        <f>86+90</f>
        <v>176</v>
      </c>
      <c r="E16" s="7">
        <v>4</v>
      </c>
      <c r="F16" s="7">
        <f>4+7</f>
        <v>11</v>
      </c>
      <c r="G16" s="7">
        <v>0</v>
      </c>
      <c r="H16" s="7">
        <f>7+5</f>
        <v>12</v>
      </c>
      <c r="I16" s="7">
        <f>104+36</f>
        <v>140</v>
      </c>
      <c r="J16" s="7">
        <v>0</v>
      </c>
      <c r="K16" s="7">
        <v>0</v>
      </c>
      <c r="L16" s="7">
        <f>15+15</f>
        <v>30</v>
      </c>
      <c r="M16" s="7">
        <f>16+11</f>
        <v>27</v>
      </c>
      <c r="N16" s="7">
        <f>75+45</f>
        <v>120</v>
      </c>
      <c r="O16" s="7">
        <v>115</v>
      </c>
      <c r="P16" s="7">
        <v>0</v>
      </c>
      <c r="Q16" s="7">
        <v>20</v>
      </c>
      <c r="R16" s="7">
        <v>6</v>
      </c>
      <c r="S16" s="7">
        <v>0</v>
      </c>
      <c r="T16" s="7">
        <v>0</v>
      </c>
      <c r="U16" s="7">
        <f>25+25</f>
        <v>50</v>
      </c>
      <c r="V16" s="7">
        <v>0</v>
      </c>
      <c r="W16" s="7">
        <v>0</v>
      </c>
      <c r="X16" s="7">
        <f>336+375</f>
        <v>711</v>
      </c>
      <c r="Y16" s="7">
        <f t="shared" si="0"/>
        <v>711</v>
      </c>
      <c r="Z16" s="7">
        <f t="shared" si="1"/>
        <v>0</v>
      </c>
      <c r="AA16" s="7"/>
    </row>
    <row r="17" spans="1:27" ht="30" customHeight="1" x14ac:dyDescent="0.25">
      <c r="A17" s="7">
        <v>12</v>
      </c>
      <c r="B17" s="8" t="s">
        <v>36</v>
      </c>
      <c r="C17" s="8" t="s">
        <v>37</v>
      </c>
      <c r="D17" s="7">
        <v>30</v>
      </c>
      <c r="E17" s="7">
        <v>0</v>
      </c>
      <c r="F17" s="7">
        <v>5</v>
      </c>
      <c r="G17" s="7">
        <v>0</v>
      </c>
      <c r="H17" s="7">
        <v>4</v>
      </c>
      <c r="I17" s="7">
        <v>70</v>
      </c>
      <c r="J17" s="7">
        <v>0</v>
      </c>
      <c r="K17" s="7">
        <v>0</v>
      </c>
      <c r="L17" s="7">
        <v>40</v>
      </c>
      <c r="M17" s="7">
        <v>7</v>
      </c>
      <c r="N17" s="7">
        <v>14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10</v>
      </c>
      <c r="U17" s="7">
        <v>0</v>
      </c>
      <c r="V17" s="7">
        <v>0</v>
      </c>
      <c r="W17" s="7">
        <v>0</v>
      </c>
      <c r="X17" s="7">
        <v>180</v>
      </c>
      <c r="Y17" s="7">
        <f t="shared" si="0"/>
        <v>180</v>
      </c>
      <c r="Z17" s="7">
        <f t="shared" si="1"/>
        <v>0</v>
      </c>
      <c r="AA17" s="7"/>
    </row>
    <row r="18" spans="1:27" ht="30" customHeight="1" x14ac:dyDescent="0.25">
      <c r="A18" s="7">
        <v>13</v>
      </c>
      <c r="B18" s="8" t="s">
        <v>38</v>
      </c>
      <c r="C18" s="8" t="s">
        <v>19</v>
      </c>
      <c r="D18" s="7">
        <f>36+58</f>
        <v>94</v>
      </c>
      <c r="E18" s="7">
        <f>5+3</f>
        <v>8</v>
      </c>
      <c r="F18" s="7">
        <v>3</v>
      </c>
      <c r="G18" s="7">
        <v>0</v>
      </c>
      <c r="H18" s="7">
        <f>7+6</f>
        <v>13</v>
      </c>
      <c r="I18" s="7">
        <f>25+78</f>
        <v>103</v>
      </c>
      <c r="J18" s="7">
        <v>0</v>
      </c>
      <c r="K18" s="7">
        <v>0</v>
      </c>
      <c r="L18" s="7">
        <f>7+24</f>
        <v>31</v>
      </c>
      <c r="M18" s="7">
        <f>11+11</f>
        <v>22</v>
      </c>
      <c r="N18" s="7">
        <v>38</v>
      </c>
      <c r="O18" s="7">
        <v>129</v>
      </c>
      <c r="P18" s="7">
        <f>6+6</f>
        <v>12</v>
      </c>
      <c r="Q18" s="7">
        <f>64+18</f>
        <v>82</v>
      </c>
      <c r="R18" s="7">
        <v>0</v>
      </c>
      <c r="S18" s="7">
        <v>0</v>
      </c>
      <c r="T18" s="7">
        <f>76+116</f>
        <v>192</v>
      </c>
      <c r="U18" s="7">
        <v>6</v>
      </c>
      <c r="V18" s="7">
        <v>0</v>
      </c>
      <c r="W18" s="7">
        <f>5+20</f>
        <v>25</v>
      </c>
      <c r="X18" s="7">
        <f>377+381</f>
        <v>758</v>
      </c>
      <c r="Y18" s="7">
        <f t="shared" si="0"/>
        <v>758</v>
      </c>
      <c r="Z18" s="7">
        <f t="shared" si="1"/>
        <v>0</v>
      </c>
      <c r="AA18" s="7"/>
    </row>
    <row r="19" spans="1:27" ht="30" customHeight="1" x14ac:dyDescent="0.25">
      <c r="A19" s="7">
        <v>14</v>
      </c>
      <c r="B19" s="8" t="s">
        <v>39</v>
      </c>
      <c r="C19" s="8" t="s">
        <v>19</v>
      </c>
      <c r="D19" s="7">
        <f>72+210</f>
        <v>282</v>
      </c>
      <c r="E19" s="7">
        <f>18+5</f>
        <v>23</v>
      </c>
      <c r="F19" s="7">
        <v>30</v>
      </c>
      <c r="G19" s="7">
        <v>0</v>
      </c>
      <c r="H19" s="7">
        <f>17+21</f>
        <v>38</v>
      </c>
      <c r="I19" s="7">
        <v>72</v>
      </c>
      <c r="J19" s="7">
        <v>0</v>
      </c>
      <c r="K19" s="7">
        <v>0</v>
      </c>
      <c r="L19" s="7">
        <f>1+30</f>
        <v>31</v>
      </c>
      <c r="M19" s="7">
        <f>37+51</f>
        <v>88</v>
      </c>
      <c r="N19" s="7">
        <v>48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>2+218</f>
        <v>220</v>
      </c>
      <c r="U19" s="7">
        <v>0</v>
      </c>
      <c r="V19" s="7">
        <v>0</v>
      </c>
      <c r="W19" s="7">
        <v>0</v>
      </c>
      <c r="X19" s="7">
        <f>147+685</f>
        <v>832</v>
      </c>
      <c r="Y19" s="7">
        <f t="shared" si="0"/>
        <v>832</v>
      </c>
      <c r="Z19" s="7">
        <f t="shared" si="1"/>
        <v>0</v>
      </c>
      <c r="AA19" s="7"/>
    </row>
    <row r="20" spans="1:27" ht="30" customHeight="1" x14ac:dyDescent="0.25">
      <c r="A20" s="7">
        <v>15</v>
      </c>
      <c r="B20" s="8" t="s">
        <v>40</v>
      </c>
      <c r="C20" s="8" t="s">
        <v>37</v>
      </c>
      <c r="D20" s="7">
        <f>36+18</f>
        <v>54</v>
      </c>
      <c r="E20" s="7">
        <v>2</v>
      </c>
      <c r="F20" s="7">
        <v>0</v>
      </c>
      <c r="G20" s="7">
        <v>0</v>
      </c>
      <c r="H20" s="7">
        <f>3+3</f>
        <v>6</v>
      </c>
      <c r="I20" s="7">
        <v>18</v>
      </c>
      <c r="J20" s="7">
        <v>0</v>
      </c>
      <c r="K20" s="7">
        <v>0</v>
      </c>
      <c r="L20" s="7">
        <f>5+7</f>
        <v>12</v>
      </c>
      <c r="M20" s="7">
        <v>4</v>
      </c>
      <c r="N20" s="7">
        <v>22</v>
      </c>
      <c r="O20" s="7">
        <v>11</v>
      </c>
      <c r="P20" s="7">
        <v>0</v>
      </c>
      <c r="Q20" s="7">
        <v>2</v>
      </c>
      <c r="R20" s="7">
        <v>14</v>
      </c>
      <c r="S20" s="7">
        <v>0</v>
      </c>
      <c r="T20" s="7">
        <f>20+20</f>
        <v>40</v>
      </c>
      <c r="U20" s="7">
        <v>12</v>
      </c>
      <c r="V20" s="7">
        <v>0</v>
      </c>
      <c r="W20" s="7">
        <v>0</v>
      </c>
      <c r="X20" s="7">
        <f>148+49</f>
        <v>197</v>
      </c>
      <c r="Y20" s="7">
        <f t="shared" si="0"/>
        <v>197</v>
      </c>
      <c r="Z20" s="7">
        <f t="shared" si="1"/>
        <v>0</v>
      </c>
      <c r="AA20" s="7"/>
    </row>
    <row r="21" spans="1:27" ht="30" customHeight="1" x14ac:dyDescent="0.25">
      <c r="A21" s="7">
        <v>16</v>
      </c>
      <c r="B21" s="8" t="s">
        <v>41</v>
      </c>
      <c r="C21" s="8" t="s">
        <v>26</v>
      </c>
      <c r="D21" s="7">
        <v>48</v>
      </c>
      <c r="E21" s="7">
        <v>5</v>
      </c>
      <c r="F21" s="7">
        <v>0</v>
      </c>
      <c r="G21" s="7">
        <v>0</v>
      </c>
      <c r="H21" s="7">
        <v>8</v>
      </c>
      <c r="I21" s="7">
        <v>42</v>
      </c>
      <c r="J21" s="7">
        <v>0</v>
      </c>
      <c r="K21" s="7">
        <v>0</v>
      </c>
      <c r="L21" s="7">
        <v>11</v>
      </c>
      <c r="M21" s="7">
        <v>6</v>
      </c>
      <c r="N21" s="7">
        <v>24</v>
      </c>
      <c r="O21" s="7">
        <v>11</v>
      </c>
      <c r="P21" s="7">
        <v>42</v>
      </c>
      <c r="Q21" s="7">
        <f>4+22</f>
        <v>26</v>
      </c>
      <c r="R21" s="7">
        <v>0</v>
      </c>
      <c r="S21" s="7">
        <v>0</v>
      </c>
      <c r="T21" s="7">
        <v>26</v>
      </c>
      <c r="U21" s="7">
        <v>0</v>
      </c>
      <c r="V21" s="7">
        <v>0</v>
      </c>
      <c r="W21" s="7">
        <v>10</v>
      </c>
      <c r="X21" s="7">
        <f>237+22</f>
        <v>259</v>
      </c>
      <c r="Y21" s="7">
        <f t="shared" si="0"/>
        <v>259</v>
      </c>
      <c r="Z21" s="7">
        <f t="shared" si="1"/>
        <v>0</v>
      </c>
      <c r="AA21" s="7"/>
    </row>
    <row r="22" spans="1:27" ht="30" customHeight="1" x14ac:dyDescent="0.25">
      <c r="A22" s="7">
        <v>17</v>
      </c>
      <c r="B22" s="8" t="s">
        <v>42</v>
      </c>
      <c r="C22" s="8" t="s">
        <v>43</v>
      </c>
      <c r="D22" s="7">
        <v>16</v>
      </c>
      <c r="E22" s="7">
        <v>2</v>
      </c>
      <c r="F22" s="7">
        <v>6</v>
      </c>
      <c r="G22" s="7">
        <v>0</v>
      </c>
      <c r="H22" s="7">
        <v>2</v>
      </c>
      <c r="I22" s="7">
        <v>44</v>
      </c>
      <c r="J22" s="7">
        <v>0</v>
      </c>
      <c r="K22" s="7">
        <v>0</v>
      </c>
      <c r="L22" s="7">
        <v>28</v>
      </c>
      <c r="M22" s="7">
        <v>11</v>
      </c>
      <c r="N22" s="7">
        <v>50</v>
      </c>
      <c r="O22" s="7">
        <v>0</v>
      </c>
      <c r="P22" s="7">
        <v>0</v>
      </c>
      <c r="Q22" s="7">
        <v>35</v>
      </c>
      <c r="R22" s="7">
        <v>0</v>
      </c>
      <c r="S22" s="7">
        <v>0</v>
      </c>
      <c r="T22" s="7">
        <v>40</v>
      </c>
      <c r="U22" s="7">
        <v>0</v>
      </c>
      <c r="V22" s="7">
        <v>0</v>
      </c>
      <c r="W22" s="7">
        <v>0</v>
      </c>
      <c r="X22" s="7">
        <f>35+199</f>
        <v>234</v>
      </c>
      <c r="Y22" s="7">
        <f t="shared" si="0"/>
        <v>234</v>
      </c>
      <c r="Z22" s="7">
        <f t="shared" si="1"/>
        <v>0</v>
      </c>
      <c r="AA22" s="7"/>
    </row>
    <row r="23" spans="1:27" ht="30" customHeight="1" x14ac:dyDescent="0.25">
      <c r="A23" s="7">
        <v>18</v>
      </c>
      <c r="B23" s="8" t="s">
        <v>56</v>
      </c>
      <c r="C23" s="8">
        <v>0.25</v>
      </c>
      <c r="D23" s="7">
        <v>18</v>
      </c>
      <c r="E23" s="7">
        <v>1</v>
      </c>
      <c r="F23" s="7">
        <v>0</v>
      </c>
      <c r="G23" s="7">
        <v>0</v>
      </c>
      <c r="H23" s="7">
        <v>2</v>
      </c>
      <c r="I23" s="7">
        <v>18</v>
      </c>
      <c r="J23" s="7">
        <v>0</v>
      </c>
      <c r="K23" s="7">
        <v>0</v>
      </c>
      <c r="L23" s="7">
        <v>5</v>
      </c>
      <c r="M23" s="7">
        <v>2</v>
      </c>
      <c r="N23" s="7">
        <v>24</v>
      </c>
      <c r="O23" s="7">
        <v>0</v>
      </c>
      <c r="P23" s="7">
        <v>24</v>
      </c>
      <c r="Q23" s="7">
        <v>44</v>
      </c>
      <c r="R23" s="7">
        <v>0</v>
      </c>
      <c r="S23" s="7">
        <v>0</v>
      </c>
      <c r="T23" s="7">
        <v>20</v>
      </c>
      <c r="U23" s="7">
        <v>0</v>
      </c>
      <c r="V23" s="7">
        <v>0</v>
      </c>
      <c r="W23" s="7">
        <v>20</v>
      </c>
      <c r="X23" s="7">
        <f>44+134</f>
        <v>178</v>
      </c>
      <c r="Y23" s="7">
        <f t="shared" si="0"/>
        <v>178</v>
      </c>
      <c r="Z23" s="7">
        <f t="shared" si="1"/>
        <v>0</v>
      </c>
      <c r="AA23" s="7"/>
    </row>
    <row r="24" spans="1:27" ht="30" customHeight="1" x14ac:dyDescent="0.25">
      <c r="A24" s="7">
        <v>19</v>
      </c>
      <c r="B24" s="8" t="s">
        <v>44</v>
      </c>
      <c r="C24" s="8" t="s">
        <v>31</v>
      </c>
      <c r="D24" s="7">
        <f>56+18</f>
        <v>74</v>
      </c>
      <c r="E24" s="7">
        <v>4</v>
      </c>
      <c r="F24" s="7">
        <v>2</v>
      </c>
      <c r="G24" s="7">
        <v>0</v>
      </c>
      <c r="H24" s="7">
        <v>5</v>
      </c>
      <c r="I24" s="7">
        <v>28</v>
      </c>
      <c r="J24" s="7">
        <v>0</v>
      </c>
      <c r="K24" s="7">
        <v>0</v>
      </c>
      <c r="L24" s="7">
        <f>7+7</f>
        <v>14</v>
      </c>
      <c r="M24" s="7">
        <f>8+5</f>
        <v>13</v>
      </c>
      <c r="N24" s="7">
        <v>75</v>
      </c>
      <c r="O24" s="7">
        <v>23</v>
      </c>
      <c r="P24" s="7">
        <v>0</v>
      </c>
      <c r="Q24" s="7">
        <v>4</v>
      </c>
      <c r="R24" s="7">
        <v>0</v>
      </c>
      <c r="S24" s="7">
        <v>0</v>
      </c>
      <c r="T24" s="7">
        <f>16+20</f>
        <v>36</v>
      </c>
      <c r="U24" s="7">
        <v>0</v>
      </c>
      <c r="V24" s="7">
        <v>0</v>
      </c>
      <c r="W24" s="7">
        <v>0</v>
      </c>
      <c r="X24" s="7">
        <f>197+81</f>
        <v>278</v>
      </c>
      <c r="Y24" s="7">
        <f t="shared" si="0"/>
        <v>278</v>
      </c>
      <c r="Z24" s="7">
        <f t="shared" si="1"/>
        <v>0</v>
      </c>
      <c r="AA24" s="7"/>
    </row>
    <row r="25" spans="1:27" ht="30" customHeight="1" x14ac:dyDescent="0.25">
      <c r="A25" s="7">
        <v>20</v>
      </c>
      <c r="B25" s="8" t="s">
        <v>45</v>
      </c>
      <c r="C25" s="8" t="s">
        <v>37</v>
      </c>
      <c r="D25" s="7">
        <f>12+36</f>
        <v>48</v>
      </c>
      <c r="E25" s="7">
        <f>1+2</f>
        <v>3</v>
      </c>
      <c r="F25" s="7">
        <v>1</v>
      </c>
      <c r="G25" s="7">
        <v>0</v>
      </c>
      <c r="H25" s="7">
        <v>10</v>
      </c>
      <c r="I25" s="7">
        <v>0</v>
      </c>
      <c r="J25" s="7">
        <v>0</v>
      </c>
      <c r="K25" s="7">
        <v>0</v>
      </c>
      <c r="L25" s="7">
        <f>5+20</f>
        <v>25</v>
      </c>
      <c r="M25" s="7">
        <f>3+7</f>
        <v>10</v>
      </c>
      <c r="N25" s="7">
        <v>18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>20+60</f>
        <v>80</v>
      </c>
      <c r="U25" s="7">
        <v>0</v>
      </c>
      <c r="V25" s="7">
        <v>0</v>
      </c>
      <c r="W25" s="7">
        <v>0</v>
      </c>
      <c r="X25" s="7">
        <f>61+134</f>
        <v>195</v>
      </c>
      <c r="Y25" s="7">
        <f t="shared" si="0"/>
        <v>195</v>
      </c>
      <c r="Z25" s="7">
        <f t="shared" si="1"/>
        <v>0</v>
      </c>
      <c r="AA25" s="7"/>
    </row>
    <row r="26" spans="1:27" ht="30" customHeight="1" x14ac:dyDescent="0.25">
      <c r="A26" s="7">
        <v>21</v>
      </c>
      <c r="B26" s="8" t="s">
        <v>46</v>
      </c>
      <c r="C26" s="8" t="s">
        <v>37</v>
      </c>
      <c r="D26" s="7">
        <f>54+18</f>
        <v>72</v>
      </c>
      <c r="E26" s="7">
        <v>5</v>
      </c>
      <c r="F26" s="7">
        <v>2</v>
      </c>
      <c r="G26" s="7">
        <v>0</v>
      </c>
      <c r="H26" s="7">
        <v>6</v>
      </c>
      <c r="I26" s="7">
        <f>54+18</f>
        <v>72</v>
      </c>
      <c r="J26" s="7">
        <v>0</v>
      </c>
      <c r="K26" s="7">
        <v>0</v>
      </c>
      <c r="L26" s="7">
        <v>5</v>
      </c>
      <c r="M26" s="7">
        <v>14</v>
      </c>
      <c r="N26" s="7">
        <v>45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f>131+90</f>
        <v>221</v>
      </c>
      <c r="Y26" s="7">
        <f t="shared" si="0"/>
        <v>221</v>
      </c>
      <c r="Z26" s="7">
        <f t="shared" si="1"/>
        <v>0</v>
      </c>
      <c r="AA26" s="7"/>
    </row>
    <row r="27" spans="1:27" ht="30" customHeight="1" x14ac:dyDescent="0.25">
      <c r="A27" s="7">
        <v>22</v>
      </c>
      <c r="B27" s="8" t="s">
        <v>47</v>
      </c>
      <c r="C27" s="8" t="s">
        <v>19</v>
      </c>
      <c r="D27" s="7">
        <f>58+72</f>
        <v>130</v>
      </c>
      <c r="E27" s="7">
        <v>4</v>
      </c>
      <c r="F27" s="7">
        <v>2</v>
      </c>
      <c r="G27" s="7">
        <v>0</v>
      </c>
      <c r="H27" s="7">
        <f>7+8</f>
        <v>15</v>
      </c>
      <c r="I27" s="7">
        <f>18+18</f>
        <v>36</v>
      </c>
      <c r="J27" s="7">
        <v>0</v>
      </c>
      <c r="K27" s="7">
        <v>0</v>
      </c>
      <c r="L27" s="7">
        <f>12+12</f>
        <v>24</v>
      </c>
      <c r="M27" s="7">
        <f>7+4</f>
        <v>11</v>
      </c>
      <c r="N27" s="7">
        <f>24+24</f>
        <v>48</v>
      </c>
      <c r="O27" s="7">
        <v>108</v>
      </c>
      <c r="P27" s="7">
        <f>142+86</f>
        <v>228</v>
      </c>
      <c r="Q27" s="7">
        <f>48+12</f>
        <v>60</v>
      </c>
      <c r="R27" s="7">
        <v>0</v>
      </c>
      <c r="S27" s="7">
        <v>0</v>
      </c>
      <c r="T27" s="7">
        <f>76+78</f>
        <v>154</v>
      </c>
      <c r="U27" s="7">
        <v>11</v>
      </c>
      <c r="V27" s="7">
        <v>0</v>
      </c>
      <c r="W27" s="7">
        <f>5+15</f>
        <v>20</v>
      </c>
      <c r="X27" s="7">
        <f>520+331</f>
        <v>851</v>
      </c>
      <c r="Y27" s="7">
        <f t="shared" si="0"/>
        <v>851</v>
      </c>
      <c r="Z27" s="7">
        <f t="shared" si="1"/>
        <v>0</v>
      </c>
      <c r="AA27" s="7"/>
    </row>
    <row r="28" spans="1:27" ht="30" customHeight="1" x14ac:dyDescent="0.25">
      <c r="A28" s="7">
        <v>23</v>
      </c>
      <c r="B28" s="8" t="s">
        <v>48</v>
      </c>
      <c r="C28" s="8" t="s">
        <v>19</v>
      </c>
      <c r="D28" s="7">
        <f>106+36</f>
        <v>142</v>
      </c>
      <c r="E28" s="7">
        <f>2+3</f>
        <v>5</v>
      </c>
      <c r="F28" s="7">
        <v>2</v>
      </c>
      <c r="G28" s="7">
        <v>0</v>
      </c>
      <c r="H28" s="7">
        <f>12+4</f>
        <v>16</v>
      </c>
      <c r="I28" s="7">
        <f>134+88</f>
        <v>222</v>
      </c>
      <c r="J28" s="7">
        <v>0</v>
      </c>
      <c r="K28" s="7">
        <v>0</v>
      </c>
      <c r="L28" s="7">
        <f>30+10</f>
        <v>40</v>
      </c>
      <c r="M28" s="7">
        <f>7+7</f>
        <v>14</v>
      </c>
      <c r="N28" s="7">
        <v>32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>166+176</f>
        <v>342</v>
      </c>
      <c r="U28" s="7">
        <v>0</v>
      </c>
      <c r="V28" s="7">
        <v>0</v>
      </c>
      <c r="W28" s="7">
        <v>0</v>
      </c>
      <c r="X28" s="7">
        <f>491+324</f>
        <v>815</v>
      </c>
      <c r="Y28" s="7">
        <f t="shared" si="0"/>
        <v>815</v>
      </c>
      <c r="Z28" s="7">
        <f t="shared" si="1"/>
        <v>0</v>
      </c>
      <c r="AA28" s="7"/>
    </row>
    <row r="29" spans="1:27" ht="30" customHeight="1" x14ac:dyDescent="0.25">
      <c r="A29" s="7">
        <v>24</v>
      </c>
      <c r="B29" s="8" t="s">
        <v>49</v>
      </c>
      <c r="C29" s="8" t="s">
        <v>19</v>
      </c>
      <c r="D29" s="7">
        <f>72+18</f>
        <v>90</v>
      </c>
      <c r="E29" s="7">
        <f>4+2</f>
        <v>6</v>
      </c>
      <c r="F29" s="7">
        <v>2</v>
      </c>
      <c r="G29" s="7">
        <v>0</v>
      </c>
      <c r="H29" s="7">
        <f>5+2</f>
        <v>7</v>
      </c>
      <c r="I29" s="7">
        <f>36+26</f>
        <v>62</v>
      </c>
      <c r="J29" s="7">
        <v>0</v>
      </c>
      <c r="K29" s="7">
        <v>0</v>
      </c>
      <c r="L29" s="7">
        <f>10+13</f>
        <v>23</v>
      </c>
      <c r="M29" s="7">
        <f>11+4</f>
        <v>15</v>
      </c>
      <c r="N29" s="7">
        <v>26</v>
      </c>
      <c r="O29" s="7">
        <v>76</v>
      </c>
      <c r="P29" s="7">
        <v>0</v>
      </c>
      <c r="Q29" s="7">
        <f>32+6</f>
        <v>38</v>
      </c>
      <c r="R29" s="7">
        <v>0</v>
      </c>
      <c r="S29" s="7">
        <v>0</v>
      </c>
      <c r="T29" s="7">
        <f>80+20</f>
        <v>100</v>
      </c>
      <c r="U29" s="7">
        <f>86+235</f>
        <v>321</v>
      </c>
      <c r="V29" s="7">
        <v>0</v>
      </c>
      <c r="W29" s="7">
        <v>5</v>
      </c>
      <c r="X29" s="7">
        <f>414+357</f>
        <v>771</v>
      </c>
      <c r="Y29" s="7">
        <f t="shared" si="0"/>
        <v>771</v>
      </c>
      <c r="Z29" s="7">
        <f t="shared" si="1"/>
        <v>0</v>
      </c>
      <c r="AA29" s="7"/>
    </row>
    <row r="30" spans="1:27" ht="30" customHeight="1" x14ac:dyDescent="0.25">
      <c r="A30" s="7">
        <v>25</v>
      </c>
      <c r="B30" s="8" t="s">
        <v>50</v>
      </c>
      <c r="C30" s="8" t="s">
        <v>26</v>
      </c>
      <c r="D30" s="7">
        <v>36</v>
      </c>
      <c r="E30" s="7">
        <v>11</v>
      </c>
      <c r="F30" s="7">
        <v>2</v>
      </c>
      <c r="G30" s="7">
        <v>0</v>
      </c>
      <c r="H30" s="7">
        <v>14</v>
      </c>
      <c r="I30" s="7">
        <v>0</v>
      </c>
      <c r="J30" s="7">
        <v>0</v>
      </c>
      <c r="K30" s="7">
        <v>0</v>
      </c>
      <c r="L30" s="7">
        <v>13</v>
      </c>
      <c r="M30" s="7">
        <v>21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20</v>
      </c>
      <c r="U30" s="7">
        <v>0</v>
      </c>
      <c r="V30" s="7">
        <v>0</v>
      </c>
      <c r="W30" s="7">
        <v>0</v>
      </c>
      <c r="X30" s="7">
        <v>197</v>
      </c>
      <c r="Y30" s="7">
        <f t="shared" si="0"/>
        <v>117</v>
      </c>
      <c r="Z30" s="7">
        <f t="shared" si="1"/>
        <v>-80</v>
      </c>
      <c r="AA30" s="7" t="s">
        <v>68</v>
      </c>
    </row>
    <row r="31" spans="1:27" ht="30" customHeight="1" x14ac:dyDescent="0.25">
      <c r="A31" s="7">
        <v>26</v>
      </c>
      <c r="B31" s="8" t="s">
        <v>51</v>
      </c>
      <c r="C31" s="8" t="s">
        <v>26</v>
      </c>
      <c r="D31" s="7">
        <f>76+122</f>
        <v>198</v>
      </c>
      <c r="E31" s="7">
        <f>5+3</f>
        <v>8</v>
      </c>
      <c r="F31" s="7">
        <v>0</v>
      </c>
      <c r="G31" s="7">
        <v>0</v>
      </c>
      <c r="H31" s="7">
        <f>8+13</f>
        <v>21</v>
      </c>
      <c r="I31" s="7">
        <v>0</v>
      </c>
      <c r="J31" s="7">
        <v>0</v>
      </c>
      <c r="K31" s="7">
        <v>0</v>
      </c>
      <c r="L31" s="7">
        <f>15+11</f>
        <v>26</v>
      </c>
      <c r="M31" s="7">
        <f>11+8</f>
        <v>19</v>
      </c>
      <c r="N31" s="7">
        <f>46+6</f>
        <v>52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20</v>
      </c>
      <c r="U31" s="7">
        <v>44</v>
      </c>
      <c r="V31" s="7">
        <v>0</v>
      </c>
      <c r="W31" s="7">
        <v>0</v>
      </c>
      <c r="X31" s="7">
        <f>225+163</f>
        <v>388</v>
      </c>
      <c r="Y31" s="7">
        <f t="shared" si="0"/>
        <v>388</v>
      </c>
      <c r="Z31" s="7">
        <f t="shared" si="1"/>
        <v>0</v>
      </c>
      <c r="AA31" s="7"/>
    </row>
    <row r="32" spans="1:27" ht="30" customHeight="1" x14ac:dyDescent="0.25">
      <c r="A32" s="7">
        <v>27</v>
      </c>
      <c r="B32" s="8" t="s">
        <v>52</v>
      </c>
      <c r="C32" s="8" t="s">
        <v>37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f>24+54</f>
        <v>78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>58+76</f>
        <v>134</v>
      </c>
      <c r="U32" s="7">
        <v>0</v>
      </c>
      <c r="V32" s="7">
        <v>0</v>
      </c>
      <c r="W32" s="7">
        <v>0</v>
      </c>
      <c r="X32" s="7">
        <f>82+130</f>
        <v>212</v>
      </c>
      <c r="Y32" s="7">
        <f t="shared" ref="Y32:Y33" si="2">D32+E32+F32+G32+H32+I32+J32+K32+L32+M32+N32+O32+P32+Q32+R32+S32+T32+U32+V32+W32</f>
        <v>212</v>
      </c>
      <c r="Z32" s="7">
        <f t="shared" ref="Z32:Z33" si="3">Y32-X32</f>
        <v>0</v>
      </c>
      <c r="AA32" s="7"/>
    </row>
    <row r="33" spans="1:27" ht="30" customHeight="1" x14ac:dyDescent="0.25">
      <c r="A33" s="7">
        <v>28</v>
      </c>
      <c r="B33" s="8" t="s">
        <v>71</v>
      </c>
      <c r="C33" s="8" t="s">
        <v>19</v>
      </c>
      <c r="D33" s="7">
        <v>54</v>
      </c>
      <c r="E33" s="7">
        <v>20</v>
      </c>
      <c r="F33" s="7">
        <v>5</v>
      </c>
      <c r="G33" s="7">
        <v>0</v>
      </c>
      <c r="H33" s="7">
        <v>21</v>
      </c>
      <c r="I33" s="7">
        <v>184</v>
      </c>
      <c r="J33" s="7">
        <v>0</v>
      </c>
      <c r="K33" s="7">
        <v>0</v>
      </c>
      <c r="L33" s="7">
        <v>42</v>
      </c>
      <c r="M33" s="7">
        <v>46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156</v>
      </c>
      <c r="U33" s="7">
        <v>0</v>
      </c>
      <c r="V33" s="7">
        <v>0</v>
      </c>
      <c r="W33" s="7">
        <v>0</v>
      </c>
      <c r="X33" s="7">
        <v>528</v>
      </c>
      <c r="Y33" s="7">
        <f t="shared" si="2"/>
        <v>528</v>
      </c>
      <c r="Z33" s="7">
        <f t="shared" si="3"/>
        <v>0</v>
      </c>
      <c r="AA33" s="7"/>
    </row>
    <row r="34" spans="1:27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 t="s">
        <v>53</v>
      </c>
      <c r="X34" s="10">
        <f>X6+X7+X8+X9+X10+X11+X12+X13+X14+X15+X16+X17+X18+X19+X20+X21+X22+X24+X25+X26+X27+X28+X29+X30+X31+X33+X23+X32</f>
        <v>12277</v>
      </c>
      <c r="Y34" s="10">
        <f>Y6+Y7+Y8+Y9+Y10+Y11+Y12+Y13+Y14+Y15+Y16+Y17+Y18+Y19+Y20+Y21+Y22+Y24+Y25+Y26+Y27+Y28+Y29+Y30+Y31+Y33+Y23+Y32</f>
        <v>11824</v>
      </c>
      <c r="Z34" s="10">
        <f>Z6+Z7+Z8+Z9+Z10+Z11+Z12+Z13+Z14+Z15+Z16+Z17+Z18+Z19+Z20+Z21+Z22+Z24+Z25+Z26+Z27+Z28+Z29+Z30+Z31+Z33+Z32</f>
        <v>-453</v>
      </c>
      <c r="AA34" s="9"/>
    </row>
    <row r="35" spans="1:27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9"/>
      <c r="B37" s="9"/>
      <c r="C37" s="9"/>
      <c r="D37" s="9" t="s">
        <v>57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 t="s">
        <v>54</v>
      </c>
      <c r="S37" s="9"/>
      <c r="T37" s="9"/>
      <c r="U37" s="9"/>
      <c r="V37" s="9"/>
      <c r="W37" s="9"/>
      <c r="X37" s="9"/>
      <c r="Y37" s="9"/>
      <c r="Z37" s="9" t="s">
        <v>55</v>
      </c>
      <c r="AA37" s="9"/>
    </row>
  </sheetData>
  <mergeCells count="29">
    <mergeCell ref="S4:S5"/>
    <mergeCell ref="AA4:AA5"/>
    <mergeCell ref="U4:U5"/>
    <mergeCell ref="V4:V5"/>
    <mergeCell ref="W4:W5"/>
    <mergeCell ref="Z4:Z5"/>
    <mergeCell ref="X4:X5"/>
    <mergeCell ref="Y4:Y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4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Сафронов Антон Игоревич</cp:lastModifiedBy>
  <cp:lastPrinted>2019-07-01T17:54:57Z</cp:lastPrinted>
  <dcterms:created xsi:type="dcterms:W3CDTF">2019-07-01T17:25:09Z</dcterms:created>
  <dcterms:modified xsi:type="dcterms:W3CDTF">2019-08-25T18:29:02Z</dcterms:modified>
</cp:coreProperties>
</file>