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66" documentId="8_{EB37A21E-167B-460E-AD36-770B7C3064F6}" xr6:coauthVersionLast="47" xr6:coauthVersionMax="47" xr10:uidLastSave="{7340727A-67E6-45B5-A0ED-DB0E231705C1}"/>
  <bookViews>
    <workbookView xWindow="-28920" yWindow="-120" windowWidth="29040" windowHeight="15840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" l="1"/>
  <c r="L31" i="3"/>
  <c r="L19" i="3" l="1"/>
  <c r="L27" i="3"/>
  <c r="R23" i="3"/>
  <c r="P7" i="3"/>
  <c r="X22" i="3"/>
  <c r="R29" i="3" l="1"/>
  <c r="L7" i="1" l="1"/>
  <c r="O6" i="1"/>
  <c r="L32" i="3"/>
  <c r="F28" i="3"/>
  <c r="R21" i="3" a="1"/>
  <c r="R21" i="3" s="1"/>
  <c r="L26" i="3"/>
  <c r="L24" i="3"/>
  <c r="X23" i="3" a="1"/>
  <c r="X23" i="3" s="1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L5" i="3" s="1"/>
  <c r="K11" i="3"/>
  <c r="K13" i="3"/>
  <c r="K15" i="3"/>
  <c r="K7" i="3"/>
  <c r="K14" i="3"/>
  <c r="K6" i="3"/>
  <c r="K16" i="3"/>
  <c r="K8" i="3"/>
  <c r="K9" i="3"/>
  <c r="M7" i="3" l="1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<sst xmlns="http://schemas.openxmlformats.org/spreadsheetml/2006/main" count="308" uniqueCount="192">
  <si>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</si>
  <si>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</si>
  <si>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</si>
  <si>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</si>
  <si>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</si>
  <si>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</si>
  <si>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</si>
  <si>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</si>
  <si>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</si>
  <si>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</si>
  <si>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</si>
  <si>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</si>
  <si>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</si>
  <si>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</si>
  <si>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</si>
  <si>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</si>
  <si>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</si>
  <si>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</si>
  <si>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</si>
  <si>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</si>
  <si>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</si>
  <si>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</si>
  <si>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</si>
  <si>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</si>
  <si>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</si>
  <si>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</si>
  <si>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</si>
  <si>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</si>
  <si>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</si>
  <si>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</si>
  <si>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</si>
  <si>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</si>
  <si>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</si>
  <si>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</si>
  <si>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</si>
  <si>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</si>
  <si>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</si>
  <si>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</si>
  <si>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</si>
  <si>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</si>
  <si>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</si>
  <si>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</si>
  <si>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</si>
  <si>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</si>
  <si>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</si>
  <si>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</si>
  <si>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</si>
  <si>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</si>
  <si>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</si>
  <si>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</si>
  <si>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</si>
  <si>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</si>
  <si>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</si>
  <si>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</si>
  <si>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</si>
  <si>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</si>
  <si>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</si>
  <si>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</si>
  <si>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</si>
  <si>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</si>
  <si>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</si>
  <si>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</si>
  <si>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</si>
  <si>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</si>
  <si>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</si>
  <si>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</si>
  <si>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</si>
  <si>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</si>
  <si>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</si>
  <si>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</si>
  <si>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</si>
  <si>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</si>
  <si>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</si>
  <si>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</si>
  <si>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</si>
  <si>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</si>
  <si>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</si>
  <si>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</si>
  <si>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</si>
  <si>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</si>
  <si>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</si>
  <si>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</si>
  <si>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</si>
  <si>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</si>
  <si>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</si>
  <si>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</si>
  <si>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</si>
  <si>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</si>
  <si>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</si>
  <si>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</si>
  <si>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</si>
  <si>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</si>
  <si>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</si>
  <si>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</si>
  <si>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</si>
  <si>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</si>
  <si>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</si>
  <si>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</si>
  <si>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</si>
  <si>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</si>
  <si>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</si>
  <si>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</si>
  <si>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</si>
  <si>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</si>
  <si>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</si>
  <si>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</si>
  <si>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</si>
  <si>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</si>
  <si>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</si>
  <si>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</si>
  <si>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</si>
  <si>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</si>
  <si>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</si>
  <si>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</si>
  <si>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</si>
  <si>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</si>
  <si>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</si>
  <si>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</si>
  <si>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</si>
  <si>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</si>
  <si>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</si>
  <si>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</si>
  <si>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</si>
  <si>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</si>
  <si>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</si>
  <si>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</si>
  <si>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</si>
  <si>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</si>
  <si>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</si>
  <si>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</si>
  <si>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</si>
  <si>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</si>
  <si>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</si>
  <si>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</si>
  <si>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</si>
  <si>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</si>
  <si>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</si>
  <si>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</si>
  <si>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</si>
  <si>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</si>
  <si>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</si>
  <si>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</si>
  <si>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</si>
  <si>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</si>
  <si>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</si>
  <si>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</si>
  <si>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</si>
  <si>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</si>
  <si>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</si>
  <si>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</si>
  <si>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</si>
  <si>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</si>
  <si>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</si>
  <si>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</si>
  <si>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</si>
  <si>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</si>
  <si>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</si>
  <si>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</si>
  <si>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</si>
  <si>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</si>
  <si>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</si>
  <si>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</si>
  <si>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</si>
  <si>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</si>
  <si>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</si>
  <si>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</si>
  <si>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</si>
  <si>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</si>
  <si>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</si>
  <si>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</si>
  <si>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</si>
  <si>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</si>
  <si>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</si>
  <si>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</si>
  <si>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</si>
  <si>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</si>
  <si>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</si>
  <si>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</si>
  <si>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</si>
  <si>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</si>
  <si>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</si>
  <si>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</si>
  <si>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</si>
  <si>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</si>
  <si>
    <t>τ_s_lens</t>
    <phoneticPr fontId="1"/>
  </si>
  <si>
    <t>τ_s_mirror</t>
    <phoneticPr fontId="1"/>
  </si>
  <si>
    <t>τ_s_grating</t>
    <phoneticPr fontId="1"/>
  </si>
  <si>
    <t>str/pix</t>
    <phoneticPr fontId="1"/>
  </si>
  <si>
    <t>arcsec/pix</t>
    <phoneticPr fontId="1"/>
  </si>
  <si>
    <t>pix</t>
    <phoneticPr fontId="1"/>
  </si>
  <si>
    <t>s_plate</t>
    <phoneticPr fontId="1"/>
  </si>
  <si>
    <t>w_slit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</si>
</sst>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D10" zoomScaleNormal="100" workbookViewId="0">
      <selection activeCell="J38" sqref="J38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N1" s="71"/>
      <c r="P1" s="70" t="s">
        <v>79</v>
      </c>
      <c r="Q1" s="70"/>
      <c r="R1" s="70"/>
      <c r="S1" s="70"/>
      <c r="T1" s="70"/>
      <c r="U1" s="70"/>
      <c r="V1" s="70"/>
      <c r="W1" s="70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143</v>
      </c>
      <c r="M3" s="21" t="s">
        <v>148</v>
      </c>
      <c r="N3" s="33" t="s">
        <v>157</v>
      </c>
      <c r="O3" s="28"/>
      <c r="P3" t="s">
        <v>41</v>
      </c>
      <c r="Q3" t="s">
        <v>152</v>
      </c>
      <c r="R3" s="37" t="s">
        <v>72</v>
      </c>
      <c r="S3" t="s">
        <v>150</v>
      </c>
      <c r="T3" t="s">
        <v>151</v>
      </c>
      <c r="U3" t="s">
        <v>153</v>
      </c>
      <c r="V3" s="38" t="s">
        <v>71</v>
      </c>
    </row>
    <row r="4" spans="2:23" x14ac:dyDescent="0.4">
      <c r="B4" s="1" t="s">
        <v>122</v>
      </c>
      <c r="C4" s="1"/>
      <c r="D4" s="23" t="s">
        <v>169</v>
      </c>
      <c r="E4" s="23" t="s">
        <v>167</v>
      </c>
      <c r="F4" t="s">
        <v>100</v>
      </c>
      <c r="G4" t="s">
        <v>100</v>
      </c>
      <c r="H4" t="s">
        <v>168</v>
      </c>
      <c r="I4" t="s">
        <v>167</v>
      </c>
      <c r="K4" s="31" t="s">
        <v>147</v>
      </c>
      <c r="L4" s="18" t="s">
        <v>142</v>
      </c>
      <c r="M4" s="53" t="s">
        <v>142</v>
      </c>
      <c r="N4" s="34" t="s">
        <v>100</v>
      </c>
      <c r="O4" s="29"/>
      <c r="P4" t="s">
        <v>100</v>
      </c>
      <c r="Q4" t="s">
        <v>100</v>
      </c>
      <c r="R4" s="36" t="s">
        <v>160</v>
      </c>
      <c r="S4" t="s">
        <v>142</v>
      </c>
      <c r="U4" t="s">
        <v>100</v>
      </c>
      <c r="V4" s="38" t="s">
        <v>160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6.3746514124132658E-7</v>
      </c>
      <c r="L5" s="44">
        <f t="shared" ref="L5:L16" si="1">((K5 * $R$20 * $L$19 * $R$32 * $R$33) / ($X$20 * $X$19/(D5*10^-6))) * $L$20 * (1/$L$25) * $F$26 * $L$31</f>
        <v>6591.8666740121225</v>
      </c>
      <c r="M5" s="44">
        <f t="shared" ref="M5:M16" si="2">(($F$28 * $R$20 * $L$19 * $R$33) / ($X$20 * $X$19/(D5*10^-6))) * $L$20 * (1/$L$25) * $F$26 * $L$31</f>
        <v>34354.26430955001</v>
      </c>
      <c r="N5" s="45">
        <f>L5/SQRT(L5 + M5 + $L$26 + ($F$23/$L$25)^2*$L$31)</f>
        <v>29.825002453698012</v>
      </c>
      <c r="O5" s="44"/>
      <c r="R5" s="46"/>
      <c r="S5" s="43">
        <f>L5/N5</f>
        <v>221.01814356078268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1.4366184456731951E-6</v>
      </c>
      <c r="L6" s="44">
        <f t="shared" si="1"/>
        <v>14977.847733853952</v>
      </c>
      <c r="M6" s="44">
        <f t="shared" si="2"/>
        <v>34636.71146109578</v>
      </c>
      <c r="N6" s="45">
        <f t="shared" ref="N6:N16" si="4">L6/SQRT(L6 + M6 + $L$26*$L$31 + ($F$23/$L$25)^2*$L$31)</f>
        <v>57.525143978830073</v>
      </c>
      <c r="O6" s="44"/>
      <c r="P6">
        <f>(F6*(2*G6+1)*E6*H6) / (F$5*(2*G$5+1)*E$5*H$5)</f>
        <v>6.0132395889515431</v>
      </c>
      <c r="Q6" s="24">
        <f>L6/$L$5</f>
        <v>2.2721709152436063</v>
      </c>
      <c r="R6" s="36">
        <f t="shared" ref="R6:R16" si="5">$X$20*$X$19/$X$21 * ((I6-I$5)*10^2) / (LN(P6) - LN(Q6))</f>
        <v>605.04793819016436</v>
      </c>
      <c r="S6" s="43">
        <f>L6/N6</f>
        <v>260.37045190822948</v>
      </c>
      <c r="T6" s="24">
        <f t="shared" ref="T6:T16" si="6">ABS(- $X$20*$X$19/$X$21 * ((I6 - I$5)*10^2) * (LN(P6) - LN(Q6))^-2 / Q6 )</f>
        <v>273.61142830558987</v>
      </c>
      <c r="U6">
        <f>SQRT( (1/L$5 * S6)^2 + (L6/L$5^2 * S$5)^2)</f>
        <v>8.5814132817726971E-2</v>
      </c>
      <c r="V6" s="38">
        <f>T6*U6</f>
        <v>23.479727449063869</v>
      </c>
      <c r="W6" s="39">
        <f>R6/V6</f>
        <v>25.768950661916115</v>
      </c>
    </row>
    <row r="7" spans="2:23" ht="18.75" customHeight="1" x14ac:dyDescent="0.4">
      <c r="B7" s="67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4.1735200516951176E-7</v>
      </c>
      <c r="L7" s="44">
        <f t="shared" si="1"/>
        <v>3725.9626913819097</v>
      </c>
      <c r="M7" s="44">
        <f t="shared" si="2"/>
        <v>29659.558116780237</v>
      </c>
      <c r="N7" s="45">
        <f t="shared" si="4"/>
        <v>16.408403336363033</v>
      </c>
      <c r="P7">
        <f>(F7*(2*G7+1)*E7*H7) / (F$5*(2*G$5+1)*E$5*H$5)</f>
        <v>4.7951439090679582</v>
      </c>
      <c r="Q7" s="24">
        <f>L7/$L$5</f>
        <v>0.56523635498745795</v>
      </c>
      <c r="R7" s="36">
        <f t="shared" si="5"/>
        <v>558.76506727236131</v>
      </c>
      <c r="S7">
        <f>L7/N7</f>
        <v>227.07649336756123</v>
      </c>
      <c r="T7" s="24">
        <f t="shared" si="6"/>
        <v>462.34705326214009</v>
      </c>
      <c r="U7">
        <f>SQRT( (1/L$5 * S7)^2 + (L7/L$5^2 * S$5)^2)</f>
        <v>3.931707820742851E-2</v>
      </c>
      <c r="V7" s="38">
        <f>T7*U7</f>
        <v>18.178135252081677</v>
      </c>
      <c r="W7" s="39">
        <f>R7/V7</f>
        <v>30.738305085961667</v>
      </c>
    </row>
    <row r="8" spans="2:23" x14ac:dyDescent="0.4">
      <c r="B8" s="68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1.3729366469159757E-7</v>
      </c>
      <c r="L8" s="44">
        <f t="shared" si="1"/>
        <v>1226.460731112772</v>
      </c>
      <c r="M8" s="44">
        <f t="shared" si="2"/>
        <v>29677.80854811089</v>
      </c>
      <c r="N8" s="45">
        <f t="shared" si="4"/>
        <v>5.5359274271093017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221.54566642380891</v>
      </c>
      <c r="T8" s="24">
        <f t="shared" si="6"/>
        <v>1441.2489018307504</v>
      </c>
      <c r="U8">
        <f t="shared" ref="U8:U16" si="10">SQRT( (1/L$5 * S8)^2 + (L8/L$5^2 * S$5)^2)</f>
        <v>3.4182994540353076E-2</v>
      </c>
      <c r="V8" s="38">
        <f t="shared" ref="V8:V16" si="11">T8*U8</f>
        <v>49.266203342570407</v>
      </c>
      <c r="W8" s="39">
        <f t="shared" ref="W8:W16" si="12">R8/V8</f>
        <v>11.322018807366888</v>
      </c>
    </row>
    <row r="9" spans="2:23" x14ac:dyDescent="0.4">
      <c r="B9" s="68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1.2815183152777711E-7</v>
      </c>
      <c r="L9" s="44">
        <f t="shared" si="1"/>
        <v>1146.7400076100769</v>
      </c>
      <c r="M9" s="44">
        <f t="shared" si="2"/>
        <v>29728.214501309831</v>
      </c>
      <c r="N9" s="45">
        <f t="shared" si="4"/>
        <v>5.1776350575712318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221.47949688597777</v>
      </c>
      <c r="T9" s="24">
        <f t="shared" si="6"/>
        <v>1671.9241241640348</v>
      </c>
      <c r="U9">
        <f t="shared" si="10"/>
        <v>3.4101433385914509E-2</v>
      </c>
      <c r="V9" s="38">
        <f t="shared" si="11"/>
        <v>57.015009146483287</v>
      </c>
      <c r="W9" s="39">
        <f t="shared" si="12"/>
        <v>9.7251718286650419</v>
      </c>
    </row>
    <row r="10" spans="2:23" x14ac:dyDescent="0.4">
      <c r="B10" s="69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>$F$27 * F10 * (2*G10+1) *$X$20*$X$19*(E10*10^2)*H10 * EXP(-((I10*10^2) * $X$20*$X$19)/($X$21*$F$20)) / (4*PI()*$X$23)</f>
        <v>1.6774403049746973E-7</v>
      </c>
      <c r="L10" s="44">
        <f t="shared" si="1"/>
        <v>1503.7870402692233</v>
      </c>
      <c r="M10" s="44">
        <f t="shared" si="2"/>
        <v>29782.965795301767</v>
      </c>
      <c r="N10" s="45">
        <f t="shared" si="4"/>
        <v>6.7614132581194291</v>
      </c>
      <c r="P10">
        <f t="shared" si="7"/>
        <v>1.1545625272500089</v>
      </c>
      <c r="Q10" s="24">
        <f t="shared" si="8"/>
        <v>0.2281276479995836</v>
      </c>
      <c r="R10" s="36">
        <f t="shared" si="5"/>
        <v>547.16623520349731</v>
      </c>
      <c r="S10">
        <f t="shared" si="9"/>
        <v>222.40720731918046</v>
      </c>
      <c r="T10" s="24">
        <f t="shared" si="6"/>
        <v>1479.1263579353124</v>
      </c>
      <c r="U10">
        <f t="shared" si="10"/>
        <v>3.4595788027130883E-2</v>
      </c>
      <c r="V10" s="38">
        <f t="shared" si="11"/>
        <v>51.171541944472189</v>
      </c>
      <c r="W10" s="39">
        <f t="shared" si="12"/>
        <v>10.692783809353335</v>
      </c>
    </row>
    <row r="11" spans="2:23" x14ac:dyDescent="0.4">
      <c r="B11" s="67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1.3833822868470706E-7</v>
      </c>
      <c r="L11" s="44">
        <f t="shared" si="1"/>
        <v>1250.1948626961212</v>
      </c>
      <c r="M11" s="44">
        <f t="shared" si="2"/>
        <v>30023.697675234613</v>
      </c>
      <c r="N11" s="45">
        <f t="shared" si="4"/>
        <v>5.6219284765815454</v>
      </c>
      <c r="P11">
        <f t="shared" si="7"/>
        <v>2.0508270783837399</v>
      </c>
      <c r="Q11" s="24">
        <f t="shared" si="8"/>
        <v>0.18965718278631283</v>
      </c>
      <c r="R11" s="36">
        <f t="shared" si="5"/>
        <v>566.04327713544251</v>
      </c>
      <c r="S11">
        <f t="shared" si="9"/>
        <v>222.37829383704846</v>
      </c>
      <c r="T11" s="24">
        <f t="shared" si="6"/>
        <v>1253.6058809047045</v>
      </c>
      <c r="U11">
        <f t="shared" si="10"/>
        <v>3.4329349134759886E-2</v>
      </c>
      <c r="V11" s="38">
        <f t="shared" si="11"/>
        <v>43.035473962965824</v>
      </c>
      <c r="W11" s="39">
        <f t="shared" si="12"/>
        <v>13.152946279214934</v>
      </c>
    </row>
    <row r="12" spans="2:23" ht="18.75" customHeight="1" x14ac:dyDescent="0.4">
      <c r="B12" s="69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1.9680215771456142E-7</v>
      </c>
      <c r="L12" s="44">
        <f t="shared" si="1"/>
        <v>1778.5985175886901</v>
      </c>
      <c r="M12" s="44">
        <f t="shared" si="2"/>
        <v>30024.566743393221</v>
      </c>
      <c r="N12" s="45">
        <f t="shared" si="4"/>
        <v>7.9556159894860157</v>
      </c>
      <c r="P12">
        <f t="shared" si="7"/>
        <v>2.0031739976454572</v>
      </c>
      <c r="Q12" s="24">
        <f t="shared" si="8"/>
        <v>0.26981712548900066</v>
      </c>
      <c r="R12" s="36">
        <f t="shared" si="5"/>
        <v>559.68256383508378</v>
      </c>
      <c r="S12">
        <f t="shared" si="9"/>
        <v>223.56515446940259</v>
      </c>
      <c r="T12" s="24">
        <f t="shared" si="6"/>
        <v>1034.6974779813049</v>
      </c>
      <c r="U12">
        <f t="shared" si="10"/>
        <v>3.5101141116107251E-2</v>
      </c>
      <c r="V12" s="38">
        <f t="shared" si="11"/>
        <v>36.319062187102062</v>
      </c>
      <c r="W12" s="39">
        <f t="shared" si="12"/>
        <v>15.410160123403271</v>
      </c>
    </row>
    <row r="13" spans="2:23" x14ac:dyDescent="0.4">
      <c r="B13" s="67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7.9708104528459166E-8</v>
      </c>
      <c r="L13" s="44">
        <f t="shared" si="1"/>
        <v>736.20838411150044</v>
      </c>
      <c r="M13" s="44">
        <f t="shared" si="2"/>
        <v>30685.058543930998</v>
      </c>
      <c r="N13" s="45">
        <f t="shared" si="4"/>
        <v>3.3056905591701389</v>
      </c>
      <c r="P13">
        <f t="shared" si="7"/>
        <v>0.58510257915491859</v>
      </c>
      <c r="Q13" s="24">
        <f t="shared" si="8"/>
        <v>0.11168435596762595</v>
      </c>
      <c r="R13" s="36">
        <f t="shared" si="5"/>
        <v>559.07870609384429</v>
      </c>
      <c r="S13">
        <f t="shared" si="9"/>
        <v>222.70940698584877</v>
      </c>
      <c r="T13" s="24">
        <f t="shared" si="6"/>
        <v>3022.6738332367927</v>
      </c>
      <c r="U13">
        <f t="shared" si="10"/>
        <v>3.3992372419289069E-2</v>
      </c>
      <c r="V13" s="38">
        <f t="shared" si="11"/>
        <v>102.74785464142512</v>
      </c>
      <c r="W13" s="39">
        <f t="shared" si="12"/>
        <v>5.4412689008928377</v>
      </c>
    </row>
    <row r="14" spans="2:23" ht="18.75" customHeight="1" x14ac:dyDescent="0.4">
      <c r="B14" s="68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4.9699076204168547E-7</v>
      </c>
      <c r="L14" s="44">
        <f t="shared" si="1"/>
        <v>4593.9986358084698</v>
      </c>
      <c r="M14" s="44">
        <f t="shared" si="2"/>
        <v>30709.392452371849</v>
      </c>
      <c r="N14" s="45">
        <f t="shared" si="4"/>
        <v>19.86500366043116</v>
      </c>
      <c r="P14">
        <f t="shared" si="7"/>
        <v>2.7693423850317664</v>
      </c>
      <c r="Q14" s="24">
        <f t="shared" si="8"/>
        <v>0.69691922834542774</v>
      </c>
      <c r="R14" s="36">
        <f t="shared" si="5"/>
        <v>551.22506762590467</v>
      </c>
      <c r="S14">
        <f t="shared" si="9"/>
        <v>231.26090054336086</v>
      </c>
      <c r="T14" s="24">
        <f t="shared" si="6"/>
        <v>573.27528473696327</v>
      </c>
      <c r="U14">
        <f t="shared" si="10"/>
        <v>4.2152277293627985E-2</v>
      </c>
      <c r="V14" s="38">
        <f t="shared" si="11"/>
        <v>24.164858767816014</v>
      </c>
      <c r="W14" s="39">
        <f t="shared" si="12"/>
        <v>22.811019626568402</v>
      </c>
    </row>
    <row r="15" spans="2:23" x14ac:dyDescent="0.4">
      <c r="B15" s="68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2.0286674900304395E-7</v>
      </c>
      <c r="L15" s="44">
        <f t="shared" si="1"/>
        <v>1877.7724170523293</v>
      </c>
      <c r="M15" s="44">
        <f t="shared" si="2"/>
        <v>30751.107723984769</v>
      </c>
      <c r="N15" s="45">
        <f t="shared" si="4"/>
        <v>8.3306863033468819</v>
      </c>
      <c r="P15">
        <f t="shared" si="7"/>
        <v>0.92906664077249623</v>
      </c>
      <c r="Q15" s="24">
        <f t="shared" si="8"/>
        <v>0.28486201404152917</v>
      </c>
      <c r="R15" s="36">
        <f t="shared" si="5"/>
        <v>543.76462868521344</v>
      </c>
      <c r="S15">
        <f t="shared" si="9"/>
        <v>225.4042882754963</v>
      </c>
      <c r="T15" s="24">
        <f t="shared" si="6"/>
        <v>1614.7096232520682</v>
      </c>
      <c r="U15">
        <f t="shared" si="10"/>
        <v>3.5503157125176675E-2</v>
      </c>
      <c r="V15" s="38">
        <f t="shared" si="11"/>
        <v>57.327289465853013</v>
      </c>
      <c r="W15" s="39">
        <f t="shared" si="12"/>
        <v>9.4852666810473689</v>
      </c>
    </row>
    <row r="16" spans="2:23" x14ac:dyDescent="0.4">
      <c r="B16" s="69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1.2459790722788288E-7</v>
      </c>
      <c r="L16" s="44">
        <f t="shared" si="1"/>
        <v>1154.5074114616941</v>
      </c>
      <c r="M16" s="44">
        <f t="shared" si="2"/>
        <v>30783.263245853053</v>
      </c>
      <c r="N16" s="45">
        <f t="shared" si="4"/>
        <v>5.1571361330921288</v>
      </c>
      <c r="P16">
        <f t="shared" si="7"/>
        <v>0.48124628561375116</v>
      </c>
      <c r="Q16" s="24">
        <f t="shared" si="8"/>
        <v>0.1751411957425113</v>
      </c>
      <c r="R16" s="36">
        <f t="shared" si="5"/>
        <v>534.84974768160941</v>
      </c>
      <c r="S16">
        <f t="shared" si="9"/>
        <v>223.86599493728539</v>
      </c>
      <c r="T16" s="24">
        <f t="shared" si="6"/>
        <v>3021.2312770497811</v>
      </c>
      <c r="U16">
        <f t="shared" si="10"/>
        <v>3.4464900301556523E-2</v>
      </c>
      <c r="V16" s="38">
        <f t="shared" si="11"/>
        <v>104.126434751465</v>
      </c>
      <c r="W16" s="39">
        <f t="shared" si="12"/>
        <v>5.1365414455821883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170</v>
      </c>
      <c r="H19" s="5" t="s">
        <v>178</v>
      </c>
      <c r="I19" s="6"/>
      <c r="J19" s="6" t="s">
        <v>112</v>
      </c>
      <c r="K19" s="6" t="s">
        <v>187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162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164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160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177</v>
      </c>
      <c r="Q20" s="8" t="s">
        <v>163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165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25" t="s">
        <v>190</v>
      </c>
      <c r="K21" s="8" t="s">
        <v>188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166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155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 cm="1">
        <f t="array" ref="X23">_xlfn.IFS(F20=100, U26, F20=200, U27, F20=300, U28, F20=400, U29, F20=500, U30, F20=600, U31, F20=700, U32, F20=800, U33, F20=900, U34, F20=1000, U35, F20=1200, U36)</f>
        <v>106.393</v>
      </c>
    </row>
    <row r="24" spans="2:24" x14ac:dyDescent="0.4">
      <c r="B24" s="7" t="s">
        <v>44</v>
      </c>
      <c r="C24" s="8"/>
      <c r="D24" s="8" t="s">
        <v>90</v>
      </c>
      <c r="E24" s="8" t="s">
        <v>156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175</v>
      </c>
      <c r="O25" s="14"/>
      <c r="P25" s="14" t="s">
        <v>124</v>
      </c>
      <c r="Q25" s="14" t="s">
        <v>122</v>
      </c>
      <c r="R25" s="15" t="s">
        <v>123</v>
      </c>
      <c r="T25" t="s">
        <v>63</v>
      </c>
      <c r="U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159</v>
      </c>
      <c r="F26" s="20">
        <v>1800</v>
      </c>
      <c r="H26" s="17" t="s">
        <v>144</v>
      </c>
      <c r="I26" s="8"/>
      <c r="J26" s="8" t="s">
        <v>145</v>
      </c>
      <c r="K26" s="51" t="s">
        <v>142</v>
      </c>
      <c r="L26" s="57">
        <f>$F$24/$L$25 *$F$26 * $L$31</f>
        <v>7706.4931743399939</v>
      </c>
      <c r="N26" s="7" t="s">
        <v>173</v>
      </c>
      <c r="O26" s="66"/>
      <c r="P26" s="8" t="s">
        <v>183</v>
      </c>
      <c r="Q26" s="25" t="s">
        <v>100</v>
      </c>
      <c r="R26" s="9">
        <v>0.98</v>
      </c>
      <c r="T26">
        <v>100</v>
      </c>
      <c r="U26">
        <v>7.36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158</v>
      </c>
      <c r="F27" s="54">
        <v>5000000000000000</v>
      </c>
      <c r="H27" s="16" t="s">
        <v>179</v>
      </c>
      <c r="I27" s="11"/>
      <c r="J27" s="11"/>
      <c r="K27" s="59" t="s">
        <v>142</v>
      </c>
      <c r="L27" s="60">
        <f>($F$23 / $L$25)^2 * $L$31</f>
        <v>196.39562515260886</v>
      </c>
      <c r="N27" s="7" t="s">
        <v>172</v>
      </c>
      <c r="O27" s="8"/>
      <c r="P27" s="8" t="s">
        <v>180</v>
      </c>
      <c r="Q27" s="25" t="s">
        <v>162</v>
      </c>
      <c r="R27" s="9">
        <v>15</v>
      </c>
      <c r="T27">
        <v>200</v>
      </c>
      <c r="U27">
        <v>20.725999999999999</v>
      </c>
      <c r="V27" s="39"/>
      <c r="W27"/>
    </row>
    <row r="28" spans="2:24" x14ac:dyDescent="0.4">
      <c r="B28" s="16" t="s">
        <v>149</v>
      </c>
      <c r="C28" s="11"/>
      <c r="D28" s="11" t="s">
        <v>146</v>
      </c>
      <c r="E28" s="55" t="s">
        <v>147</v>
      </c>
      <c r="F28" s="56">
        <f>2.99 * 10^-6</f>
        <v>2.9900000000000002E-6</v>
      </c>
      <c r="M28" s="8"/>
      <c r="N28" s="7" t="s">
        <v>181</v>
      </c>
      <c r="P28" s="25" t="s">
        <v>182</v>
      </c>
      <c r="Q28" s="25" t="s">
        <v>100</v>
      </c>
      <c r="R28" s="9">
        <v>0.5</v>
      </c>
      <c r="T28">
        <v>300</v>
      </c>
      <c r="U28">
        <v>37.607999999999997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171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>
        <v>400</v>
      </c>
      <c r="U29">
        <v>57.649000000000001</v>
      </c>
      <c r="V29" s="39"/>
      <c r="W29"/>
    </row>
    <row r="30" spans="2:24" x14ac:dyDescent="0.4">
      <c r="H30" s="61" t="s">
        <v>54</v>
      </c>
      <c r="I30" s="6"/>
      <c r="J30" s="6" t="s">
        <v>191</v>
      </c>
      <c r="K30" s="6" t="s">
        <v>161</v>
      </c>
      <c r="L30" s="62">
        <v>0.7</v>
      </c>
      <c r="M30" s="8"/>
      <c r="T30">
        <v>500</v>
      </c>
      <c r="U30">
        <v>80.578999999999994</v>
      </c>
      <c r="V30" s="39"/>
      <c r="W30"/>
    </row>
    <row r="31" spans="2:24" x14ac:dyDescent="0.4">
      <c r="H31" s="17" t="s">
        <v>54</v>
      </c>
      <c r="I31" s="8"/>
      <c r="J31" s="8" t="s">
        <v>154</v>
      </c>
      <c r="K31" s="8" t="s">
        <v>189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>
        <v>600</v>
      </c>
      <c r="U31">
        <v>106.393</v>
      </c>
      <c r="V31" s="39"/>
      <c r="W31"/>
    </row>
    <row r="32" spans="2:24" x14ac:dyDescent="0.4">
      <c r="H32" s="7" t="s">
        <v>174</v>
      </c>
      <c r="I32" s="8"/>
      <c r="J32" s="8" t="s">
        <v>176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>
        <v>700</v>
      </c>
      <c r="U32">
        <v>135.33000000000001</v>
      </c>
      <c r="V32" s="39"/>
      <c r="W32"/>
    </row>
    <row r="33" spans="8:23" x14ac:dyDescent="0.4">
      <c r="H33" s="17" t="s">
        <v>114</v>
      </c>
      <c r="I33" s="8"/>
      <c r="J33" s="8" t="s">
        <v>184</v>
      </c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T33">
        <v>800</v>
      </c>
      <c r="U33">
        <v>167.81200000000001</v>
      </c>
      <c r="V33" s="39"/>
      <c r="W33"/>
    </row>
    <row r="34" spans="8:23" x14ac:dyDescent="0.4">
      <c r="H34" s="17" t="s">
        <v>115</v>
      </c>
      <c r="I34" s="8"/>
      <c r="J34" s="8" t="s">
        <v>185</v>
      </c>
      <c r="K34" s="8" t="s">
        <v>100</v>
      </c>
      <c r="L34" s="9">
        <v>0.86</v>
      </c>
      <c r="M34"/>
      <c r="N34" s="19"/>
      <c r="O34" s="35"/>
      <c r="Q34" s="36"/>
      <c r="R34"/>
      <c r="T34">
        <v>900</v>
      </c>
      <c r="U34">
        <v>204.38800000000001</v>
      </c>
      <c r="V34" s="39"/>
      <c r="W34"/>
    </row>
    <row r="35" spans="8:23" x14ac:dyDescent="0.4">
      <c r="H35" s="16" t="s">
        <v>104</v>
      </c>
      <c r="I35" s="11"/>
      <c r="J35" s="11" t="s">
        <v>186</v>
      </c>
      <c r="K35" s="11" t="s">
        <v>100</v>
      </c>
      <c r="L35" s="12">
        <v>0.66</v>
      </c>
      <c r="M35"/>
      <c r="N35" s="19"/>
      <c r="O35" s="35"/>
      <c r="Q35" s="36"/>
      <c r="R35"/>
      <c r="T35">
        <v>1000</v>
      </c>
      <c r="U35">
        <v>245.68299999999999</v>
      </c>
      <c r="V35" s="39"/>
      <c r="W35"/>
    </row>
    <row r="36" spans="8:23" x14ac:dyDescent="0.4">
      <c r="N36" s="19"/>
      <c r="O36" s="35"/>
      <c r="Q36" s="36"/>
      <c r="R36"/>
      <c r="T36">
        <v>1200</v>
      </c>
      <c r="U36">
        <v>345.17899999999997</v>
      </c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disablePrompts="1"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topLeftCell="A10" workbookViewId="0">
      <selection activeCell="F30" sqref="F30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70" t="s">
        <v>77</v>
      </c>
      <c r="E1" s="70"/>
      <c r="F1" s="70"/>
      <c r="G1" s="70"/>
      <c r="H1" s="70"/>
      <c r="I1" s="70"/>
      <c r="K1" s="71" t="s">
        <v>78</v>
      </c>
      <c r="L1" s="71"/>
      <c r="M1" s="71"/>
      <c r="O1" s="70" t="s">
        <v>79</v>
      </c>
      <c r="P1" s="70"/>
      <c r="Q1" s="70"/>
      <c r="R1" s="70"/>
      <c r="S1" s="70"/>
      <c r="T1" s="70"/>
      <c r="U1" s="70"/>
      <c r="V1" s="70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7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68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68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69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7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69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7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68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68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69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2022-05-31T00:52:31Z</dcterms:modified>
</cp:coreProperties>
</file>