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68043b4f6ccc76/Documents/PPARC/IR_camera_ESPRIT/観測見積もり/"/>
    </mc:Choice>
  </mc:AlternateContent>
  <xr:revisionPtr revIDLastSave="1819" documentId="8_{EB37A21E-167B-460E-AD36-770B7C3064F6}" xr6:coauthVersionLast="47" xr6:coauthVersionMax="47" xr10:uidLastSave="{EED58FCE-73EC-468C-AC84-0D5DBC551DCA}"/>
  <bookViews>
    <workbookView xWindow="1905" yWindow="1905" windowWidth="21600" windowHeight="11385" xr2:uid="{9CDB5083-10E1-4F1D-BEF8-63AEB4958B60}"/>
  </bookViews>
  <sheets>
    <sheet name="SN計算（新）" sheetId="3" r:id="rId1"/>
    <sheet name="SN計算（旧）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6" i="3" l="1"/>
  <c r="N15" i="3"/>
  <c r="N14" i="3"/>
  <c r="N13" i="3"/>
  <c r="N12" i="3"/>
  <c r="N11" i="3"/>
  <c r="N10" i="3"/>
  <c r="N9" i="3"/>
  <c r="N8" i="3"/>
  <c r="N7" i="3"/>
  <c r="N6" i="3"/>
  <c r="L26" i="3"/>
  <c r="S7" i="3" s="1"/>
  <c r="P7" i="3"/>
  <c r="X23" i="3"/>
  <c r="K10" i="3" s="1"/>
  <c r="U32" i="3"/>
  <c r="U31" i="3"/>
  <c r="U30" i="3"/>
  <c r="U29" i="3"/>
  <c r="L31" i="3"/>
  <c r="L19" i="3" l="1"/>
  <c r="L27" i="3"/>
  <c r="R23" i="3"/>
  <c r="X22" i="3"/>
  <c r="R29" i="3" l="1"/>
  <c r="L7" i="1" l="1"/>
  <c r="O6" i="1"/>
  <c r="L32" i="3"/>
  <c r="F28" i="3"/>
  <c r="R21" i="3" a="1"/>
  <c r="R21" i="3" s="1"/>
  <c r="L24" i="3"/>
  <c r="L22" i="3"/>
  <c r="X21" i="3"/>
  <c r="X20" i="3"/>
  <c r="R19" i="3" a="1"/>
  <c r="R19" i="3" s="1"/>
  <c r="R20" i="3" s="1"/>
  <c r="E16" i="3"/>
  <c r="E15" i="3"/>
  <c r="P15" i="3" s="1"/>
  <c r="E14" i="3"/>
  <c r="E13" i="3"/>
  <c r="P13" i="3" s="1"/>
  <c r="E12" i="3"/>
  <c r="P11" i="3"/>
  <c r="E11" i="3"/>
  <c r="E10" i="3"/>
  <c r="P10" i="3" s="1"/>
  <c r="E9" i="3"/>
  <c r="E8" i="3"/>
  <c r="E7" i="3"/>
  <c r="E6" i="3"/>
  <c r="P6" i="3" s="1"/>
  <c r="E5" i="3"/>
  <c r="K12" i="3" l="1"/>
  <c r="K5" i="3"/>
  <c r="L25" i="3"/>
  <c r="P14" i="3"/>
  <c r="P8" i="3"/>
  <c r="P16" i="3"/>
  <c r="P12" i="3"/>
  <c r="P9" i="3"/>
  <c r="R33" i="3"/>
  <c r="K11" i="3"/>
  <c r="K13" i="3"/>
  <c r="K15" i="3"/>
  <c r="K7" i="3"/>
  <c r="K14" i="3"/>
  <c r="K6" i="3"/>
  <c r="K16" i="3"/>
  <c r="K8" i="3"/>
  <c r="K9" i="3"/>
  <c r="L5" i="3" l="1"/>
  <c r="M7" i="3"/>
  <c r="M6" i="3"/>
  <c r="L8" i="3"/>
  <c r="L11" i="3"/>
  <c r="M14" i="3"/>
  <c r="L14" i="3"/>
  <c r="M15" i="3"/>
  <c r="M5" i="3"/>
  <c r="L6" i="3"/>
  <c r="M9" i="3"/>
  <c r="M10" i="3"/>
  <c r="L9" i="3"/>
  <c r="L16" i="3"/>
  <c r="L15" i="3"/>
  <c r="L12" i="3"/>
  <c r="M11" i="3"/>
  <c r="M8" i="3"/>
  <c r="M16" i="3"/>
  <c r="L10" i="3"/>
  <c r="M13" i="3"/>
  <c r="L7" i="3"/>
  <c r="L13" i="3"/>
  <c r="M12" i="3"/>
  <c r="I28" i="1"/>
  <c r="I32" i="1"/>
  <c r="I20" i="1"/>
  <c r="I19" i="1"/>
  <c r="I21" i="1"/>
  <c r="I22" i="1" a="1"/>
  <c r="I22" i="1" s="1"/>
  <c r="K5" i="1" s="1"/>
  <c r="Q6" i="3" l="1"/>
  <c r="R6" i="3" s="1"/>
  <c r="N5" i="3"/>
  <c r="S5" i="3"/>
  <c r="S9" i="3"/>
  <c r="S12" i="3"/>
  <c r="S15" i="3"/>
  <c r="S13" i="3"/>
  <c r="S10" i="3"/>
  <c r="S16" i="3"/>
  <c r="S6" i="3"/>
  <c r="S11" i="3"/>
  <c r="S8" i="3"/>
  <c r="S14" i="3"/>
  <c r="Q13" i="3"/>
  <c r="T13" i="3" s="1"/>
  <c r="Q11" i="3"/>
  <c r="R11" i="3" s="1"/>
  <c r="Q12" i="3"/>
  <c r="T12" i="3" s="1"/>
  <c r="Q7" i="3"/>
  <c r="Q8" i="3"/>
  <c r="T8" i="3" s="1"/>
  <c r="Q10" i="3"/>
  <c r="T10" i="3" s="1"/>
  <c r="Q15" i="3"/>
  <c r="T15" i="3" s="1"/>
  <c r="Q16" i="3"/>
  <c r="R16" i="3" s="1"/>
  <c r="Q14" i="3"/>
  <c r="T14" i="3" s="1"/>
  <c r="Q9" i="3"/>
  <c r="T9" i="3" s="1"/>
  <c r="E8" i="1"/>
  <c r="E7" i="1"/>
  <c r="E5" i="1"/>
  <c r="I25" i="1"/>
  <c r="R7" i="3" l="1"/>
  <c r="T7" i="3"/>
  <c r="R13" i="3"/>
  <c r="R8" i="3"/>
  <c r="T11" i="3"/>
  <c r="U9" i="3"/>
  <c r="V9" i="3" s="1"/>
  <c r="U14" i="3"/>
  <c r="V14" i="3" s="1"/>
  <c r="U16" i="3"/>
  <c r="U12" i="3"/>
  <c r="V12" i="3" s="1"/>
  <c r="U11" i="3"/>
  <c r="U15" i="3"/>
  <c r="V15" i="3" s="1"/>
  <c r="U8" i="3"/>
  <c r="V8" i="3" s="1"/>
  <c r="U6" i="3"/>
  <c r="R10" i="3"/>
  <c r="U7" i="3"/>
  <c r="U10" i="3"/>
  <c r="V10" i="3" s="1"/>
  <c r="T16" i="3"/>
  <c r="R12" i="3"/>
  <c r="U13" i="3"/>
  <c r="V13" i="3" s="1"/>
  <c r="R9" i="3"/>
  <c r="R15" i="3"/>
  <c r="R14" i="3"/>
  <c r="T6" i="3"/>
  <c r="L5" i="1"/>
  <c r="M5" i="1" s="1"/>
  <c r="K15" i="1"/>
  <c r="L15" i="1" s="1"/>
  <c r="O10" i="1"/>
  <c r="O14" i="1"/>
  <c r="O13" i="1"/>
  <c r="O15" i="1"/>
  <c r="O9" i="1"/>
  <c r="O11" i="1"/>
  <c r="O12" i="1"/>
  <c r="O8" i="1"/>
  <c r="O7" i="1"/>
  <c r="K14" i="1"/>
  <c r="L14" i="1" s="1"/>
  <c r="K13" i="1"/>
  <c r="L13" i="1" s="1"/>
  <c r="K12" i="1"/>
  <c r="L12" i="1" s="1"/>
  <c r="K11" i="1"/>
  <c r="L11" i="1" s="1"/>
  <c r="K10" i="1"/>
  <c r="L10" i="1" s="1"/>
  <c r="K8" i="1"/>
  <c r="L8" i="1" s="1"/>
  <c r="K9" i="1"/>
  <c r="L9" i="1" s="1"/>
  <c r="K7" i="1"/>
  <c r="K6" i="1"/>
  <c r="L6" i="1" s="1"/>
  <c r="M6" i="1" s="1"/>
  <c r="W13" i="3" l="1"/>
  <c r="V11" i="3"/>
  <c r="W11" i="3" s="1"/>
  <c r="W8" i="3"/>
  <c r="V7" i="3"/>
  <c r="W7" i="3" s="1"/>
  <c r="W10" i="3"/>
  <c r="V16" i="3"/>
  <c r="W16" i="3" s="1"/>
  <c r="W12" i="3"/>
  <c r="V6" i="3"/>
  <c r="W6" i="3" s="1"/>
  <c r="W9" i="3"/>
  <c r="W14" i="3"/>
  <c r="W15" i="3"/>
  <c r="P6" i="1"/>
  <c r="S6" i="1" s="1"/>
  <c r="R6" i="1"/>
  <c r="P7" i="1"/>
  <c r="R5" i="1"/>
  <c r="P9" i="1"/>
  <c r="P10" i="1"/>
  <c r="P12" i="1"/>
  <c r="P13" i="1"/>
  <c r="P8" i="1"/>
  <c r="P11" i="1"/>
  <c r="P14" i="1"/>
  <c r="P15" i="1"/>
  <c r="M11" i="1"/>
  <c r="R11" i="1" s="1"/>
  <c r="M9" i="1"/>
  <c r="R9" i="1" s="1"/>
  <c r="M15" i="1"/>
  <c r="R15" i="1" s="1"/>
  <c r="M7" i="1"/>
  <c r="R7" i="1" s="1"/>
  <c r="M8" i="1"/>
  <c r="R8" i="1" s="1"/>
  <c r="M14" i="1"/>
  <c r="R14" i="1" s="1"/>
  <c r="M12" i="1"/>
  <c r="R12" i="1" s="1"/>
  <c r="M13" i="1"/>
  <c r="R13" i="1" s="1"/>
  <c r="M10" i="1"/>
  <c r="R10" i="1" s="1"/>
  <c r="T6" i="1" l="1"/>
  <c r="S11" i="1"/>
  <c r="Q11" i="1"/>
  <c r="S13" i="1"/>
  <c r="Q13" i="1"/>
  <c r="S10" i="1"/>
  <c r="Q10" i="1"/>
  <c r="S14" i="1"/>
  <c r="Q14" i="1"/>
  <c r="S8" i="1"/>
  <c r="Q8" i="1"/>
  <c r="S9" i="1"/>
  <c r="Q9" i="1"/>
  <c r="S15" i="1"/>
  <c r="Q15" i="1"/>
  <c r="S7" i="1"/>
  <c r="Q7" i="1"/>
  <c r="S12" i="1"/>
  <c r="Q12" i="1"/>
  <c r="Q6" i="1"/>
  <c r="T9" i="1"/>
  <c r="T10" i="1"/>
  <c r="T13" i="1"/>
  <c r="T15" i="1"/>
  <c r="T7" i="1"/>
  <c r="T8" i="1"/>
  <c r="T12" i="1"/>
  <c r="T14" i="1"/>
  <c r="T11" i="1"/>
  <c r="U7" i="1" l="1"/>
  <c r="V7" i="1" s="1"/>
  <c r="U10" i="1"/>
  <c r="V10" i="1" s="1"/>
  <c r="U14" i="1"/>
  <c r="V14" i="1" s="1"/>
  <c r="U13" i="1"/>
  <c r="V13" i="1" s="1"/>
  <c r="U15" i="1"/>
  <c r="V15" i="1" s="1"/>
  <c r="U11" i="1"/>
  <c r="V11" i="1" s="1"/>
  <c r="U9" i="1"/>
  <c r="V9" i="1" s="1"/>
  <c r="U6" i="1"/>
  <c r="V6" i="1" s="1"/>
  <c r="U12" i="1"/>
  <c r="V12" i="1" s="1"/>
  <c r="U8" i="1"/>
  <c r="V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<sst xmlns="http://schemas.openxmlformats.org/spreadsheetml/2006/main" count="314" uniqueCount="200">
  <si>
    <t>システムゲイン</t>
    <phoneticPr fontId="1"/>
  </si>
  <si>
    <t>大気透過率</t>
    <rPh sb="0" eb="2">
      <t>タイキ</t>
    </rPh>
    <rPh sb="2" eb="5">
      <t>トウカリツ</t>
    </rPh>
    <phoneticPr fontId="1"/>
  </si>
  <si>
    <t>望遠鏡透過率(T60??)</t>
    <rPh sb="0" eb="3">
      <t>ボウエンキョウ</t>
    </rPh>
    <rPh sb="3" eb="6">
      <t>トウカリツ</t>
    </rPh>
    <phoneticPr fontId="1"/>
  </si>
  <si>
    <t>Q(1,0)</t>
    <phoneticPr fontId="1"/>
  </si>
  <si>
    <t>3.42μm帯</t>
    <rPh sb="6" eb="7">
      <t>タイ</t>
    </rPh>
    <phoneticPr fontId="1"/>
  </si>
  <si>
    <t>R(3,0)</t>
    <phoneticPr fontId="1"/>
  </si>
  <si>
    <t>R(3.1)</t>
    <phoneticPr fontId="1"/>
  </si>
  <si>
    <t>R(3.2)</t>
    <phoneticPr fontId="1"/>
  </si>
  <si>
    <t>R(3,3)</t>
    <phoneticPr fontId="1"/>
  </si>
  <si>
    <t>3.45μm帯</t>
    <rPh sb="6" eb="7">
      <t>タイ</t>
    </rPh>
    <phoneticPr fontId="1"/>
  </si>
  <si>
    <t>R(4,3)</t>
    <phoneticPr fontId="1"/>
  </si>
  <si>
    <t>R(4,4)</t>
    <phoneticPr fontId="1"/>
  </si>
  <si>
    <t>3.53μm帯</t>
    <rPh sb="6" eb="7">
      <t>タイ</t>
    </rPh>
    <phoneticPr fontId="1"/>
  </si>
  <si>
    <t>R(3,2)</t>
    <phoneticPr fontId="1"/>
  </si>
  <si>
    <t>R(2,1)</t>
    <phoneticPr fontId="1"/>
  </si>
  <si>
    <t>R(2,2)</t>
    <phoneticPr fontId="1"/>
  </si>
  <si>
    <t>物理定数</t>
    <rPh sb="0" eb="2">
      <t>ブツリ</t>
    </rPh>
    <rPh sb="2" eb="4">
      <t>テイスウ</t>
    </rPh>
    <phoneticPr fontId="1"/>
  </si>
  <si>
    <t>検出器量子効率</t>
    <rPh sb="0" eb="3">
      <t>ケンシュツキ</t>
    </rPh>
    <rPh sb="3" eb="5">
      <t>リョウシ</t>
    </rPh>
    <rPh sb="5" eb="7">
      <t>コウリツ</t>
    </rPh>
    <phoneticPr fontId="1"/>
  </si>
  <si>
    <t>望遠鏡口径</t>
    <rPh sb="0" eb="3">
      <t>ボウエンキョウ</t>
    </rPh>
    <rPh sb="3" eb="5">
      <t>コウケイ</t>
    </rPh>
    <phoneticPr fontId="1"/>
  </si>
  <si>
    <t>変数（プルダウンで選択）</t>
    <rPh sb="0" eb="2">
      <t>ヘンスウ</t>
    </rPh>
    <rPh sb="9" eb="11">
      <t>センタク</t>
    </rPh>
    <phoneticPr fontId="1"/>
  </si>
  <si>
    <t>想定熱圏温度（放射強度用）</t>
    <rPh sb="0" eb="2">
      <t>ソウテイ</t>
    </rPh>
    <rPh sb="2" eb="4">
      <t>ネッケン</t>
    </rPh>
    <rPh sb="4" eb="6">
      <t>オンド</t>
    </rPh>
    <rPh sb="7" eb="9">
      <t>ホウシャ</t>
    </rPh>
    <rPh sb="9" eb="11">
      <t>キョウド</t>
    </rPh>
    <rPh sb="11" eb="12">
      <t>ヨウ</t>
    </rPh>
    <phoneticPr fontId="1"/>
  </si>
  <si>
    <t>積分時間</t>
    <rPh sb="0" eb="2">
      <t>ヘンスウ</t>
    </rPh>
    <phoneticPr fontId="1"/>
  </si>
  <si>
    <t>変数（手打ち）</t>
    <rPh sb="0" eb="2">
      <t>ヘンスウ</t>
    </rPh>
    <rPh sb="3" eb="5">
      <t>テウ</t>
    </rPh>
    <phoneticPr fontId="1"/>
  </si>
  <si>
    <t>[]</t>
    <phoneticPr fontId="1"/>
  </si>
  <si>
    <t>[cm^-1]</t>
    <phoneticPr fontId="1"/>
  </si>
  <si>
    <t>[um]</t>
    <phoneticPr fontId="1"/>
  </si>
  <si>
    <t>波長</t>
    <rPh sb="0" eb="2">
      <t>ハチョウ</t>
    </rPh>
    <phoneticPr fontId="1"/>
  </si>
  <si>
    <t>波数</t>
    <rPh sb="0" eb="1">
      <t>ハ</t>
    </rPh>
    <rPh sb="1" eb="2">
      <t>スウ</t>
    </rPh>
    <phoneticPr fontId="1"/>
  </si>
  <si>
    <t>[W/m^2/str]</t>
  </si>
  <si>
    <t>ADU</t>
    <phoneticPr fontId="1"/>
  </si>
  <si>
    <t>[DN/sec]</t>
  </si>
  <si>
    <t>輝線S/N</t>
    <rPh sb="0" eb="2">
      <t>キセン</t>
    </rPh>
    <phoneticPr fontId="1"/>
  </si>
  <si>
    <t>装置の定数</t>
    <rPh sb="0" eb="2">
      <t>ソウチ</t>
    </rPh>
    <rPh sb="3" eb="5">
      <t>テイスウ</t>
    </rPh>
    <phoneticPr fontId="1"/>
  </si>
  <si>
    <t>g</t>
  </si>
  <si>
    <t>λ</t>
    <phoneticPr fontId="1"/>
  </si>
  <si>
    <t>放射強度</t>
    <rPh sb="0" eb="2">
      <t>ホウシャ</t>
    </rPh>
    <rPh sb="2" eb="4">
      <t>キョウド</t>
    </rPh>
    <phoneticPr fontId="1"/>
  </si>
  <si>
    <t>J'</t>
    <phoneticPr fontId="1"/>
  </si>
  <si>
    <t>回転準位</t>
    <phoneticPr fontId="1"/>
  </si>
  <si>
    <t>[s^-1]</t>
    <phoneticPr fontId="1"/>
  </si>
  <si>
    <t>A</t>
    <phoneticPr fontId="1"/>
  </si>
  <si>
    <t>E'</t>
  </si>
  <si>
    <t>β</t>
    <phoneticPr fontId="1"/>
  </si>
  <si>
    <t xml:space="preserve">リードノイズ </t>
    <phoneticPr fontId="1"/>
  </si>
  <si>
    <t>[e/pixel]</t>
  </si>
  <si>
    <t xml:space="preserve">リーク電流 </t>
    <rPh sb="3" eb="5">
      <t>デンリュウ</t>
    </rPh>
    <phoneticPr fontId="1"/>
  </si>
  <si>
    <t>[e/s/pixel]</t>
  </si>
  <si>
    <t>hc</t>
    <phoneticPr fontId="1"/>
  </si>
  <si>
    <t>[kg*m^3/s^2]</t>
  </si>
  <si>
    <t>望遠鏡開口面積</t>
    <rPh sb="0" eb="3">
      <t>ボウエンキョウ</t>
    </rPh>
    <rPh sb="3" eb="5">
      <t>カイコウ</t>
    </rPh>
    <rPh sb="5" eb="7">
      <t>メンセキ</t>
    </rPh>
    <phoneticPr fontId="1"/>
  </si>
  <si>
    <t>[m^2]</t>
  </si>
  <si>
    <t>立体角</t>
    <rPh sb="0" eb="2">
      <t>リッタイ</t>
    </rPh>
    <rPh sb="2" eb="3">
      <t>カク</t>
    </rPh>
    <phoneticPr fontId="1"/>
  </si>
  <si>
    <t>[str/arcsec]</t>
  </si>
  <si>
    <t>プレートスケール</t>
    <phoneticPr fontId="1"/>
  </si>
  <si>
    <t>[arcsec/pixel]</t>
  </si>
  <si>
    <t>スリット幅</t>
    <rPh sb="4" eb="5">
      <t>ハバ</t>
    </rPh>
    <phoneticPr fontId="1"/>
  </si>
  <si>
    <t>[arcsec]</t>
  </si>
  <si>
    <t>[pixel]</t>
  </si>
  <si>
    <t>[s]</t>
    <phoneticPr fontId="1"/>
  </si>
  <si>
    <t>[m]</t>
    <phoneticPr fontId="1"/>
  </si>
  <si>
    <t>[K]</t>
    <phoneticPr fontId="1"/>
  </si>
  <si>
    <t>[J/K]</t>
    <phoneticPr fontId="1"/>
  </si>
  <si>
    <t>H3+カラム密度</t>
    <rPh sb="6" eb="8">
      <t>ミツド</t>
    </rPh>
    <phoneticPr fontId="1"/>
  </si>
  <si>
    <t>[m^-2]</t>
    <phoneticPr fontId="1"/>
  </si>
  <si>
    <t>Temperature</t>
  </si>
  <si>
    <t>partition function</t>
    <phoneticPr fontId="1"/>
  </si>
  <si>
    <t>E</t>
    <phoneticPr fontId="1"/>
  </si>
  <si>
    <t>I(ωif)</t>
    <phoneticPr fontId="1"/>
  </si>
  <si>
    <t>強度比(HB/FD)</t>
    <rPh sb="0" eb="2">
      <t>キョウド</t>
    </rPh>
    <rPh sb="2" eb="3">
      <t>ヒ</t>
    </rPh>
    <phoneticPr fontId="1"/>
  </si>
  <si>
    <t>∂T/∂R</t>
    <phoneticPr fontId="1"/>
  </si>
  <si>
    <t>ΔADU</t>
    <phoneticPr fontId="1"/>
  </si>
  <si>
    <t>R_ADU</t>
    <phoneticPr fontId="1"/>
  </si>
  <si>
    <t>ΔT</t>
    <phoneticPr fontId="1"/>
  </si>
  <si>
    <t>Tvib</t>
    <phoneticPr fontId="1"/>
  </si>
  <si>
    <t>ΔR_ADU</t>
    <phoneticPr fontId="1"/>
  </si>
  <si>
    <t>温度 S/N</t>
    <rPh sb="0" eb="2">
      <t>オンド</t>
    </rPh>
    <phoneticPr fontId="1"/>
  </si>
  <si>
    <t>[m/s]</t>
    <phoneticPr fontId="1"/>
  </si>
  <si>
    <t>波長分解能R</t>
    <rPh sb="0" eb="2">
      <t>ハチョウ</t>
    </rPh>
    <rPh sb="2" eb="5">
      <t>ブンカイノウ</t>
    </rPh>
    <phoneticPr fontId="1"/>
  </si>
  <si>
    <t>input parameter</t>
    <phoneticPr fontId="1"/>
  </si>
  <si>
    <t>輝線単体</t>
    <rPh sb="0" eb="2">
      <t>キセン</t>
    </rPh>
    <rPh sb="2" eb="4">
      <t>タンタイ</t>
    </rPh>
    <phoneticPr fontId="1"/>
  </si>
  <si>
    <t>温度導出</t>
    <rPh sb="0" eb="2">
      <t>オンド</t>
    </rPh>
    <rPh sb="2" eb="4">
      <t>ドウシュツ</t>
    </rPh>
    <phoneticPr fontId="1"/>
  </si>
  <si>
    <t>Q(T) Partition function</t>
    <phoneticPr fontId="1"/>
  </si>
  <si>
    <t>光速</t>
    <rPh sb="0" eb="2">
      <t>コウソク</t>
    </rPh>
    <phoneticPr fontId="1"/>
  </si>
  <si>
    <t>c</t>
    <phoneticPr fontId="1"/>
  </si>
  <si>
    <t>k</t>
    <phoneticPr fontId="1"/>
  </si>
  <si>
    <t>ボルツマン定数</t>
    <rPh sb="5" eb="7">
      <t>テイスウ</t>
    </rPh>
    <phoneticPr fontId="1"/>
  </si>
  <si>
    <t>Q(T)</t>
    <phoneticPr fontId="1"/>
  </si>
  <si>
    <t>τα</t>
    <phoneticPr fontId="1"/>
  </si>
  <si>
    <t>Einstein coeff</t>
  </si>
  <si>
    <t>η</t>
    <phoneticPr fontId="1"/>
  </si>
  <si>
    <t>T</t>
    <phoneticPr fontId="1"/>
  </si>
  <si>
    <t>I_dark</t>
    <phoneticPr fontId="1"/>
  </si>
  <si>
    <t>N_read</t>
    <phoneticPr fontId="1"/>
  </si>
  <si>
    <t>G_sys</t>
    <phoneticPr fontId="1"/>
  </si>
  <si>
    <t>t_obs</t>
    <phoneticPr fontId="1"/>
  </si>
  <si>
    <t>N(H3+)</t>
    <phoneticPr fontId="1"/>
  </si>
  <si>
    <t>energy of upper statement</t>
    <phoneticPr fontId="1"/>
  </si>
  <si>
    <t>k_b</t>
    <phoneticPr fontId="1"/>
  </si>
  <si>
    <t>I_obj(ωif)</t>
    <phoneticPr fontId="1"/>
  </si>
  <si>
    <t>Q(3,0)</t>
    <phoneticPr fontId="1"/>
  </si>
  <si>
    <t>望遠鏡透過率</t>
    <rPh sb="0" eb="3">
      <t>ボウエンキョウ</t>
    </rPh>
    <rPh sb="3" eb="6">
      <t>トウカリツ</t>
    </rPh>
    <phoneticPr fontId="1"/>
  </si>
  <si>
    <t>無次元</t>
    <rPh sb="0" eb="3">
      <t>ムジゲン</t>
    </rPh>
    <phoneticPr fontId="1"/>
  </si>
  <si>
    <t>τ_t</t>
    <phoneticPr fontId="1"/>
  </si>
  <si>
    <t>τ_f</t>
    <phoneticPr fontId="1"/>
  </si>
  <si>
    <t>τ_e</t>
    <phoneticPr fontId="1"/>
  </si>
  <si>
    <t>エシェル回折効率</t>
    <rPh sb="4" eb="6">
      <t>カイセツ</t>
    </rPh>
    <rPh sb="6" eb="8">
      <t>コウリツ</t>
    </rPh>
    <phoneticPr fontId="1"/>
  </si>
  <si>
    <t>g_ns</t>
    <phoneticPr fontId="1"/>
  </si>
  <si>
    <t>ω_if</t>
    <phoneticPr fontId="1"/>
  </si>
  <si>
    <t>望遠鏡の定数</t>
    <rPh sb="0" eb="3">
      <t>ボウエンキョウ</t>
    </rPh>
    <rPh sb="4" eb="6">
      <t>テイスウ</t>
    </rPh>
    <phoneticPr fontId="1"/>
  </si>
  <si>
    <t>光学系全体の透過率</t>
    <rPh sb="0" eb="3">
      <t>コウガクケイ</t>
    </rPh>
    <rPh sb="3" eb="5">
      <t>ゼンタイ</t>
    </rPh>
    <rPh sb="6" eb="9">
      <t>トウカリツ</t>
    </rPh>
    <phoneticPr fontId="1"/>
  </si>
  <si>
    <t>T60透過率</t>
    <rPh sb="3" eb="6">
      <t>トウカリツ</t>
    </rPh>
    <phoneticPr fontId="1"/>
  </si>
  <si>
    <t>PLANETS透過率（グレゴリアン）</t>
    <rPh sb="7" eb="10">
      <t>トウカリツ</t>
    </rPh>
    <phoneticPr fontId="1"/>
  </si>
  <si>
    <t>その他の定数</t>
    <rPh sb="2" eb="3">
      <t>ホカ</t>
    </rPh>
    <rPh sb="4" eb="6">
      <t>テイスウ</t>
    </rPh>
    <phoneticPr fontId="1"/>
  </si>
  <si>
    <t>Ω</t>
    <phoneticPr fontId="1"/>
  </si>
  <si>
    <t>主鏡の開口面積</t>
    <rPh sb="0" eb="2">
      <t>シュキョウ</t>
    </rPh>
    <rPh sb="3" eb="5">
      <t>カイコウ</t>
    </rPh>
    <rPh sb="5" eb="7">
      <t>メンセキ</t>
    </rPh>
    <phoneticPr fontId="1"/>
  </si>
  <si>
    <t>レンズ透過率</t>
    <rPh sb="3" eb="6">
      <t>トウカリツ</t>
    </rPh>
    <phoneticPr fontId="1"/>
  </si>
  <si>
    <t>鏡透過率</t>
    <rPh sb="0" eb="1">
      <t>カガミ</t>
    </rPh>
    <rPh sb="1" eb="4">
      <t>トウカリツ</t>
    </rPh>
    <phoneticPr fontId="1"/>
  </si>
  <si>
    <t>望遠鏡の種類</t>
    <rPh sb="0" eb="3">
      <t>ボウエンキョウ</t>
    </rPh>
    <rPh sb="4" eb="6">
      <t>シュルイ</t>
    </rPh>
    <phoneticPr fontId="1"/>
  </si>
  <si>
    <t>主鏡の口径</t>
    <rPh sb="0" eb="2">
      <t>シュキョウ</t>
    </rPh>
    <rPh sb="3" eb="5">
      <t>コウケイ</t>
    </rPh>
    <phoneticPr fontId="1"/>
  </si>
  <si>
    <t>nuclear spin weight</t>
    <phoneticPr fontId="1"/>
  </si>
  <si>
    <t>プランク定数</t>
    <rPh sb="4" eb="6">
      <t>テイスウ</t>
    </rPh>
    <phoneticPr fontId="1"/>
  </si>
  <si>
    <t>h</t>
    <phoneticPr fontId="1"/>
  </si>
  <si>
    <t>なし</t>
    <phoneticPr fontId="1"/>
  </si>
  <si>
    <t>単位</t>
    <rPh sb="0" eb="2">
      <t>タンイ</t>
    </rPh>
    <phoneticPr fontId="1"/>
  </si>
  <si>
    <t>値</t>
    <rPh sb="0" eb="1">
      <t>アタイ</t>
    </rPh>
    <phoneticPr fontId="1"/>
  </si>
  <si>
    <t>文字（.mdと対応）</t>
    <rPh sb="0" eb="2">
      <t>モジ</t>
    </rPh>
    <rPh sb="7" eb="9">
      <t>タイオウ</t>
    </rPh>
    <phoneticPr fontId="1"/>
  </si>
  <si>
    <t>検出器の定数</t>
    <rPh sb="0" eb="3">
      <t>ケンシュツキ</t>
    </rPh>
    <rPh sb="4" eb="6">
      <t>テイスウ</t>
    </rPh>
    <phoneticPr fontId="1"/>
  </si>
  <si>
    <t>ESPRITの定数</t>
    <rPh sb="7" eb="9">
      <t>テイスウ</t>
    </rPh>
    <phoneticPr fontId="1"/>
  </si>
  <si>
    <t>C_PD</t>
    <phoneticPr fontId="1"/>
  </si>
  <si>
    <t>検出器PDの電気容量</t>
    <rPh sb="0" eb="3">
      <t>ケンシュツキ</t>
    </rPh>
    <rPh sb="6" eb="8">
      <t>デンキ</t>
    </rPh>
    <rPh sb="8" eb="10">
      <t>ヨウリョウ</t>
    </rPh>
    <phoneticPr fontId="1"/>
  </si>
  <si>
    <t>F</t>
    <phoneticPr fontId="1"/>
  </si>
  <si>
    <t>検出器SFの倍率</t>
    <rPh sb="0" eb="3">
      <t>ケンシュツキ</t>
    </rPh>
    <rPh sb="6" eb="8">
      <t>バイリツ</t>
    </rPh>
    <phoneticPr fontId="1"/>
  </si>
  <si>
    <t>G_SF</t>
    <phoneticPr fontId="1"/>
  </si>
  <si>
    <t>ADCの1DN当たりの電圧値（16bit, +-5V入力）</t>
    <rPh sb="7" eb="8">
      <t>ア</t>
    </rPh>
    <rPh sb="11" eb="14">
      <t>デンアツチ</t>
    </rPh>
    <rPh sb="26" eb="28">
      <t>ニュウリョク</t>
    </rPh>
    <phoneticPr fontId="1"/>
  </si>
  <si>
    <t>ADU_ADC</t>
    <phoneticPr fontId="1"/>
  </si>
  <si>
    <t>V/DN</t>
    <phoneticPr fontId="1"/>
  </si>
  <si>
    <t>プリアンプ倍率</t>
    <rPh sb="5" eb="7">
      <t>バイリツ</t>
    </rPh>
    <phoneticPr fontId="1"/>
  </si>
  <si>
    <t>G_Amp</t>
    <phoneticPr fontId="1"/>
  </si>
  <si>
    <t>電気素量</t>
    <rPh sb="0" eb="4">
      <t>デンキソリョウ</t>
    </rPh>
    <phoneticPr fontId="1"/>
  </si>
  <si>
    <t>e</t>
    <phoneticPr fontId="1"/>
  </si>
  <si>
    <t>C/e-</t>
    <phoneticPr fontId="1"/>
  </si>
  <si>
    <t>e-/DN</t>
    <phoneticPr fontId="1"/>
  </si>
  <si>
    <t>e-/photon</t>
    <phoneticPr fontId="1"/>
  </si>
  <si>
    <t>DN</t>
    <phoneticPr fontId="1"/>
  </si>
  <si>
    <t>S_obj</t>
    <phoneticPr fontId="1"/>
  </si>
  <si>
    <t>検出器暗電流のカウント値</t>
    <rPh sb="0" eb="3">
      <t>ケンシュツキ</t>
    </rPh>
    <rPh sb="3" eb="6">
      <t>アンデンリュウ</t>
    </rPh>
    <rPh sb="11" eb="12">
      <t>アタイ</t>
    </rPh>
    <phoneticPr fontId="1"/>
  </si>
  <si>
    <t>S_dark</t>
    <phoneticPr fontId="1"/>
  </si>
  <si>
    <t>I_GBT + I_sky</t>
    <phoneticPr fontId="1"/>
  </si>
  <si>
    <t>W/m^2/str</t>
    <phoneticPr fontId="1"/>
  </si>
  <si>
    <t>S_GBT+S_sky</t>
    <phoneticPr fontId="1"/>
  </si>
  <si>
    <t>望遠鏡と地球大気の熱輻射（3.4um, ESPRITスリット幅）</t>
    <rPh sb="0" eb="3">
      <t>ボウエンキョウ</t>
    </rPh>
    <rPh sb="4" eb="6">
      <t>チキュウ</t>
    </rPh>
    <rPh sb="6" eb="8">
      <t>タイキ</t>
    </rPh>
    <rPh sb="9" eb="10">
      <t>ネツ</t>
    </rPh>
    <rPh sb="10" eb="12">
      <t>フクシャ</t>
    </rPh>
    <rPh sb="30" eb="31">
      <t>ハバ</t>
    </rPh>
    <phoneticPr fontId="1"/>
  </si>
  <si>
    <t>ΔS_obj</t>
    <phoneticPr fontId="1"/>
  </si>
  <si>
    <t>∂T/∂R_s</t>
    <phoneticPr fontId="1"/>
  </si>
  <si>
    <t>R_s</t>
    <phoneticPr fontId="1"/>
  </si>
  <si>
    <t>ΔR_s</t>
    <phoneticPr fontId="1"/>
  </si>
  <si>
    <t>n_pix</t>
    <phoneticPr fontId="1"/>
  </si>
  <si>
    <t>e-/n_pix</t>
    <phoneticPr fontId="1"/>
  </si>
  <si>
    <t>e-/s/n_pix</t>
    <phoneticPr fontId="1"/>
  </si>
  <si>
    <t>SNR</t>
    <phoneticPr fontId="1"/>
  </si>
  <si>
    <t>m^-2</t>
    <phoneticPr fontId="1"/>
  </si>
  <si>
    <t>s</t>
    <phoneticPr fontId="1"/>
  </si>
  <si>
    <t>K</t>
    <phoneticPr fontId="1"/>
  </si>
  <si>
    <t>arcsec</t>
    <phoneticPr fontId="1"/>
  </si>
  <si>
    <t>m</t>
    <phoneticPr fontId="1"/>
  </si>
  <si>
    <t>m^2</t>
    <phoneticPr fontId="1"/>
  </si>
  <si>
    <t>m/s</t>
    <phoneticPr fontId="1"/>
  </si>
  <si>
    <t>m^2 kg / s</t>
    <phoneticPr fontId="1"/>
  </si>
  <si>
    <t>J / K</t>
    <phoneticPr fontId="1"/>
  </si>
  <si>
    <t>/cm</t>
    <phoneticPr fontId="1"/>
  </si>
  <si>
    <t>/s</t>
    <phoneticPr fontId="1"/>
  </si>
  <si>
    <t>um</t>
    <phoneticPr fontId="1"/>
  </si>
  <si>
    <t>ファイバー全体の透過率</t>
    <rPh sb="5" eb="7">
      <t>ゼンタイ</t>
    </rPh>
    <rPh sb="8" eb="11">
      <t>トウカリツ</t>
    </rPh>
    <phoneticPr fontId="1"/>
  </si>
  <si>
    <t>ファイバー長さ</t>
    <rPh sb="5" eb="6">
      <t>ナガ</t>
    </rPh>
    <phoneticPr fontId="1"/>
  </si>
  <si>
    <t>1m当たりの透過率</t>
    <rPh sb="2" eb="3">
      <t>ア</t>
    </rPh>
    <rPh sb="6" eb="9">
      <t>トウカリツ</t>
    </rPh>
    <phoneticPr fontId="1"/>
  </si>
  <si>
    <t>ESPRIT全体透過率</t>
    <rPh sb="6" eb="8">
      <t>ゼンタイ</t>
    </rPh>
    <rPh sb="8" eb="11">
      <t>トウカリツ</t>
    </rPh>
    <phoneticPr fontId="1"/>
  </si>
  <si>
    <t>分光器用ファイバーの定数</t>
    <rPh sb="0" eb="3">
      <t>ブンコウキ</t>
    </rPh>
    <rPh sb="3" eb="4">
      <t>ヨウ</t>
    </rPh>
    <rPh sb="10" eb="12">
      <t>テイスウ</t>
    </rPh>
    <phoneticPr fontId="1"/>
  </si>
  <si>
    <t>τ_s</t>
    <phoneticPr fontId="1"/>
  </si>
  <si>
    <t>A_t</t>
    <phoneticPr fontId="1"/>
  </si>
  <si>
    <t>1pixelが見込む立体角</t>
    <rPh sb="7" eb="9">
      <t>ミコ</t>
    </rPh>
    <rPh sb="10" eb="12">
      <t>リッタイ</t>
    </rPh>
    <rPh sb="12" eb="13">
      <t>カク</t>
    </rPh>
    <phoneticPr fontId="1"/>
  </si>
  <si>
    <t>リードノイズのシグナル換算（比較用）</t>
    <rPh sb="11" eb="13">
      <t>カンサン</t>
    </rPh>
    <rPh sb="14" eb="17">
      <t>ヒカクヨウ</t>
    </rPh>
    <phoneticPr fontId="1"/>
  </si>
  <si>
    <t>l_f</t>
    <phoneticPr fontId="1"/>
  </si>
  <si>
    <t>結合損失</t>
    <rPh sb="0" eb="2">
      <t>ケツゴウ</t>
    </rPh>
    <rPh sb="2" eb="4">
      <t>ソンシツ</t>
    </rPh>
    <phoneticPr fontId="1"/>
  </si>
  <si>
    <t>τ_f_coupling</t>
    <phoneticPr fontId="1"/>
  </si>
  <si>
    <t>τ_f_unit</t>
    <phoneticPr fontId="1"/>
  </si>
  <si>
    <t>τ_s_lens</t>
    <phoneticPr fontId="1"/>
  </si>
  <si>
    <t>τ_s_mirror</t>
    <phoneticPr fontId="1"/>
  </si>
  <si>
    <t>τ_s_grating</t>
    <phoneticPr fontId="1"/>
  </si>
  <si>
    <t>str/pix</t>
    <phoneticPr fontId="1"/>
  </si>
  <si>
    <t>arcsec/pix</t>
    <phoneticPr fontId="1"/>
  </si>
  <si>
    <t>pix</t>
    <phoneticPr fontId="1"/>
  </si>
  <si>
    <t>s_plate</t>
    <phoneticPr fontId="1"/>
  </si>
  <si>
    <t>w_slit</t>
    <phoneticPr fontId="1"/>
  </si>
  <si>
    <t>A_0</t>
    <phoneticPr fontId="1"/>
  </si>
  <si>
    <t>A_1</t>
    <phoneticPr fontId="1"/>
  </si>
  <si>
    <t>A_2</t>
  </si>
  <si>
    <t>A_3</t>
  </si>
  <si>
    <t>A_4</t>
  </si>
  <si>
    <t>A_5</t>
  </si>
  <si>
    <t>A_6</t>
  </si>
  <si>
    <t>Partition functionの係数</t>
    <rPh sb="19" eb="21">
      <t>ケイスウ</t>
    </rPh>
    <phoneticPr fontId="1"/>
  </si>
  <si>
    <t>T60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</si>
</sst>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_ "/>
    <numFmt numFmtId="177" formatCode="0.0000_ "/>
    <numFmt numFmtId="178" formatCode="0.000_);[Red]\(0.000\)"/>
    <numFmt numFmtId="179" formatCode="0.000E+00"/>
    <numFmt numFmtId="180" formatCode="0.0000E+00"/>
    <numFmt numFmtId="181" formatCode="0.0_);[Red]\(0.0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2" fillId="0" borderId="1" xfId="0" applyFont="1" applyBorder="1">
      <alignment vertical="center"/>
    </xf>
    <xf numFmtId="177" fontId="2" fillId="0" borderId="1" xfId="0" applyNumberFormat="1" applyFont="1" applyBorder="1" applyAlignment="1">
      <alignment horizontal="right"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0" fillId="0" borderId="3" xfId="0" applyBorder="1">
      <alignment vertical="center"/>
    </xf>
    <xf numFmtId="0" fontId="0" fillId="0" borderId="8" xfId="0" applyFill="1" applyBorder="1">
      <alignment vertical="center"/>
    </xf>
    <xf numFmtId="0" fontId="0" fillId="0" borderId="6" xfId="0" applyFill="1" applyBorder="1">
      <alignment vertical="center"/>
    </xf>
    <xf numFmtId="178" fontId="2" fillId="0" borderId="1" xfId="0" applyNumberFormat="1" applyFont="1" applyBorder="1">
      <alignment vertical="center"/>
    </xf>
    <xf numFmtId="178" fontId="0" fillId="0" borderId="0" xfId="0" applyNumberFormat="1">
      <alignment vertical="center"/>
    </xf>
    <xf numFmtId="0" fontId="0" fillId="0" borderId="7" xfId="0" applyFill="1" applyBorder="1">
      <alignment vertical="center"/>
    </xf>
    <xf numFmtId="178" fontId="2" fillId="0" borderId="2" xfId="0" applyNumberFormat="1" applyFont="1" applyBorder="1" applyAlignment="1">
      <alignment horizontal="center" vertical="center"/>
    </xf>
    <xf numFmtId="0" fontId="0" fillId="0" borderId="12" xfId="0" applyBorder="1">
      <alignment vertical="center"/>
    </xf>
    <xf numFmtId="0" fontId="2" fillId="0" borderId="1" xfId="0" applyFont="1" applyBorder="1" applyAlignment="1">
      <alignment vertical="center"/>
    </xf>
    <xf numFmtId="11" fontId="0" fillId="0" borderId="0" xfId="0" applyNumberFormat="1">
      <alignment vertical="center"/>
    </xf>
    <xf numFmtId="0" fontId="0" fillId="0" borderId="0" xfId="0" applyFill="1" applyBorder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78" fontId="2" fillId="0" borderId="0" xfId="0" applyNumberFormat="1" applyFont="1" applyBorder="1" applyAlignment="1">
      <alignment horizontal="center" vertical="center"/>
    </xf>
    <xf numFmtId="178" fontId="2" fillId="0" borderId="0" xfId="0" applyNumberFormat="1" applyFont="1" applyBorder="1">
      <alignment vertical="center"/>
    </xf>
    <xf numFmtId="180" fontId="4" fillId="0" borderId="0" xfId="0" applyNumberFormat="1" applyFont="1">
      <alignment vertical="center"/>
    </xf>
    <xf numFmtId="180" fontId="4" fillId="0" borderId="1" xfId="0" applyNumberFormat="1" applyFont="1" applyBorder="1">
      <alignment vertical="center"/>
    </xf>
    <xf numFmtId="180" fontId="4" fillId="0" borderId="0" xfId="0" applyNumberFormat="1" applyFont="1" applyFill="1">
      <alignment vertical="center"/>
    </xf>
    <xf numFmtId="178" fontId="4" fillId="0" borderId="2" xfId="0" applyNumberFormat="1" applyFont="1" applyBorder="1" applyAlignment="1">
      <alignment horizontal="center" vertical="center"/>
    </xf>
    <xf numFmtId="178" fontId="4" fillId="0" borderId="1" xfId="0" applyNumberFormat="1" applyFont="1" applyBorder="1">
      <alignment vertical="center"/>
    </xf>
    <xf numFmtId="178" fontId="4" fillId="0" borderId="0" xfId="0" applyNumberFormat="1" applyFont="1">
      <alignment vertical="center"/>
    </xf>
    <xf numFmtId="181" fontId="4" fillId="0" borderId="0" xfId="0" applyNumberFormat="1" applyFont="1">
      <alignment vertical="center"/>
    </xf>
    <xf numFmtId="181" fontId="4" fillId="0" borderId="0" xfId="0" applyNumberFormat="1" applyFont="1" applyFill="1" applyBorder="1" applyAlignment="1">
      <alignment horizontal="center" vertical="center"/>
    </xf>
    <xf numFmtId="181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2" fillId="0" borderId="1" xfId="0" applyFont="1" applyFill="1" applyBorder="1">
      <alignment vertical="center"/>
    </xf>
    <xf numFmtId="177" fontId="2" fillId="0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Fill="1" applyBorder="1">
      <alignment vertical="center"/>
    </xf>
    <xf numFmtId="0" fontId="0" fillId="0" borderId="0" xfId="0" applyFill="1">
      <alignment vertical="center"/>
    </xf>
    <xf numFmtId="178" fontId="0" fillId="0" borderId="0" xfId="0" applyNumberFormat="1" applyFill="1">
      <alignment vertical="center"/>
    </xf>
    <xf numFmtId="178" fontId="4" fillId="0" borderId="0" xfId="0" applyNumberFormat="1" applyFont="1" applyFill="1">
      <alignment vertical="center"/>
    </xf>
    <xf numFmtId="181" fontId="4" fillId="0" borderId="0" xfId="0" applyNumberFormat="1" applyFont="1" applyFill="1">
      <alignment vertical="center"/>
    </xf>
    <xf numFmtId="181" fontId="3" fillId="0" borderId="0" xfId="0" applyNumberFormat="1" applyFont="1" applyFill="1">
      <alignment vertical="center"/>
    </xf>
    <xf numFmtId="176" fontId="3" fillId="0" borderId="0" xfId="0" applyNumberFormat="1" applyFont="1" applyFill="1">
      <alignment vertical="center"/>
    </xf>
    <xf numFmtId="0" fontId="2" fillId="0" borderId="13" xfId="0" applyFont="1" applyFill="1" applyBorder="1">
      <alignment vertical="center"/>
    </xf>
    <xf numFmtId="176" fontId="0" fillId="0" borderId="7" xfId="0" applyNumberFormat="1" applyBorder="1">
      <alignment vertical="center"/>
    </xf>
    <xf numFmtId="180" fontId="0" fillId="0" borderId="0" xfId="0" applyNumberFormat="1" applyBorder="1">
      <alignment vertical="center"/>
    </xf>
    <xf numFmtId="176" fontId="0" fillId="0" borderId="0" xfId="0" applyNumberFormat="1" applyBorder="1">
      <alignment vertical="center"/>
    </xf>
    <xf numFmtId="178" fontId="2" fillId="0" borderId="1" xfId="0" applyNumberFormat="1" applyFont="1" applyBorder="1" applyAlignment="1">
      <alignment horizontal="left" vertical="center"/>
    </xf>
    <xf numFmtId="11" fontId="0" fillId="0" borderId="7" xfId="0" applyNumberFormat="1" applyBorder="1">
      <alignment vertical="center"/>
    </xf>
    <xf numFmtId="0" fontId="0" fillId="0" borderId="9" xfId="0" applyFill="1" applyBorder="1">
      <alignment vertical="center"/>
    </xf>
    <xf numFmtId="11" fontId="0" fillId="0" borderId="10" xfId="0" applyNumberFormat="1" applyFill="1" applyBorder="1">
      <alignment vertical="center"/>
    </xf>
    <xf numFmtId="178" fontId="0" fillId="0" borderId="7" xfId="0" applyNumberFormat="1" applyBorder="1">
      <alignment vertical="center"/>
    </xf>
    <xf numFmtId="179" fontId="0" fillId="0" borderId="7" xfId="0" applyNumberFormat="1" applyBorder="1">
      <alignment vertical="center"/>
    </xf>
    <xf numFmtId="180" fontId="0" fillId="0" borderId="9" xfId="0" applyNumberFormat="1" applyBorder="1">
      <alignment vertical="center"/>
    </xf>
    <xf numFmtId="178" fontId="0" fillId="0" borderId="10" xfId="0" applyNumberFormat="1" applyBorder="1">
      <alignment vertical="center"/>
    </xf>
    <xf numFmtId="0" fontId="0" fillId="0" borderId="4" xfId="0" applyFill="1" applyBorder="1">
      <alignment vertical="center"/>
    </xf>
    <xf numFmtId="0" fontId="0" fillId="0" borderId="12" xfId="0" applyFill="1" applyBorder="1">
      <alignment vertical="center"/>
    </xf>
    <xf numFmtId="180" fontId="0" fillId="0" borderId="5" xfId="0" applyNumberFormat="1" applyBorder="1">
      <alignment vertical="center"/>
    </xf>
    <xf numFmtId="181" fontId="3" fillId="0" borderId="0" xfId="0" applyNumberFormat="1" applyFont="1" applyBorder="1">
      <alignment vertical="center"/>
    </xf>
    <xf numFmtId="176" fontId="5" fillId="0" borderId="0" xfId="0" applyNumberFormat="1" applyFont="1" applyBorder="1">
      <alignment vertical="center"/>
    </xf>
    <xf numFmtId="178" fontId="0" fillId="0" borderId="0" xfId="0" applyNumberFormat="1" applyBorder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F073-BF80-4605-AA24-B9D133186576}">
  <dimension ref="B1:X49"/>
  <sheetViews>
    <sheetView tabSelected="1" zoomScaleNormal="100" workbookViewId="0">
      <selection activeCell="P9" sqref="P9"/>
    </sheetView>
  </sheetViews>
  <sheetFormatPr defaultRowHeight="18.75" x14ac:dyDescent="0.4"/>
  <cols>
    <col min="2" max="2" width="14.375" customWidth="1"/>
    <col min="4" max="7" width="11.375" customWidth="1"/>
    <col min="8" max="8" width="12.75" customWidth="1"/>
    <col min="9" max="9" width="11.375" customWidth="1"/>
    <col min="10" max="10" width="11.25" customWidth="1"/>
    <col min="11" max="11" width="12.5" style="27" customWidth="1"/>
    <col min="12" max="12" width="12.75" style="19" customWidth="1"/>
    <col min="13" max="13" width="13.125" style="19" customWidth="1"/>
    <col min="14" max="14" width="10.375" style="35" customWidth="1"/>
    <col min="15" max="15" width="10.375" style="19" customWidth="1"/>
    <col min="16" max="16" width="9" customWidth="1"/>
    <col min="17" max="17" width="11.75" customWidth="1"/>
    <col min="18" max="18" width="11.75" style="36" customWidth="1"/>
    <col min="19" max="19" width="10.875" customWidth="1"/>
    <col min="20" max="20" width="9.5" bestFit="1" customWidth="1"/>
    <col min="21" max="21" width="14.25" bestFit="1" customWidth="1"/>
    <col min="22" max="22" width="11.125" style="38" customWidth="1"/>
    <col min="23" max="23" width="10.5" style="39" customWidth="1"/>
    <col min="24" max="24" width="13.375" bestFit="1" customWidth="1"/>
    <col min="25" max="25" width="10.5" customWidth="1"/>
    <col min="27" max="27" width="13.375" bestFit="1" customWidth="1"/>
  </cols>
  <sheetData>
    <row r="1" spans="2:23" x14ac:dyDescent="0.4">
      <c r="D1" s="70" t="s">
        <v>77</v>
      </c>
      <c r="E1" s="70"/>
      <c r="F1" s="70"/>
      <c r="G1" s="70"/>
      <c r="H1" s="70"/>
      <c r="I1" s="70"/>
      <c r="K1" s="71" t="s">
        <v>78</v>
      </c>
      <c r="L1" s="71"/>
      <c r="M1" s="71"/>
      <c r="N1" s="71"/>
      <c r="P1" s="70" t="s">
        <v>79</v>
      </c>
      <c r="Q1" s="70"/>
      <c r="R1" s="70"/>
      <c r="S1" s="70"/>
      <c r="T1" s="70"/>
      <c r="U1" s="70"/>
      <c r="V1" s="70"/>
      <c r="W1" s="70"/>
    </row>
    <row r="2" spans="2:23" x14ac:dyDescent="0.4">
      <c r="D2" s="23" t="s">
        <v>26</v>
      </c>
      <c r="E2" s="23" t="s">
        <v>27</v>
      </c>
      <c r="F2" t="s">
        <v>118</v>
      </c>
      <c r="G2" t="s">
        <v>37</v>
      </c>
      <c r="H2" t="s">
        <v>87</v>
      </c>
      <c r="I2" t="s">
        <v>95</v>
      </c>
      <c r="K2" s="30" t="s">
        <v>35</v>
      </c>
      <c r="N2" s="33" t="s">
        <v>31</v>
      </c>
      <c r="O2" s="28"/>
      <c r="Q2" t="s">
        <v>67</v>
      </c>
      <c r="W2" s="39" t="s">
        <v>74</v>
      </c>
    </row>
    <row r="3" spans="2:23" x14ac:dyDescent="0.4">
      <c r="B3" s="1" t="s">
        <v>124</v>
      </c>
      <c r="C3" s="1"/>
      <c r="D3" s="23" t="s">
        <v>34</v>
      </c>
      <c r="E3" s="23" t="s">
        <v>106</v>
      </c>
      <c r="F3" t="s">
        <v>105</v>
      </c>
      <c r="G3" t="s">
        <v>36</v>
      </c>
      <c r="H3" t="s">
        <v>39</v>
      </c>
      <c r="I3" t="s">
        <v>40</v>
      </c>
      <c r="K3" s="30" t="s">
        <v>97</v>
      </c>
      <c r="L3" s="21" t="s">
        <v>143</v>
      </c>
      <c r="M3" s="21" t="s">
        <v>148</v>
      </c>
      <c r="N3" s="33" t="s">
        <v>157</v>
      </c>
      <c r="O3" s="28"/>
      <c r="P3" t="s">
        <v>41</v>
      </c>
      <c r="Q3" t="s">
        <v>152</v>
      </c>
      <c r="R3" s="37" t="s">
        <v>72</v>
      </c>
      <c r="S3" t="s">
        <v>150</v>
      </c>
      <c r="T3" t="s">
        <v>151</v>
      </c>
      <c r="U3" t="s">
        <v>153</v>
      </c>
      <c r="V3" s="38" t="s">
        <v>71</v>
      </c>
    </row>
    <row r="4" spans="2:23" x14ac:dyDescent="0.4">
      <c r="B4" s="1" t="s">
        <v>122</v>
      </c>
      <c r="C4" s="1"/>
      <c r="D4" s="23" t="s">
        <v>169</v>
      </c>
      <c r="E4" s="23" t="s">
        <v>167</v>
      </c>
      <c r="F4" t="s">
        <v>100</v>
      </c>
      <c r="G4" t="s">
        <v>100</v>
      </c>
      <c r="H4" t="s">
        <v>168</v>
      </c>
      <c r="I4" t="s">
        <v>167</v>
      </c>
      <c r="K4" s="31" t="s">
        <v>147</v>
      </c>
      <c r="L4" s="18" t="s">
        <v>142</v>
      </c>
      <c r="M4" s="53" t="s">
        <v>142</v>
      </c>
      <c r="N4" s="34" t="s">
        <v>100</v>
      </c>
      <c r="O4" s="29"/>
      <c r="P4" t="s">
        <v>100</v>
      </c>
      <c r="Q4" t="s">
        <v>100</v>
      </c>
      <c r="R4" s="36" t="s">
        <v>160</v>
      </c>
      <c r="S4" t="s">
        <v>142</v>
      </c>
      <c r="U4" t="s">
        <v>100</v>
      </c>
      <c r="V4" s="38" t="s">
        <v>160</v>
      </c>
    </row>
    <row r="5" spans="2:23" s="43" customFormat="1" x14ac:dyDescent="0.4">
      <c r="B5" s="40"/>
      <c r="C5" s="40" t="s">
        <v>3</v>
      </c>
      <c r="D5" s="41">
        <v>3.9529999999999998</v>
      </c>
      <c r="E5" s="42">
        <f>1/(D5*10^-6) * 10^-2</f>
        <v>2529.7242600556547</v>
      </c>
      <c r="F5" s="43">
        <v>4</v>
      </c>
      <c r="G5" s="43">
        <v>1</v>
      </c>
      <c r="H5" s="43">
        <v>128.69999999999999</v>
      </c>
      <c r="I5" s="43">
        <v>2552.5691000000002</v>
      </c>
      <c r="K5" s="32">
        <f t="shared" ref="K5:K16" si="0">$F$27 * F5 * (2*G5+1) *$X$20*$X$19*(E5*10^2)*H5 * EXP(-((I5*10^2) * $X$20*$X$19)/($X$21*$F$20)) / (4*PI()*$X$23)</f>
        <v>6.3749588734207388E-7</v>
      </c>
      <c r="L5" s="44">
        <f t="shared" ref="L5:L16" si="1">((K5 * $R$20 * $L$19 * $R$32 * $R$33) / ($X$20 * $X$19/(D5*10^-6))) * $L$20 * (1/$L$25) * $F$26 * $L$31</f>
        <v>711.82211550652221</v>
      </c>
      <c r="M5" s="44">
        <f t="shared" ref="M5:M16" si="2">(($F$28 * $R$20 * $L$19 * $R$33) / ($X$20 * $X$19/(D5*10^-6))) * $L$20 * (1/$L$25) * $F$26 * $L$31</f>
        <v>3709.5631475596606</v>
      </c>
      <c r="N5" s="45">
        <f>L5/SQRT(L5 + M5 + $L$26 + ($F$23/$L$25)^2*$L$31)</f>
        <v>6.4119599820950492</v>
      </c>
      <c r="O5" s="44"/>
      <c r="R5" s="46"/>
      <c r="S5" s="43">
        <f>L5/N5</f>
        <v>111.01474704992479</v>
      </c>
      <c r="V5" s="47"/>
      <c r="W5" s="48"/>
    </row>
    <row r="6" spans="2:23" s="43" customFormat="1" x14ac:dyDescent="0.4">
      <c r="B6" s="49"/>
      <c r="C6" s="40" t="s">
        <v>98</v>
      </c>
      <c r="D6" s="41">
        <v>3.9855</v>
      </c>
      <c r="E6" s="42">
        <f t="shared" ref="E6:E16" si="3">1/(D6*10^-6) * 10^-2</f>
        <v>2509.0954710826745</v>
      </c>
      <c r="F6" s="43">
        <v>4</v>
      </c>
      <c r="G6" s="43">
        <v>9</v>
      </c>
      <c r="H6" s="43">
        <v>123.2</v>
      </c>
      <c r="I6" s="43">
        <v>2961.84</v>
      </c>
      <c r="K6" s="32">
        <f t="shared" si="0"/>
        <v>1.4366877363882608E-6</v>
      </c>
      <c r="L6" s="44">
        <f t="shared" si="1"/>
        <v>1617.3815076810949</v>
      </c>
      <c r="M6" s="44">
        <f t="shared" si="2"/>
        <v>3740.0617061975786</v>
      </c>
      <c r="N6" s="45">
        <f t="shared" ref="N6:N16" si="4">L6/SQRT(L6 + M6 + $L$26 + ($F$23/$L$25)^2*$L$31)</f>
        <v>14.045437587324765</v>
      </c>
      <c r="O6" s="44"/>
      <c r="P6">
        <f>(F6*(2*G6+1)*E6*H6) / (F$5*(2*G$5+1)*E$5*H$5)</f>
        <v>6.0132395889515431</v>
      </c>
      <c r="Q6" s="24">
        <f>L6/$L$5</f>
        <v>2.2721709152436067</v>
      </c>
      <c r="R6" s="36">
        <f t="shared" ref="R6:R16" si="5">$X$20*$X$19/$X$21 * ((I6-I$5)*10^2) / (LN(P6) - LN(Q6))</f>
        <v>605.04793819016436</v>
      </c>
      <c r="S6" s="43">
        <f>L6/N6</f>
        <v>115.15351498487259</v>
      </c>
      <c r="T6" s="24">
        <f t="shared" ref="T6:T16" si="6">ABS(- $X$20*$X$19/$X$21 * ((I6 - I$5)*10^2) * (LN(P6) - LN(Q6))^-2 / Q6 )</f>
        <v>273.61142830558987</v>
      </c>
      <c r="U6">
        <f>SQRT( (1/L$5 * S6)^2 + (L6/L$5^2 * S$5)^2)</f>
        <v>0.38954416380822493</v>
      </c>
      <c r="V6" s="38">
        <f>T6*U6</f>
        <v>106.58373504767509</v>
      </c>
      <c r="W6" s="39">
        <f>R6/V6</f>
        <v>5.6767379930861432</v>
      </c>
    </row>
    <row r="7" spans="2:23" ht="18.75" customHeight="1" x14ac:dyDescent="0.4">
      <c r="B7" s="67" t="s">
        <v>4</v>
      </c>
      <c r="C7" s="1" t="s">
        <v>5</v>
      </c>
      <c r="D7" s="2">
        <v>3.4127999999999998</v>
      </c>
      <c r="E7" s="42">
        <f t="shared" si="3"/>
        <v>2930.1453352086264</v>
      </c>
      <c r="F7">
        <v>4</v>
      </c>
      <c r="G7">
        <v>4</v>
      </c>
      <c r="H7">
        <v>177.6</v>
      </c>
      <c r="I7">
        <v>3382.9299000000001</v>
      </c>
      <c r="K7" s="32">
        <f t="shared" si="0"/>
        <v>4.1737213481420576E-7</v>
      </c>
      <c r="L7" s="44">
        <f t="shared" si="1"/>
        <v>402.34773796836794</v>
      </c>
      <c r="M7" s="44">
        <f t="shared" si="2"/>
        <v>3202.6301821380239</v>
      </c>
      <c r="N7" s="45">
        <f t="shared" si="4"/>
        <v>3.7506293891139153</v>
      </c>
      <c r="P7">
        <f>(F7*(2*G7+1)*E7*H7) / (F$5*(2*G$5+1)*E$5*H$5)</f>
        <v>4.7951439090679582</v>
      </c>
      <c r="Q7" s="24">
        <f>L7/$L$5</f>
        <v>0.56523635498745806</v>
      </c>
      <c r="R7" s="36">
        <f t="shared" si="5"/>
        <v>558.76506727236142</v>
      </c>
      <c r="S7">
        <f>L7/N7</f>
        <v>107.27472544639299</v>
      </c>
      <c r="T7" s="24">
        <f t="shared" si="6"/>
        <v>462.34705326214009</v>
      </c>
      <c r="U7">
        <f>SQRT( (1/L$5 * S7)^2 + (L7/L$5^2 * S$5)^2)</f>
        <v>0.17459337365929087</v>
      </c>
      <c r="V7" s="38">
        <f>T7*U7</f>
        <v>80.722731830468888</v>
      </c>
      <c r="W7" s="39">
        <f>R7/V7</f>
        <v>6.9220287099036817</v>
      </c>
    </row>
    <row r="8" spans="2:23" x14ac:dyDescent="0.4">
      <c r="B8" s="68"/>
      <c r="C8" s="1" t="s">
        <v>6</v>
      </c>
      <c r="D8" s="2">
        <v>3.4148999999999998</v>
      </c>
      <c r="E8" s="42">
        <f t="shared" si="3"/>
        <v>2928.343436118188</v>
      </c>
      <c r="F8">
        <v>2</v>
      </c>
      <c r="G8">
        <v>4</v>
      </c>
      <c r="H8">
        <v>110.4</v>
      </c>
      <c r="I8">
        <v>3359.002</v>
      </c>
      <c r="K8" s="32">
        <f t="shared" si="0"/>
        <v>1.3730028661423062E-7</v>
      </c>
      <c r="L8" s="44">
        <f t="shared" si="1"/>
        <v>132.43924905947875</v>
      </c>
      <c r="M8" s="44">
        <f t="shared" si="2"/>
        <v>3204.600858234628</v>
      </c>
      <c r="N8" s="45">
        <f t="shared" si="4"/>
        <v>1.2492084908270575</v>
      </c>
      <c r="P8">
        <f t="shared" ref="P8:P16" si="7">(F8*(2*G8+1)*E8*H8) / (F$5*(2*G$5+1)*E$5*H$5)</f>
        <v>1.4894660524107943</v>
      </c>
      <c r="Q8" s="24">
        <f t="shared" ref="Q8:Q16" si="8">L8/$L$5</f>
        <v>0.186056665245975</v>
      </c>
      <c r="R8" s="36">
        <f t="shared" si="5"/>
        <v>557.79288081214361</v>
      </c>
      <c r="S8">
        <f t="shared" ref="S8:S16" si="9">L8/N8</f>
        <v>106.018530959388</v>
      </c>
      <c r="T8" s="24">
        <f t="shared" si="6"/>
        <v>1441.2489018307504</v>
      </c>
      <c r="U8">
        <f t="shared" ref="U8:U16" si="10">SQRT( (1/L$5 * S8)^2 + (L8/L$5^2 * S$5)^2)</f>
        <v>0.15173994415955433</v>
      </c>
      <c r="V8" s="38">
        <f t="shared" ref="V8:V16" si="11">T8*U8</f>
        <v>218.69502788381706</v>
      </c>
      <c r="W8" s="39">
        <f t="shared" ref="W8:W16" si="12">R8/V8</f>
        <v>2.5505512686300036</v>
      </c>
    </row>
    <row r="9" spans="2:23" x14ac:dyDescent="0.4">
      <c r="B9" s="68"/>
      <c r="C9" s="1" t="s">
        <v>7</v>
      </c>
      <c r="D9" s="2">
        <v>3.4207000000000001</v>
      </c>
      <c r="E9" s="42">
        <f t="shared" si="3"/>
        <v>2923.3782559125325</v>
      </c>
      <c r="F9">
        <v>2</v>
      </c>
      <c r="G9">
        <v>4</v>
      </c>
      <c r="H9">
        <v>86.91</v>
      </c>
      <c r="I9">
        <v>3287.2629000000002</v>
      </c>
      <c r="K9" s="32">
        <f t="shared" si="0"/>
        <v>1.2815801252320444E-7</v>
      </c>
      <c r="L9" s="44">
        <f t="shared" si="1"/>
        <v>123.83061407644441</v>
      </c>
      <c r="M9" s="44">
        <f t="shared" si="2"/>
        <v>3210.0436779300103</v>
      </c>
      <c r="N9" s="45">
        <f t="shared" si="4"/>
        <v>1.1681736728347172</v>
      </c>
      <c r="P9">
        <f t="shared" si="7"/>
        <v>1.1705616422925744</v>
      </c>
      <c r="Q9" s="24">
        <f t="shared" si="8"/>
        <v>0.17396286428713773</v>
      </c>
      <c r="R9" s="36">
        <f t="shared" si="5"/>
        <v>554.480760762459</v>
      </c>
      <c r="S9">
        <f t="shared" si="9"/>
        <v>106.00359942709048</v>
      </c>
      <c r="T9" s="24">
        <f t="shared" si="6"/>
        <v>1671.9241241640348</v>
      </c>
      <c r="U9">
        <f t="shared" si="10"/>
        <v>0.15136994375571919</v>
      </c>
      <c r="V9" s="38">
        <f t="shared" si="11"/>
        <v>253.07906063854</v>
      </c>
      <c r="W9" s="39">
        <f t="shared" si="12"/>
        <v>2.1909389080371047</v>
      </c>
    </row>
    <row r="10" spans="2:23" x14ac:dyDescent="0.4">
      <c r="B10" s="69"/>
      <c r="C10" s="1" t="s">
        <v>8</v>
      </c>
      <c r="D10" s="2">
        <v>3.427</v>
      </c>
      <c r="E10" s="42">
        <f t="shared" si="3"/>
        <v>2918.0040852057195</v>
      </c>
      <c r="F10">
        <v>4</v>
      </c>
      <c r="G10">
        <v>4</v>
      </c>
      <c r="H10">
        <v>42.94</v>
      </c>
      <c r="I10">
        <v>3169.252</v>
      </c>
      <c r="K10" s="32">
        <f>$F$27 * F10 * (2*G10+1) *$X$20*$X$19*(E10*10^2)*H10 * EXP(-((I10*10^2) * $X$20*$X$19)/($X$21*$F$20)) / (4*PI()*$X$23)</f>
        <v>1.6775212109651233E-7</v>
      </c>
      <c r="L10" s="44">
        <f t="shared" si="1"/>
        <v>162.38630500459087</v>
      </c>
      <c r="M10" s="44">
        <f t="shared" si="2"/>
        <v>3215.9557062198214</v>
      </c>
      <c r="N10" s="45">
        <f t="shared" si="4"/>
        <v>1.5288721070569986</v>
      </c>
      <c r="P10">
        <f t="shared" si="7"/>
        <v>1.1545625272500089</v>
      </c>
      <c r="Q10" s="24">
        <f t="shared" si="8"/>
        <v>0.22812764799958363</v>
      </c>
      <c r="R10" s="36">
        <f t="shared" si="5"/>
        <v>547.16623520349731</v>
      </c>
      <c r="S10">
        <f t="shared" si="9"/>
        <v>106.21313859743067</v>
      </c>
      <c r="T10" s="24">
        <f t="shared" si="6"/>
        <v>1479.1263579353122</v>
      </c>
      <c r="U10">
        <f t="shared" si="10"/>
        <v>0.15339607762050889</v>
      </c>
      <c r="V10" s="38">
        <f t="shared" si="11"/>
        <v>226.89218161238577</v>
      </c>
      <c r="W10" s="39">
        <f t="shared" si="12"/>
        <v>2.4115693688302398</v>
      </c>
    </row>
    <row r="11" spans="2:23" x14ac:dyDescent="0.4">
      <c r="B11" s="67" t="s">
        <v>9</v>
      </c>
      <c r="C11" s="1" t="s">
        <v>10</v>
      </c>
      <c r="D11" s="1">
        <v>3.4546999999999999</v>
      </c>
      <c r="E11" s="42">
        <f t="shared" si="3"/>
        <v>2894.6073465134459</v>
      </c>
      <c r="F11">
        <v>4</v>
      </c>
      <c r="G11">
        <v>5</v>
      </c>
      <c r="H11">
        <v>62.91</v>
      </c>
      <c r="I11">
        <v>3489.2150999999999</v>
      </c>
      <c r="K11" s="32">
        <f t="shared" si="0"/>
        <v>1.3834490098855738E-7</v>
      </c>
      <c r="L11" s="44">
        <f t="shared" si="1"/>
        <v>135.0021770719604</v>
      </c>
      <c r="M11" s="44">
        <f t="shared" si="2"/>
        <v>3241.9498623512163</v>
      </c>
      <c r="N11" s="45">
        <f t="shared" si="4"/>
        <v>1.2711280026226688</v>
      </c>
      <c r="P11">
        <f t="shared" si="7"/>
        <v>2.0508270783837399</v>
      </c>
      <c r="Q11" s="24">
        <f t="shared" si="8"/>
        <v>0.18965718278631288</v>
      </c>
      <c r="R11" s="36">
        <f t="shared" si="5"/>
        <v>566.04327713544262</v>
      </c>
      <c r="S11">
        <f t="shared" si="9"/>
        <v>106.20659508201824</v>
      </c>
      <c r="T11" s="24">
        <f t="shared" si="6"/>
        <v>1253.6058809047047</v>
      </c>
      <c r="U11">
        <f t="shared" si="10"/>
        <v>0.15210747465106539</v>
      </c>
      <c r="V11" s="38">
        <f t="shared" si="11"/>
        <v>190.68282475213886</v>
      </c>
      <c r="W11" s="39">
        <f t="shared" si="12"/>
        <v>2.9685068797948642</v>
      </c>
    </row>
    <row r="12" spans="2:23" ht="18.75" customHeight="1" x14ac:dyDescent="0.4">
      <c r="B12" s="69"/>
      <c r="C12" s="1" t="s">
        <v>11</v>
      </c>
      <c r="D12" s="1">
        <v>3.4548000000000001</v>
      </c>
      <c r="E12" s="42">
        <f t="shared" si="3"/>
        <v>2894.52356142179</v>
      </c>
      <c r="F12">
        <v>2</v>
      </c>
      <c r="G12">
        <v>5</v>
      </c>
      <c r="H12">
        <v>122.9</v>
      </c>
      <c r="I12">
        <v>3332.4121</v>
      </c>
      <c r="K12" s="32">
        <f t="shared" si="0"/>
        <v>1.9681164983981956E-7</v>
      </c>
      <c r="L12" s="44">
        <f t="shared" si="1"/>
        <v>192.06179706546922</v>
      </c>
      <c r="M12" s="44">
        <f t="shared" si="2"/>
        <v>3242.0437040701026</v>
      </c>
      <c r="N12" s="45">
        <f t="shared" si="4"/>
        <v>1.8038151241352312</v>
      </c>
      <c r="P12">
        <f t="shared" si="7"/>
        <v>2.0031739976454572</v>
      </c>
      <c r="Q12" s="24">
        <f t="shared" si="8"/>
        <v>0.26981712548900066</v>
      </c>
      <c r="R12" s="36">
        <f t="shared" si="5"/>
        <v>559.68256383508378</v>
      </c>
      <c r="S12">
        <f t="shared" si="9"/>
        <v>106.47532249600455</v>
      </c>
      <c r="T12" s="24">
        <f t="shared" si="6"/>
        <v>1034.6974779813049</v>
      </c>
      <c r="U12">
        <f t="shared" si="10"/>
        <v>0.15538769235300351</v>
      </c>
      <c r="V12" s="38">
        <f t="shared" si="11"/>
        <v>160.77925338698762</v>
      </c>
      <c r="W12" s="39">
        <f t="shared" si="12"/>
        <v>3.4810620900692695</v>
      </c>
    </row>
    <row r="13" spans="2:23" x14ac:dyDescent="0.4">
      <c r="B13" s="67" t="s">
        <v>12</v>
      </c>
      <c r="C13" s="1" t="s">
        <v>13</v>
      </c>
      <c r="D13" s="1">
        <v>3.5308000000000002</v>
      </c>
      <c r="E13" s="42">
        <f t="shared" si="3"/>
        <v>2832.2193270646881</v>
      </c>
      <c r="F13">
        <v>2</v>
      </c>
      <c r="G13">
        <v>4</v>
      </c>
      <c r="H13">
        <v>44.84</v>
      </c>
      <c r="I13">
        <v>3196.0990999999999</v>
      </c>
      <c r="K13" s="32">
        <f t="shared" si="0"/>
        <v>7.9711948995009023E-8</v>
      </c>
      <c r="L13" s="44">
        <f t="shared" si="1"/>
        <v>79.49939453385899</v>
      </c>
      <c r="M13" s="44">
        <f t="shared" si="2"/>
        <v>3313.3634104233879</v>
      </c>
      <c r="N13" s="45">
        <f t="shared" si="4"/>
        <v>0.74800801995877908</v>
      </c>
      <c r="P13">
        <f t="shared" si="7"/>
        <v>0.58510257915491859</v>
      </c>
      <c r="Q13" s="24">
        <f t="shared" si="8"/>
        <v>0.11168435596762596</v>
      </c>
      <c r="R13" s="36">
        <f t="shared" si="5"/>
        <v>559.07870609384429</v>
      </c>
      <c r="S13">
        <f t="shared" si="9"/>
        <v>106.28147347703573</v>
      </c>
      <c r="T13" s="24">
        <f t="shared" si="6"/>
        <v>3022.6738332367922</v>
      </c>
      <c r="U13">
        <f t="shared" si="10"/>
        <v>0.15032158640031998</v>
      </c>
      <c r="V13" s="38">
        <f t="shared" si="11"/>
        <v>454.37312578289084</v>
      </c>
      <c r="W13" s="39">
        <f t="shared" si="12"/>
        <v>1.2304396417163632</v>
      </c>
    </row>
    <row r="14" spans="2:23" ht="18.75" customHeight="1" x14ac:dyDescent="0.4">
      <c r="B14" s="68"/>
      <c r="C14" s="1" t="s">
        <v>8</v>
      </c>
      <c r="D14" s="1">
        <v>3.5335999999999999</v>
      </c>
      <c r="E14" s="42">
        <f t="shared" si="3"/>
        <v>2829.9750962191533</v>
      </c>
      <c r="F14">
        <v>4</v>
      </c>
      <c r="G14">
        <v>4</v>
      </c>
      <c r="H14">
        <v>106.2</v>
      </c>
      <c r="I14">
        <v>3081.1588999999999</v>
      </c>
      <c r="K14" s="32">
        <f t="shared" si="0"/>
        <v>4.9701473280816603E-7</v>
      </c>
      <c r="L14" s="44">
        <f t="shared" si="1"/>
        <v>496.08251945801544</v>
      </c>
      <c r="M14" s="44">
        <f t="shared" si="2"/>
        <v>3315.9909785521922</v>
      </c>
      <c r="N14" s="45">
        <f t="shared" si="4"/>
        <v>4.5833547879852423</v>
      </c>
      <c r="P14">
        <f t="shared" si="7"/>
        <v>2.7693423850317664</v>
      </c>
      <c r="Q14" s="24">
        <f t="shared" si="8"/>
        <v>0.69691922834542785</v>
      </c>
      <c r="R14" s="36">
        <f t="shared" si="5"/>
        <v>551.22506762590479</v>
      </c>
      <c r="S14">
        <f t="shared" si="9"/>
        <v>108.23567941073226</v>
      </c>
      <c r="T14" s="24">
        <f t="shared" si="6"/>
        <v>573.27528473696339</v>
      </c>
      <c r="U14">
        <f t="shared" si="10"/>
        <v>0.18690683832978033</v>
      </c>
      <c r="V14" s="38">
        <f t="shared" si="11"/>
        <v>107.1490709627904</v>
      </c>
      <c r="W14" s="39">
        <f t="shared" si="12"/>
        <v>5.1444689410076956</v>
      </c>
    </row>
    <row r="15" spans="2:23" x14ac:dyDescent="0.4">
      <c r="B15" s="68"/>
      <c r="C15" s="1" t="s">
        <v>14</v>
      </c>
      <c r="D15" s="1">
        <v>3.5384000000000002</v>
      </c>
      <c r="E15" s="42">
        <f t="shared" si="3"/>
        <v>2826.1361067148996</v>
      </c>
      <c r="F15">
        <v>2</v>
      </c>
      <c r="G15">
        <v>3</v>
      </c>
      <c r="H15">
        <v>91.74</v>
      </c>
      <c r="I15">
        <v>2999.355</v>
      </c>
      <c r="K15" s="32">
        <f t="shared" si="0"/>
        <v>2.0287653363454703E-7</v>
      </c>
      <c r="L15" s="44">
        <f t="shared" si="1"/>
        <v>202.77108146248989</v>
      </c>
      <c r="M15" s="44">
        <f t="shared" si="2"/>
        <v>3320.4953810587158</v>
      </c>
      <c r="N15" s="45">
        <f t="shared" si="4"/>
        <v>1.8969503190166752</v>
      </c>
      <c r="P15">
        <f t="shared" si="7"/>
        <v>0.92906664077249623</v>
      </c>
      <c r="Q15" s="24">
        <f t="shared" si="8"/>
        <v>0.28486201404152911</v>
      </c>
      <c r="R15" s="36">
        <f t="shared" si="5"/>
        <v>543.76462868521332</v>
      </c>
      <c r="S15">
        <f t="shared" si="9"/>
        <v>106.89319558331955</v>
      </c>
      <c r="T15" s="24">
        <f t="shared" si="6"/>
        <v>1614.7096232520682</v>
      </c>
      <c r="U15">
        <f t="shared" si="10"/>
        <v>0.15660229969583286</v>
      </c>
      <c r="V15" s="38">
        <f t="shared" si="11"/>
        <v>252.86724034226577</v>
      </c>
      <c r="W15" s="39">
        <f t="shared" si="12"/>
        <v>2.1503957094213013</v>
      </c>
    </row>
    <row r="16" spans="2:23" x14ac:dyDescent="0.4">
      <c r="B16" s="69"/>
      <c r="C16" s="1" t="s">
        <v>15</v>
      </c>
      <c r="D16" s="1">
        <v>3.5421</v>
      </c>
      <c r="E16" s="42">
        <f t="shared" si="3"/>
        <v>2823.1839869004261</v>
      </c>
      <c r="F16">
        <v>2</v>
      </c>
      <c r="G16">
        <v>3</v>
      </c>
      <c r="H16">
        <v>47.57</v>
      </c>
      <c r="I16">
        <v>2928.3181</v>
      </c>
      <c r="K16" s="32">
        <f t="shared" si="0"/>
        <v>1.2460391681109094E-7</v>
      </c>
      <c r="L16" s="44">
        <f t="shared" si="1"/>
        <v>124.66937646577631</v>
      </c>
      <c r="M16" s="44">
        <f t="shared" si="2"/>
        <v>3323.9675246574948</v>
      </c>
      <c r="N16" s="45">
        <f t="shared" si="4"/>
        <v>1.170126106632484</v>
      </c>
      <c r="P16">
        <f t="shared" si="7"/>
        <v>0.48124628561375116</v>
      </c>
      <c r="Q16" s="24">
        <f t="shared" si="8"/>
        <v>0.17514119574251133</v>
      </c>
      <c r="R16" s="36">
        <f t="shared" si="5"/>
        <v>534.84974768160953</v>
      </c>
      <c r="S16">
        <f t="shared" si="9"/>
        <v>106.54353899047975</v>
      </c>
      <c r="T16" s="24">
        <f t="shared" si="6"/>
        <v>3021.231277049782</v>
      </c>
      <c r="U16">
        <f t="shared" si="10"/>
        <v>0.15214913674799255</v>
      </c>
      <c r="V16" s="38">
        <f t="shared" si="11"/>
        <v>459.67773071915946</v>
      </c>
      <c r="W16" s="39">
        <f t="shared" si="12"/>
        <v>1.1635319963071618</v>
      </c>
    </row>
    <row r="18" spans="2:24" x14ac:dyDescent="0.4">
      <c r="B18" s="13" t="s">
        <v>19</v>
      </c>
      <c r="C18" s="14"/>
      <c r="D18" s="14" t="s">
        <v>124</v>
      </c>
      <c r="E18" s="14" t="s">
        <v>122</v>
      </c>
      <c r="F18" s="15" t="s">
        <v>123</v>
      </c>
      <c r="H18" s="13" t="s">
        <v>125</v>
      </c>
      <c r="I18" s="14"/>
      <c r="J18" s="14" t="s">
        <v>124</v>
      </c>
      <c r="K18" s="14" t="s">
        <v>122</v>
      </c>
      <c r="L18" s="15" t="s">
        <v>123</v>
      </c>
      <c r="M18" s="8"/>
      <c r="N18" s="13" t="s">
        <v>107</v>
      </c>
      <c r="O18" s="14"/>
      <c r="P18" s="14" t="s">
        <v>124</v>
      </c>
      <c r="Q18" s="14" t="s">
        <v>122</v>
      </c>
      <c r="R18" s="15" t="s">
        <v>123</v>
      </c>
      <c r="T18" s="13" t="s">
        <v>16</v>
      </c>
      <c r="U18" s="14"/>
      <c r="V18" s="14" t="s">
        <v>124</v>
      </c>
      <c r="W18" s="14" t="s">
        <v>122</v>
      </c>
      <c r="X18" s="15" t="s">
        <v>123</v>
      </c>
    </row>
    <row r="19" spans="2:24" x14ac:dyDescent="0.4">
      <c r="B19" s="5" t="s">
        <v>116</v>
      </c>
      <c r="C19" s="6"/>
      <c r="D19" s="6"/>
      <c r="E19" s="6" t="s">
        <v>121</v>
      </c>
      <c r="F19" s="22" t="s">
        <v>199</v>
      </c>
      <c r="H19" s="5" t="s">
        <v>177</v>
      </c>
      <c r="I19" s="6"/>
      <c r="J19" s="6" t="s">
        <v>112</v>
      </c>
      <c r="K19" s="6" t="s">
        <v>186</v>
      </c>
      <c r="L19" s="22">
        <f>2.35*10^-11*L21</f>
        <v>7.0499999999999992E-12</v>
      </c>
      <c r="M19" s="8"/>
      <c r="N19" s="5" t="s">
        <v>117</v>
      </c>
      <c r="O19" s="6"/>
      <c r="P19" s="6"/>
      <c r="Q19" s="63" t="s">
        <v>162</v>
      </c>
      <c r="R19" s="22" cm="1">
        <f t="array" ref="R19">_xlfn.IFS($F$19="T60", 0.6, $F$19="PLANETS", 1.8)</f>
        <v>0.6</v>
      </c>
      <c r="T19" s="7" t="s">
        <v>81</v>
      </c>
      <c r="U19" s="8"/>
      <c r="V19" s="8" t="s">
        <v>82</v>
      </c>
      <c r="W19" s="8" t="s">
        <v>164</v>
      </c>
      <c r="X19" s="20">
        <v>299792458</v>
      </c>
    </row>
    <row r="20" spans="2:24" x14ac:dyDescent="0.4">
      <c r="B20" s="10" t="s">
        <v>20</v>
      </c>
      <c r="C20" s="11"/>
      <c r="D20" s="11" t="s">
        <v>89</v>
      </c>
      <c r="E20" s="11" t="s">
        <v>160</v>
      </c>
      <c r="F20" s="12">
        <v>600</v>
      </c>
      <c r="H20" s="7" t="s">
        <v>17</v>
      </c>
      <c r="I20" s="8"/>
      <c r="J20" s="25" t="s">
        <v>88</v>
      </c>
      <c r="K20" s="8" t="s">
        <v>141</v>
      </c>
      <c r="L20" s="9">
        <v>0.88900000000000001</v>
      </c>
      <c r="M20" s="8"/>
      <c r="N20" s="7" t="s">
        <v>113</v>
      </c>
      <c r="O20" s="8"/>
      <c r="P20" s="25" t="s">
        <v>176</v>
      </c>
      <c r="Q20" s="8" t="s">
        <v>163</v>
      </c>
      <c r="R20" s="9">
        <f>(R19/2)^2*PI()</f>
        <v>0.28274333882308139</v>
      </c>
      <c r="T20" s="7" t="s">
        <v>119</v>
      </c>
      <c r="U20" s="8"/>
      <c r="V20" s="25" t="s">
        <v>120</v>
      </c>
      <c r="W20" s="8" t="s">
        <v>165</v>
      </c>
      <c r="X20" s="9">
        <f>6.62606957*10^(-34)</f>
        <v>6.6260695700000013E-34</v>
      </c>
    </row>
    <row r="21" spans="2:24" x14ac:dyDescent="0.4">
      <c r="H21" s="7" t="s">
        <v>52</v>
      </c>
      <c r="I21" s="8"/>
      <c r="J21" s="25" t="s">
        <v>189</v>
      </c>
      <c r="K21" s="8" t="s">
        <v>187</v>
      </c>
      <c r="L21" s="9">
        <v>0.3</v>
      </c>
      <c r="M21" s="8"/>
      <c r="N21" s="7" t="s">
        <v>99</v>
      </c>
      <c r="O21" s="8"/>
      <c r="P21" s="8" t="s">
        <v>101</v>
      </c>
      <c r="Q21" s="8" t="s">
        <v>100</v>
      </c>
      <c r="R21" s="20" cm="1">
        <f t="array" ref="R21">_xlfn.IFS($F$19="T60", R22, $F$19="PLANETS", R23)</f>
        <v>0.66</v>
      </c>
      <c r="T21" s="17" t="s">
        <v>84</v>
      </c>
      <c r="U21" s="8"/>
      <c r="V21" s="8" t="s">
        <v>96</v>
      </c>
      <c r="W21" s="8" t="s">
        <v>166</v>
      </c>
      <c r="X21" s="9">
        <f xml:space="preserve"> 1.3806488*10^-23</f>
        <v>1.3806488E-23</v>
      </c>
    </row>
    <row r="22" spans="2:24" x14ac:dyDescent="0.4">
      <c r="B22" s="13" t="s">
        <v>22</v>
      </c>
      <c r="C22" s="14"/>
      <c r="D22" s="14" t="s">
        <v>124</v>
      </c>
      <c r="E22" s="14" t="s">
        <v>122</v>
      </c>
      <c r="F22" s="15" t="s">
        <v>123</v>
      </c>
      <c r="H22" s="17" t="s">
        <v>128</v>
      </c>
      <c r="I22" s="8"/>
      <c r="J22" s="8" t="s">
        <v>127</v>
      </c>
      <c r="K22" s="51" t="s">
        <v>129</v>
      </c>
      <c r="L22" s="54">
        <f>0.072*10^-12</f>
        <v>7.1999999999999996E-14</v>
      </c>
      <c r="M22" s="24"/>
      <c r="N22" s="7" t="s">
        <v>109</v>
      </c>
      <c r="O22" s="8"/>
      <c r="P22" s="8"/>
      <c r="Q22" s="8" t="s">
        <v>100</v>
      </c>
      <c r="R22" s="57">
        <v>0.66</v>
      </c>
      <c r="T22" s="17" t="s">
        <v>137</v>
      </c>
      <c r="U22" s="64"/>
      <c r="V22" s="65" t="s">
        <v>138</v>
      </c>
      <c r="W22" s="25" t="s">
        <v>139</v>
      </c>
      <c r="X22" s="9">
        <f>1.60217663*10^-19</f>
        <v>1.6021766299999999E-19</v>
      </c>
    </row>
    <row r="23" spans="2:24" x14ac:dyDescent="0.4">
      <c r="B23" s="5" t="s">
        <v>42</v>
      </c>
      <c r="C23" s="6"/>
      <c r="D23" s="6" t="s">
        <v>91</v>
      </c>
      <c r="E23" s="6" t="s">
        <v>155</v>
      </c>
      <c r="F23" s="22">
        <v>100</v>
      </c>
      <c r="H23" s="17" t="s">
        <v>130</v>
      </c>
      <c r="I23" s="8"/>
      <c r="J23" s="8" t="s">
        <v>131</v>
      </c>
      <c r="K23" s="51" t="s">
        <v>100</v>
      </c>
      <c r="L23" s="57">
        <v>0.69899999999999995</v>
      </c>
      <c r="N23" s="10" t="s">
        <v>110</v>
      </c>
      <c r="O23" s="11"/>
      <c r="P23" s="11"/>
      <c r="Q23" s="11" t="s">
        <v>100</v>
      </c>
      <c r="R23" s="60">
        <f>0.99*0.98*0.7</f>
        <v>0.67913999999999997</v>
      </c>
      <c r="T23" s="16" t="s">
        <v>64</v>
      </c>
      <c r="U23" s="11"/>
      <c r="V23" s="55" t="s">
        <v>85</v>
      </c>
      <c r="W23" s="11" t="s">
        <v>100</v>
      </c>
      <c r="X23" s="12">
        <f>$U$26 * $F$20^0 + $U$27 * $F$20^1 + $U$28 * $F$20^2 + $U$29 * $F$20^3 + $U$30 * $F$20^4 + $U$31 * $F$20^5 + $U$32 * $F$20^6</f>
        <v>106.38786872000001</v>
      </c>
    </row>
    <row r="24" spans="2:24" x14ac:dyDescent="0.4">
      <c r="B24" s="7" t="s">
        <v>44</v>
      </c>
      <c r="C24" s="8"/>
      <c r="D24" s="8" t="s">
        <v>90</v>
      </c>
      <c r="E24" s="8" t="s">
        <v>156</v>
      </c>
      <c r="F24" s="9">
        <v>20</v>
      </c>
      <c r="H24" s="17" t="s">
        <v>132</v>
      </c>
      <c r="I24" s="8"/>
      <c r="J24" s="8" t="s">
        <v>133</v>
      </c>
      <c r="K24" s="51" t="s">
        <v>134</v>
      </c>
      <c r="L24" s="58">
        <f>10/2^16</f>
        <v>1.52587890625E-4</v>
      </c>
      <c r="M24" s="26"/>
      <c r="N24"/>
      <c r="O24"/>
      <c r="Q24" s="27"/>
      <c r="R24" s="19"/>
      <c r="U24" s="38"/>
      <c r="V24" s="39"/>
      <c r="W24"/>
    </row>
    <row r="25" spans="2:24" x14ac:dyDescent="0.4">
      <c r="B25" s="17" t="s">
        <v>135</v>
      </c>
      <c r="C25" s="8"/>
      <c r="D25" s="8" t="s">
        <v>136</v>
      </c>
      <c r="E25" s="25" t="s">
        <v>100</v>
      </c>
      <c r="F25" s="9">
        <v>9</v>
      </c>
      <c r="H25" s="7" t="s">
        <v>0</v>
      </c>
      <c r="I25" s="8"/>
      <c r="J25" s="8" t="s">
        <v>92</v>
      </c>
      <c r="K25" s="51" t="s">
        <v>140</v>
      </c>
      <c r="L25" s="50">
        <f>($L$22/$X$22/$L$23) *($L$24/$F$25)</f>
        <v>10.899899357556235</v>
      </c>
      <c r="M25" s="52"/>
      <c r="N25" s="13" t="s">
        <v>174</v>
      </c>
      <c r="O25" s="14"/>
      <c r="P25" s="14" t="s">
        <v>124</v>
      </c>
      <c r="Q25" s="14" t="s">
        <v>122</v>
      </c>
      <c r="R25" s="15" t="s">
        <v>123</v>
      </c>
      <c r="T25" s="13" t="s">
        <v>198</v>
      </c>
      <c r="U25" s="15"/>
      <c r="V25" s="39"/>
      <c r="W25"/>
    </row>
    <row r="26" spans="2:24" x14ac:dyDescent="0.4">
      <c r="B26" s="17" t="s">
        <v>21</v>
      </c>
      <c r="C26" s="8"/>
      <c r="D26" s="8" t="s">
        <v>93</v>
      </c>
      <c r="E26" s="8" t="s">
        <v>159</v>
      </c>
      <c r="F26" s="20">
        <v>1800</v>
      </c>
      <c r="H26" s="17" t="s">
        <v>144</v>
      </c>
      <c r="I26" s="8"/>
      <c r="J26" s="8" t="s">
        <v>145</v>
      </c>
      <c r="K26" s="51" t="s">
        <v>142</v>
      </c>
      <c r="L26" s="57">
        <f>$F$24/$L$25 *$F$26 * $L$31</f>
        <v>7706.4931743399939</v>
      </c>
      <c r="N26" s="7" t="s">
        <v>172</v>
      </c>
      <c r="O26" s="66"/>
      <c r="P26" s="8" t="s">
        <v>182</v>
      </c>
      <c r="Q26" s="25" t="s">
        <v>100</v>
      </c>
      <c r="R26" s="9">
        <v>0.98</v>
      </c>
      <c r="T26" s="5" t="s">
        <v>191</v>
      </c>
      <c r="U26" s="22">
        <v>-1.11391</v>
      </c>
      <c r="V26" s="39"/>
      <c r="W26"/>
    </row>
    <row r="27" spans="2:24" x14ac:dyDescent="0.4">
      <c r="B27" s="17" t="s">
        <v>61</v>
      </c>
      <c r="C27" s="8"/>
      <c r="D27" s="8" t="s">
        <v>94</v>
      </c>
      <c r="E27" s="25" t="s">
        <v>158</v>
      </c>
      <c r="F27" s="54">
        <v>5000000000000000</v>
      </c>
      <c r="H27" s="16" t="s">
        <v>178</v>
      </c>
      <c r="I27" s="11"/>
      <c r="J27" s="11"/>
      <c r="K27" s="59" t="s">
        <v>142</v>
      </c>
      <c r="L27" s="60">
        <f>($F$23 / $L$25)^2 * $L$31</f>
        <v>196.39562515260886</v>
      </c>
      <c r="N27" s="7" t="s">
        <v>171</v>
      </c>
      <c r="O27" s="8"/>
      <c r="P27" s="8" t="s">
        <v>179</v>
      </c>
      <c r="Q27" s="25" t="s">
        <v>162</v>
      </c>
      <c r="R27" s="9">
        <v>15</v>
      </c>
      <c r="T27" s="7" t="s">
        <v>192</v>
      </c>
      <c r="U27" s="9">
        <v>5.8107600000000002E-2</v>
      </c>
      <c r="V27" s="39"/>
      <c r="W27"/>
    </row>
    <row r="28" spans="2:24" x14ac:dyDescent="0.4">
      <c r="B28" s="16" t="s">
        <v>149</v>
      </c>
      <c r="C28" s="11"/>
      <c r="D28" s="11" t="s">
        <v>146</v>
      </c>
      <c r="E28" s="55" t="s">
        <v>147</v>
      </c>
      <c r="F28" s="56">
        <f>2.99 * 10^-6</f>
        <v>2.9900000000000002E-6</v>
      </c>
      <c r="M28" s="8"/>
      <c r="N28" s="7" t="s">
        <v>180</v>
      </c>
      <c r="P28" s="25" t="s">
        <v>181</v>
      </c>
      <c r="Q28" s="25" t="s">
        <v>100</v>
      </c>
      <c r="R28" s="9">
        <v>0.5</v>
      </c>
      <c r="T28" s="7" t="s">
        <v>193</v>
      </c>
      <c r="U28" s="9">
        <v>3.0296700000000001E-4</v>
      </c>
      <c r="V28" s="39"/>
      <c r="W28"/>
    </row>
    <row r="29" spans="2:24" x14ac:dyDescent="0.4">
      <c r="H29" s="13" t="s">
        <v>126</v>
      </c>
      <c r="I29" s="14"/>
      <c r="J29" s="14" t="s">
        <v>124</v>
      </c>
      <c r="K29" s="14" t="s">
        <v>122</v>
      </c>
      <c r="L29" s="15" t="s">
        <v>123</v>
      </c>
      <c r="M29" s="25"/>
      <c r="N29" s="10" t="s">
        <v>170</v>
      </c>
      <c r="O29" s="11"/>
      <c r="P29" s="55" t="s">
        <v>102</v>
      </c>
      <c r="Q29" s="11" t="s">
        <v>100</v>
      </c>
      <c r="R29" s="12">
        <f>$R$26^$R$27 * $R$28</f>
        <v>0.36928455132270177</v>
      </c>
      <c r="T29" s="7" t="s">
        <v>194</v>
      </c>
      <c r="U29" s="9">
        <f>-2.83724 *10^-7</f>
        <v>-2.8372400000000001E-7</v>
      </c>
      <c r="V29" s="39"/>
      <c r="W29"/>
    </row>
    <row r="30" spans="2:24" x14ac:dyDescent="0.4">
      <c r="H30" s="61" t="s">
        <v>54</v>
      </c>
      <c r="I30" s="6"/>
      <c r="J30" s="6" t="s">
        <v>190</v>
      </c>
      <c r="K30" s="6" t="s">
        <v>161</v>
      </c>
      <c r="L30" s="62">
        <v>0.7</v>
      </c>
      <c r="M30" s="8"/>
      <c r="T30" s="7" t="s">
        <v>195</v>
      </c>
      <c r="U30" s="9">
        <f>+ 2.31119 * 10^-10</f>
        <v>2.3111899999999999E-10</v>
      </c>
      <c r="V30" s="39"/>
      <c r="W30"/>
    </row>
    <row r="31" spans="2:24" x14ac:dyDescent="0.4">
      <c r="H31" s="17" t="s">
        <v>54</v>
      </c>
      <c r="I31" s="8"/>
      <c r="J31" s="8" t="s">
        <v>154</v>
      </c>
      <c r="K31" s="8" t="s">
        <v>188</v>
      </c>
      <c r="L31" s="9">
        <f>L30/L21</f>
        <v>2.3333333333333335</v>
      </c>
      <c r="M31"/>
      <c r="N31" s="13" t="s">
        <v>111</v>
      </c>
      <c r="O31" s="14"/>
      <c r="P31" s="14" t="s">
        <v>124</v>
      </c>
      <c r="Q31" s="14" t="s">
        <v>122</v>
      </c>
      <c r="R31" s="15" t="s">
        <v>123</v>
      </c>
      <c r="T31" s="7" t="s">
        <v>196</v>
      </c>
      <c r="U31" s="9">
        <f>- 7.15895 * 10^-14</f>
        <v>-7.1589500000000003E-14</v>
      </c>
      <c r="V31" s="39"/>
      <c r="W31"/>
    </row>
    <row r="32" spans="2:24" x14ac:dyDescent="0.4">
      <c r="H32" s="7" t="s">
        <v>173</v>
      </c>
      <c r="I32" s="8"/>
      <c r="J32" s="8" t="s">
        <v>175</v>
      </c>
      <c r="K32" s="8" t="s">
        <v>100</v>
      </c>
      <c r="L32" s="9">
        <f>L33*L34*L35</f>
        <v>0.374616</v>
      </c>
      <c r="M32"/>
      <c r="N32" s="5" t="s">
        <v>1</v>
      </c>
      <c r="O32" s="6"/>
      <c r="P32" s="6" t="s">
        <v>86</v>
      </c>
      <c r="Q32" s="6" t="s">
        <v>100</v>
      </c>
      <c r="R32" s="22">
        <v>0.9</v>
      </c>
      <c r="T32" s="10" t="s">
        <v>197</v>
      </c>
      <c r="U32" s="12">
        <f xml:space="preserve"> + 1.0015 * 10^-17</f>
        <v>1.0015000000000001E-17</v>
      </c>
      <c r="V32" s="39"/>
      <c r="W32"/>
    </row>
    <row r="33" spans="8:23" x14ac:dyDescent="0.4">
      <c r="H33" s="17" t="s">
        <v>114</v>
      </c>
      <c r="I33" s="8"/>
      <c r="J33" s="8" t="s">
        <v>183</v>
      </c>
      <c r="K33" s="8" t="s">
        <v>100</v>
      </c>
      <c r="L33" s="9">
        <v>0.66</v>
      </c>
      <c r="M33"/>
      <c r="N33" s="10" t="s">
        <v>108</v>
      </c>
      <c r="O33" s="11"/>
      <c r="P33" s="55" t="s">
        <v>103</v>
      </c>
      <c r="Q33" s="11" t="s">
        <v>100</v>
      </c>
      <c r="R33" s="12">
        <f>R21*R29*L32</f>
        <v>9.1304334975681467E-2</v>
      </c>
      <c r="V33" s="39"/>
      <c r="W33"/>
    </row>
    <row r="34" spans="8:23" x14ac:dyDescent="0.4">
      <c r="H34" s="17" t="s">
        <v>115</v>
      </c>
      <c r="I34" s="8"/>
      <c r="J34" s="8" t="s">
        <v>184</v>
      </c>
      <c r="K34" s="8" t="s">
        <v>100</v>
      </c>
      <c r="L34" s="9">
        <v>0.86</v>
      </c>
      <c r="M34"/>
      <c r="N34" s="19"/>
      <c r="O34" s="35"/>
      <c r="Q34" s="36"/>
      <c r="R34"/>
      <c r="V34" s="39"/>
      <c r="W34"/>
    </row>
    <row r="35" spans="8:23" x14ac:dyDescent="0.4">
      <c r="H35" s="16" t="s">
        <v>104</v>
      </c>
      <c r="I35" s="11"/>
      <c r="J35" s="11" t="s">
        <v>185</v>
      </c>
      <c r="K35" s="11" t="s">
        <v>100</v>
      </c>
      <c r="L35" s="12">
        <v>0.66</v>
      </c>
      <c r="M35"/>
      <c r="N35" s="19"/>
      <c r="O35" s="35"/>
      <c r="Q35" s="36"/>
      <c r="R35"/>
      <c r="V35" s="39"/>
      <c r="W35"/>
    </row>
    <row r="36" spans="8:23" x14ac:dyDescent="0.4">
      <c r="N36" s="19"/>
      <c r="O36" s="35"/>
      <c r="Q36" s="36"/>
      <c r="R36"/>
      <c r="V36" s="39"/>
      <c r="W36"/>
    </row>
    <row r="37" spans="8:23" x14ac:dyDescent="0.4">
      <c r="N37" s="27"/>
      <c r="P37" s="35"/>
    </row>
    <row r="38" spans="8:23" x14ac:dyDescent="0.4">
      <c r="N38" s="27"/>
      <c r="P38" s="35"/>
    </row>
    <row r="39" spans="8:23" x14ac:dyDescent="0.4">
      <c r="N39" s="27"/>
      <c r="P39" s="35"/>
    </row>
    <row r="40" spans="8:23" x14ac:dyDescent="0.4">
      <c r="N40" s="27"/>
      <c r="P40" s="35"/>
    </row>
    <row r="41" spans="8:23" x14ac:dyDescent="0.4">
      <c r="N41" s="27"/>
      <c r="P41" s="35"/>
    </row>
    <row r="42" spans="8:23" x14ac:dyDescent="0.4">
      <c r="N42" s="27"/>
      <c r="P42" s="35"/>
    </row>
    <row r="43" spans="8:23" x14ac:dyDescent="0.4">
      <c r="N43" s="27"/>
      <c r="P43" s="35"/>
    </row>
    <row r="44" spans="8:23" x14ac:dyDescent="0.4">
      <c r="N44" s="27"/>
      <c r="P44" s="35"/>
    </row>
    <row r="45" spans="8:23" x14ac:dyDescent="0.4">
      <c r="N45" s="27"/>
      <c r="P45" s="35"/>
    </row>
    <row r="46" spans="8:23" x14ac:dyDescent="0.4">
      <c r="N46" s="27"/>
      <c r="P46" s="35"/>
    </row>
    <row r="49" spans="11:13" x14ac:dyDescent="0.4">
      <c r="K49"/>
      <c r="L49"/>
      <c r="M49"/>
    </row>
  </sheetData>
  <mergeCells count="6">
    <mergeCell ref="B13:B16"/>
    <mergeCell ref="D1:I1"/>
    <mergeCell ref="K1:N1"/>
    <mergeCell ref="P1:W1"/>
    <mergeCell ref="B7:B10"/>
    <mergeCell ref="B11:B12"/>
  </mergeCells>
  <phoneticPr fontId="1"/>
  <dataValidations count="1">
    <dataValidation type="list" allowBlank="1" showInputMessage="1" showErrorMessage="1" sqref="F19" xr:uid="{C2605A09-1650-483D-820D-241861D95A0B}">
      <formula1>"T60, PLANETS"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C812-4EC6-4423-9ED0-ACD1DFF7F814}">
  <dimension ref="B1:V33"/>
  <sheetViews>
    <sheetView topLeftCell="A10" workbookViewId="0">
      <selection activeCell="F30" sqref="F30"/>
    </sheetView>
  </sheetViews>
  <sheetFormatPr defaultRowHeight="18.75" x14ac:dyDescent="0.4"/>
  <cols>
    <col min="2" max="2" width="14.375" customWidth="1"/>
    <col min="4" max="7" width="11.375" customWidth="1"/>
    <col min="8" max="8" width="12.75" customWidth="1"/>
    <col min="9" max="9" width="11.375" customWidth="1"/>
    <col min="10" max="10" width="9" customWidth="1"/>
    <col min="11" max="11" width="10.5" style="27" customWidth="1"/>
    <col min="12" max="12" width="9.5" style="19" bestFit="1" customWidth="1"/>
    <col min="13" max="13" width="10.375" style="35" customWidth="1"/>
    <col min="14" max="14" width="10.375" style="19" customWidth="1"/>
    <col min="15" max="15" width="9" customWidth="1"/>
    <col min="16" max="16" width="11.75" customWidth="1"/>
    <col min="17" max="17" width="11.75" style="36" customWidth="1"/>
    <col min="19" max="19" width="9.5" bestFit="1" customWidth="1"/>
    <col min="21" max="21" width="9.5" style="38" bestFit="1" customWidth="1"/>
    <col min="22" max="22" width="9" style="39"/>
  </cols>
  <sheetData>
    <row r="1" spans="2:22" x14ac:dyDescent="0.4">
      <c r="D1" s="70" t="s">
        <v>77</v>
      </c>
      <c r="E1" s="70"/>
      <c r="F1" s="70"/>
      <c r="G1" s="70"/>
      <c r="H1" s="70"/>
      <c r="I1" s="70"/>
      <c r="K1" s="71" t="s">
        <v>78</v>
      </c>
      <c r="L1" s="71"/>
      <c r="M1" s="71"/>
      <c r="O1" s="70" t="s">
        <v>79</v>
      </c>
      <c r="P1" s="70"/>
      <c r="Q1" s="70"/>
      <c r="R1" s="70"/>
      <c r="S1" s="70"/>
      <c r="T1" s="70"/>
      <c r="U1" s="70"/>
      <c r="V1" s="70"/>
    </row>
    <row r="2" spans="2:22" x14ac:dyDescent="0.4">
      <c r="D2" s="23" t="s">
        <v>26</v>
      </c>
      <c r="E2" s="23" t="s">
        <v>27</v>
      </c>
      <c r="G2" t="s">
        <v>37</v>
      </c>
      <c r="H2" t="s">
        <v>87</v>
      </c>
      <c r="K2" s="30" t="s">
        <v>35</v>
      </c>
      <c r="M2" s="33" t="s">
        <v>31</v>
      </c>
      <c r="N2" s="28"/>
      <c r="P2" t="s">
        <v>67</v>
      </c>
      <c r="V2" s="39" t="s">
        <v>74</v>
      </c>
    </row>
    <row r="3" spans="2:22" x14ac:dyDescent="0.4">
      <c r="B3" s="1"/>
      <c r="C3" s="1"/>
      <c r="D3" s="23" t="s">
        <v>34</v>
      </c>
      <c r="E3" s="23"/>
      <c r="F3" t="s">
        <v>33</v>
      </c>
      <c r="G3" t="s">
        <v>36</v>
      </c>
      <c r="H3" t="s">
        <v>39</v>
      </c>
      <c r="I3" t="s">
        <v>40</v>
      </c>
      <c r="K3" s="30" t="s">
        <v>66</v>
      </c>
      <c r="L3" s="21" t="s">
        <v>29</v>
      </c>
      <c r="M3" s="33"/>
      <c r="N3" s="28"/>
      <c r="O3" t="s">
        <v>41</v>
      </c>
      <c r="P3" t="s">
        <v>70</v>
      </c>
      <c r="Q3" s="37" t="s">
        <v>72</v>
      </c>
      <c r="R3" t="s">
        <v>69</v>
      </c>
      <c r="S3" t="s">
        <v>68</v>
      </c>
      <c r="T3" t="s">
        <v>73</v>
      </c>
      <c r="U3" s="38" t="s">
        <v>71</v>
      </c>
    </row>
    <row r="4" spans="2:22" x14ac:dyDescent="0.4">
      <c r="B4" s="1"/>
      <c r="C4" s="1"/>
      <c r="D4" s="23" t="s">
        <v>25</v>
      </c>
      <c r="E4" s="23" t="s">
        <v>24</v>
      </c>
      <c r="H4" t="s">
        <v>38</v>
      </c>
      <c r="I4" t="s">
        <v>24</v>
      </c>
      <c r="K4" s="31" t="s">
        <v>28</v>
      </c>
      <c r="L4" s="18" t="s">
        <v>30</v>
      </c>
      <c r="M4" s="34" t="s">
        <v>23</v>
      </c>
      <c r="N4" s="29"/>
      <c r="P4" t="s">
        <v>23</v>
      </c>
      <c r="Q4" s="36" t="s">
        <v>59</v>
      </c>
      <c r="U4" s="38" t="s">
        <v>59</v>
      </c>
    </row>
    <row r="5" spans="2:22" s="43" customFormat="1" x14ac:dyDescent="0.4">
      <c r="B5" s="40"/>
      <c r="C5" s="40" t="s">
        <v>3</v>
      </c>
      <c r="D5" s="41">
        <v>3.9529999999999998</v>
      </c>
      <c r="E5" s="42">
        <f>1/D5*10000</f>
        <v>2529.7242600556542</v>
      </c>
      <c r="F5" s="43">
        <v>4</v>
      </c>
      <c r="G5" s="43">
        <v>1</v>
      </c>
      <c r="H5" s="43">
        <v>128.69999999999999</v>
      </c>
      <c r="I5" s="43">
        <v>2552.5691000000002</v>
      </c>
      <c r="K5" s="32">
        <f>$D$26 * F5 * (2*G5+1) *$I$19*(E5*10^2)*H5 * EXP(-(I5*$I$21)/($I$20*$D$19)) / (4*PI()*$I$22)</f>
        <v>2.4052438476789191E-6</v>
      </c>
      <c r="L5" s="44">
        <f t="shared" ref="L5:L15" si="0">(K5 * $I$25 * $I$28) *  $I$29 * $I$26 * ($I$19/($D5 * 10^-6)) ^ -1 * $I$27 * $D$24 ^ -1</f>
        <v>1.3998224597556528</v>
      </c>
      <c r="M5" s="45">
        <f>(L5*$D$25)/SQRT((L5*$D$25)+($D$22/$D$24)^2*$I$32+($D$23 / $D$24) * $D$25 * $I$32)</f>
        <v>15.687211959201871</v>
      </c>
      <c r="N5" s="44"/>
      <c r="Q5" s="46"/>
      <c r="R5" s="43">
        <f>L5/M5</f>
        <v>8.9233349010404556E-2</v>
      </c>
      <c r="U5" s="47"/>
      <c r="V5" s="48"/>
    </row>
    <row r="6" spans="2:22" ht="18.75" customHeight="1" x14ac:dyDescent="0.4">
      <c r="B6" s="67" t="s">
        <v>4</v>
      </c>
      <c r="C6" s="1" t="s">
        <v>5</v>
      </c>
      <c r="D6" s="2">
        <v>3.4127999999999998</v>
      </c>
      <c r="E6" s="1">
        <v>2930.1704</v>
      </c>
      <c r="F6">
        <v>4</v>
      </c>
      <c r="G6">
        <v>4</v>
      </c>
      <c r="H6">
        <v>177.6</v>
      </c>
      <c r="I6">
        <v>3382.9299000000001</v>
      </c>
      <c r="K6" s="32">
        <f t="shared" ref="K6:K15" si="1">$D$26 * F6 * (2*G6+1) *$I$19*(E6*10^2)*H6 * EXP(-(I6*$I$21)/($I$20*$D$19)) / (4*PI()*$I$22)</f>
        <v>2.0935068690906984E-6</v>
      </c>
      <c r="L6" s="19">
        <f t="shared" si="0"/>
        <v>1.0518946805716036</v>
      </c>
      <c r="M6" s="35">
        <f>(L6*$D$25)/SQRT((L6*$D$25)+($D$22/$D$24)^2*$I$32+($D$23 / $D$24) * $D$25 * $I$32)</f>
        <v>12.753441896319632</v>
      </c>
      <c r="O6">
        <f>(F6*(2*G6+1)*E6*H6) / (F$5*(2*G$5+1)*E$5*H$5)</f>
        <v>4.7951849272660141</v>
      </c>
      <c r="P6" s="24">
        <f>L6/$L$5</f>
        <v>0.7514486378188403</v>
      </c>
      <c r="Q6" s="36">
        <f t="shared" ref="Q6:Q15" si="2">$I$19/$I$20 * ((I6-I$5)*10^2) / (LN(O6) - LN(P6))</f>
        <v>644.61354652495766</v>
      </c>
      <c r="R6">
        <f>L6/M6</f>
        <v>8.2479278074349308E-2</v>
      </c>
      <c r="S6" s="24">
        <f t="shared" ref="S6:S15" si="3">$I$19/$I$20 * ((I6-I$5)*10^2) * (LN(O6) - LN(P6))^-2 / P6</f>
        <v>462.84890557186395</v>
      </c>
      <c r="T6">
        <f t="shared" ref="T6:T15" si="4">SQRT( (1/L$5 * R6)^2 + (L6/L$5^2 * R$5)^2)</f>
        <v>7.5936244440969636E-2</v>
      </c>
      <c r="U6" s="38">
        <f>S6*T6</f>
        <v>35.147007632740333</v>
      </c>
      <c r="V6" s="39">
        <f>Q6/U6</f>
        <v>18.340495818610847</v>
      </c>
    </row>
    <row r="7" spans="2:22" x14ac:dyDescent="0.4">
      <c r="B7" s="68"/>
      <c r="C7" s="1" t="s">
        <v>6</v>
      </c>
      <c r="D7" s="2">
        <v>3.4148999999999998</v>
      </c>
      <c r="E7" s="3">
        <f>1/D7*10000</f>
        <v>2928.343436118188</v>
      </c>
      <c r="F7">
        <v>2</v>
      </c>
      <c r="G7">
        <v>4</v>
      </c>
      <c r="H7">
        <v>110.4</v>
      </c>
      <c r="I7">
        <v>3359.002</v>
      </c>
      <c r="K7" s="32">
        <f t="shared" si="1"/>
        <v>6.8305408041885011E-7</v>
      </c>
      <c r="L7" s="19">
        <f>(K7 * $I$25 * $I$28) *  $I$29 * $I$26 * ($I$19/($D7 * 10^-6)) ^ -1 * $I$27 * $D$24 ^ -1</f>
        <v>0.34341567248515903</v>
      </c>
      <c r="M7" s="35">
        <f t="shared" ref="M7:M15" si="5">(L7*$D$25)/SQRT((L7*$D$25)+($D$22/$D$24)^2*$I$32+($D$23 / $D$24) * $D$25 * $I$32)</f>
        <v>5.1530962346111275</v>
      </c>
      <c r="O7">
        <f t="shared" ref="O7:O15" si="6">(F7*(2*G7+1)*E7*H7) / (F$5*(2*G$5+1)*E$5*H$5)</f>
        <v>1.4894660524107948</v>
      </c>
      <c r="P7" s="24">
        <f t="shared" ref="P7:P15" si="7">L7/$L$5</f>
        <v>0.24532802005841817</v>
      </c>
      <c r="Q7" s="36">
        <f t="shared" si="2"/>
        <v>643.32002442873852</v>
      </c>
      <c r="R7">
        <f t="shared" ref="R7" si="8">L7/M7</f>
        <v>6.6642588620523691E-2</v>
      </c>
      <c r="S7" s="24">
        <f t="shared" si="3"/>
        <v>1453.9359457060971</v>
      </c>
      <c r="T7">
        <f t="shared" si="4"/>
        <v>5.0110683668763388E-2</v>
      </c>
      <c r="U7" s="38">
        <f t="shared" ref="U7:U15" si="9">S7*T7</f>
        <v>72.857724249922569</v>
      </c>
      <c r="V7" s="39">
        <f t="shared" ref="V7:V15" si="10">Q7/U7</f>
        <v>8.8298122272110664</v>
      </c>
    </row>
    <row r="8" spans="2:22" x14ac:dyDescent="0.4">
      <c r="B8" s="68"/>
      <c r="C8" s="1" t="s">
        <v>7</v>
      </c>
      <c r="D8" s="2">
        <v>3.4207000000000001</v>
      </c>
      <c r="E8" s="3">
        <f>1/D8*10000</f>
        <v>2923.3782559125325</v>
      </c>
      <c r="F8">
        <v>2</v>
      </c>
      <c r="G8">
        <v>4</v>
      </c>
      <c r="H8">
        <v>86.91</v>
      </c>
      <c r="I8">
        <v>3287.2629000000002</v>
      </c>
      <c r="K8" s="32">
        <f t="shared" si="1"/>
        <v>6.2207868009409001E-7</v>
      </c>
      <c r="L8" s="19">
        <f t="shared" si="0"/>
        <v>0.31329057921791437</v>
      </c>
      <c r="M8" s="35">
        <f t="shared" si="5"/>
        <v>4.755120916889803</v>
      </c>
      <c r="O8">
        <f t="shared" si="6"/>
        <v>1.1705616422925746</v>
      </c>
      <c r="P8" s="24">
        <f t="shared" si="7"/>
        <v>0.22380736716611982</v>
      </c>
      <c r="Q8" s="36">
        <f t="shared" si="2"/>
        <v>638.9183385705702</v>
      </c>
      <c r="R8">
        <f t="shared" ref="R8:R15" si="11">L8/M8</f>
        <v>6.5884881729322942E-2</v>
      </c>
      <c r="S8" s="24">
        <f t="shared" si="3"/>
        <v>1725.5060229512685</v>
      </c>
      <c r="T8">
        <f t="shared" si="4"/>
        <v>4.9181380545401492E-2</v>
      </c>
      <c r="U8" s="38">
        <f t="shared" si="9"/>
        <v>84.86276834814862</v>
      </c>
      <c r="V8" s="39">
        <f t="shared" si="10"/>
        <v>7.5288415757239306</v>
      </c>
    </row>
    <row r="9" spans="2:22" x14ac:dyDescent="0.4">
      <c r="B9" s="69"/>
      <c r="C9" s="1" t="s">
        <v>8</v>
      </c>
      <c r="D9" s="2">
        <v>3.427</v>
      </c>
      <c r="E9" s="1">
        <v>2918.0270999999998</v>
      </c>
      <c r="F9">
        <v>4</v>
      </c>
      <c r="G9">
        <v>4</v>
      </c>
      <c r="H9">
        <v>42.94</v>
      </c>
      <c r="I9">
        <v>3169.252</v>
      </c>
      <c r="K9" s="32">
        <f t="shared" si="1"/>
        <v>7.8198001687063808E-7</v>
      </c>
      <c r="L9" s="19">
        <f t="shared" si="0"/>
        <v>0.3945452234846808</v>
      </c>
      <c r="M9" s="35">
        <f t="shared" si="5"/>
        <v>5.8098891404376163</v>
      </c>
      <c r="O9">
        <f t="shared" si="6"/>
        <v>1.1545716334809368</v>
      </c>
      <c r="P9" s="24">
        <f t="shared" si="7"/>
        <v>0.28185375990720352</v>
      </c>
      <c r="Q9" s="36">
        <f t="shared" si="2"/>
        <v>629.22591588448245</v>
      </c>
      <c r="R9">
        <f t="shared" si="11"/>
        <v>6.7909251613527788E-2</v>
      </c>
      <c r="S9" s="24">
        <f t="shared" si="3"/>
        <v>1583.1934698589857</v>
      </c>
      <c r="T9">
        <f t="shared" si="4"/>
        <v>5.1733013917471982E-2</v>
      </c>
      <c r="U9" s="38">
        <f t="shared" si="9"/>
        <v>81.903369810265673</v>
      </c>
      <c r="V9" s="39">
        <f t="shared" si="10"/>
        <v>7.6825400144355962</v>
      </c>
    </row>
    <row r="10" spans="2:22" x14ac:dyDescent="0.4">
      <c r="B10" s="67" t="s">
        <v>9</v>
      </c>
      <c r="C10" s="1" t="s">
        <v>10</v>
      </c>
      <c r="D10" s="1">
        <v>3.4546999999999999</v>
      </c>
      <c r="E10" s="1">
        <v>2894.6206000000002</v>
      </c>
      <c r="F10">
        <v>4</v>
      </c>
      <c r="G10">
        <v>5</v>
      </c>
      <c r="H10">
        <v>62.91</v>
      </c>
      <c r="I10">
        <v>3489.2150999999999</v>
      </c>
      <c r="K10" s="32">
        <f t="shared" si="1"/>
        <v>7.1968327073005256E-7</v>
      </c>
      <c r="L10" s="19">
        <f t="shared" si="0"/>
        <v>0.36604862349298267</v>
      </c>
      <c r="M10" s="35">
        <f t="shared" si="5"/>
        <v>5.4466469220856677</v>
      </c>
      <c r="O10">
        <f t="shared" si="6"/>
        <v>2.050836468468769</v>
      </c>
      <c r="P10" s="24">
        <f t="shared" si="7"/>
        <v>0.26149646402793009</v>
      </c>
      <c r="Q10" s="36">
        <f t="shared" si="2"/>
        <v>654.31942686891091</v>
      </c>
      <c r="R10">
        <f t="shared" si="11"/>
        <v>6.7206233253102585E-2</v>
      </c>
      <c r="S10" s="24">
        <f t="shared" si="3"/>
        <v>1214.9120833221414</v>
      </c>
      <c r="T10">
        <f t="shared" si="4"/>
        <v>5.0822052620116777E-2</v>
      </c>
      <c r="U10" s="38">
        <f t="shared" si="9"/>
        <v>61.744325827413569</v>
      </c>
      <c r="V10" s="39">
        <f t="shared" si="10"/>
        <v>10.597239796541801</v>
      </c>
    </row>
    <row r="11" spans="2:22" ht="18.75" customHeight="1" x14ac:dyDescent="0.4">
      <c r="B11" s="69"/>
      <c r="C11" s="1" t="s">
        <v>11</v>
      </c>
      <c r="D11" s="1">
        <v>3.4548000000000001</v>
      </c>
      <c r="E11" s="4">
        <v>2894.5</v>
      </c>
      <c r="F11">
        <v>2</v>
      </c>
      <c r="G11">
        <v>5</v>
      </c>
      <c r="H11">
        <v>122.9</v>
      </c>
      <c r="I11">
        <v>3332.4121</v>
      </c>
      <c r="K11" s="32">
        <f t="shared" si="1"/>
        <v>9.7022147593640987E-7</v>
      </c>
      <c r="L11" s="19">
        <f t="shared" si="0"/>
        <v>0.49349280487859642</v>
      </c>
      <c r="M11" s="35">
        <f t="shared" si="5"/>
        <v>7.0202372395388659</v>
      </c>
      <c r="O11">
        <f t="shared" si="6"/>
        <v>2.003157691809117</v>
      </c>
      <c r="P11" s="24">
        <f t="shared" si="7"/>
        <v>0.35253956774256823</v>
      </c>
      <c r="Q11" s="36">
        <f t="shared" si="2"/>
        <v>645.8349365926307</v>
      </c>
      <c r="R11">
        <f t="shared" si="11"/>
        <v>7.0295744722013442E-2</v>
      </c>
      <c r="S11" s="24">
        <f t="shared" si="3"/>
        <v>1054.4707775864831</v>
      </c>
      <c r="T11">
        <f t="shared" si="4"/>
        <v>5.5016788211639252E-2</v>
      </c>
      <c r="U11" s="38">
        <f t="shared" si="9"/>
        <v>58.013595445838099</v>
      </c>
      <c r="V11" s="39">
        <f t="shared" si="10"/>
        <v>11.132475614196101</v>
      </c>
    </row>
    <row r="12" spans="2:22" x14ac:dyDescent="0.4">
      <c r="B12" s="67" t="s">
        <v>12</v>
      </c>
      <c r="C12" s="1" t="s">
        <v>13</v>
      </c>
      <c r="D12" s="1">
        <v>3.5308000000000002</v>
      </c>
      <c r="E12" s="1">
        <v>2832.2008999999998</v>
      </c>
      <c r="F12">
        <v>2</v>
      </c>
      <c r="G12">
        <v>4</v>
      </c>
      <c r="H12">
        <v>44.84</v>
      </c>
      <c r="I12">
        <v>3196.0990999999999</v>
      </c>
      <c r="K12" s="32">
        <f t="shared" si="1"/>
        <v>3.7501025672284722E-7</v>
      </c>
      <c r="L12" s="19">
        <f t="shared" si="0"/>
        <v>0.19494104712940952</v>
      </c>
      <c r="M12" s="35">
        <f t="shared" si="5"/>
        <v>3.103181584415641</v>
      </c>
      <c r="O12">
        <f t="shared" si="6"/>
        <v>0.58509877234413521</v>
      </c>
      <c r="P12" s="24">
        <f t="shared" si="7"/>
        <v>0.13926126543464493</v>
      </c>
      <c r="Q12" s="36">
        <f t="shared" si="2"/>
        <v>645.0309995664453</v>
      </c>
      <c r="R12">
        <f t="shared" si="11"/>
        <v>6.2819735753916181E-2</v>
      </c>
      <c r="S12" s="24">
        <f t="shared" si="3"/>
        <v>3226.7741154036698</v>
      </c>
      <c r="T12">
        <f t="shared" si="4"/>
        <v>4.5746548650966175E-2</v>
      </c>
      <c r="U12" s="38">
        <f t="shared" si="9"/>
        <v>147.61377905599232</v>
      </c>
      <c r="V12" s="39">
        <f t="shared" si="10"/>
        <v>4.3697207922694972</v>
      </c>
    </row>
    <row r="13" spans="2:22" ht="18.75" customHeight="1" x14ac:dyDescent="0.4">
      <c r="B13" s="68"/>
      <c r="C13" s="1" t="s">
        <v>8</v>
      </c>
      <c r="D13" s="1">
        <v>3.5335999999999999</v>
      </c>
      <c r="E13" s="1">
        <v>2829.9335999999998</v>
      </c>
      <c r="F13">
        <v>4</v>
      </c>
      <c r="G13">
        <v>4</v>
      </c>
      <c r="H13">
        <v>106.2</v>
      </c>
      <c r="I13">
        <v>3081.1588999999999</v>
      </c>
      <c r="K13" s="32">
        <f t="shared" si="1"/>
        <v>2.2478504427821334E-6</v>
      </c>
      <c r="L13" s="19">
        <f t="shared" si="0"/>
        <v>1.1694235341406509</v>
      </c>
      <c r="M13" s="35">
        <f t="shared" si="5"/>
        <v>13.786965195993782</v>
      </c>
      <c r="O13">
        <f t="shared" si="6"/>
        <v>2.7693017778763638</v>
      </c>
      <c r="P13" s="24">
        <f t="shared" si="7"/>
        <v>0.83540846625991461</v>
      </c>
      <c r="Q13" s="36">
        <f t="shared" si="2"/>
        <v>634.59943944402119</v>
      </c>
      <c r="R13">
        <f t="shared" si="11"/>
        <v>8.4820953525034076E-2</v>
      </c>
      <c r="S13" s="24">
        <f t="shared" si="3"/>
        <v>633.85255174312135</v>
      </c>
      <c r="T13">
        <f t="shared" si="4"/>
        <v>8.0669959752785611E-2</v>
      </c>
      <c r="U13" s="38">
        <f t="shared" si="9"/>
        <v>51.132859838318062</v>
      </c>
      <c r="V13" s="39">
        <f t="shared" si="10"/>
        <v>12.41079496532411</v>
      </c>
    </row>
    <row r="14" spans="2:22" x14ac:dyDescent="0.4">
      <c r="B14" s="68"/>
      <c r="C14" s="1" t="s">
        <v>14</v>
      </c>
      <c r="D14" s="1">
        <v>3.5384000000000002</v>
      </c>
      <c r="E14" s="1">
        <v>2826.1226000000001</v>
      </c>
      <c r="F14">
        <v>2</v>
      </c>
      <c r="G14">
        <v>3</v>
      </c>
      <c r="H14">
        <v>91.74</v>
      </c>
      <c r="I14">
        <v>2999.355</v>
      </c>
      <c r="K14" s="32">
        <f t="shared" si="1"/>
        <v>8.9217739848633336E-7</v>
      </c>
      <c r="L14" s="19">
        <f t="shared" si="0"/>
        <v>0.46477758392829205</v>
      </c>
      <c r="M14" s="35">
        <f t="shared" si="5"/>
        <v>6.6767264281711229</v>
      </c>
      <c r="O14">
        <f t="shared" si="6"/>
        <v>0.9290622005623419</v>
      </c>
      <c r="P14" s="24">
        <f t="shared" si="7"/>
        <v>0.33202609423013668</v>
      </c>
      <c r="Q14" s="36">
        <f t="shared" si="2"/>
        <v>624.73169952771013</v>
      </c>
      <c r="R14">
        <f t="shared" si="11"/>
        <v>6.9611596180915128E-2</v>
      </c>
      <c r="S14" s="24">
        <f t="shared" si="3"/>
        <v>1828.6135603323562</v>
      </c>
      <c r="T14">
        <f t="shared" si="4"/>
        <v>5.4045676156983524E-2</v>
      </c>
      <c r="U14" s="38">
        <f t="shared" si="9"/>
        <v>98.828656297991174</v>
      </c>
      <c r="V14" s="39">
        <f t="shared" si="10"/>
        <v>6.3213618694156892</v>
      </c>
    </row>
    <row r="15" spans="2:22" x14ac:dyDescent="0.4">
      <c r="B15" s="69"/>
      <c r="C15" s="1" t="s">
        <v>15</v>
      </c>
      <c r="D15" s="1">
        <v>3.5421</v>
      </c>
      <c r="E15" s="1">
        <v>2823.1379999999999</v>
      </c>
      <c r="F15">
        <v>2</v>
      </c>
      <c r="G15">
        <v>3</v>
      </c>
      <c r="H15">
        <v>47.57</v>
      </c>
      <c r="I15">
        <v>2928.3181</v>
      </c>
      <c r="K15" s="32">
        <f t="shared" si="1"/>
        <v>5.3476944200655355E-7</v>
      </c>
      <c r="L15" s="19">
        <f t="shared" si="0"/>
        <v>0.27887811303124577</v>
      </c>
      <c r="M15" s="35">
        <f t="shared" si="5"/>
        <v>4.2898693183680363</v>
      </c>
      <c r="O15">
        <f t="shared" si="6"/>
        <v>0.48123844658338</v>
      </c>
      <c r="P15" s="24">
        <f t="shared" si="7"/>
        <v>0.19922391663863256</v>
      </c>
      <c r="Q15" s="36">
        <f t="shared" si="2"/>
        <v>612.9929503116964</v>
      </c>
      <c r="R15">
        <f t="shared" si="11"/>
        <v>6.5008533438808191E-2</v>
      </c>
      <c r="S15" s="24">
        <f t="shared" si="3"/>
        <v>3488.8169051887853</v>
      </c>
      <c r="T15">
        <f t="shared" si="4"/>
        <v>4.814570902922119E-2</v>
      </c>
      <c r="U15" s="38">
        <f t="shared" si="9"/>
        <v>167.97156357344724</v>
      </c>
      <c r="V15" s="39">
        <f t="shared" si="10"/>
        <v>3.6493852725473923</v>
      </c>
    </row>
    <row r="17" spans="2:12" x14ac:dyDescent="0.4">
      <c r="B17" s="13" t="s">
        <v>19</v>
      </c>
      <c r="C17" s="14"/>
      <c r="D17" s="15"/>
      <c r="F17" s="13" t="s">
        <v>16</v>
      </c>
      <c r="H17" s="14"/>
      <c r="I17" s="15"/>
      <c r="K17" t="s">
        <v>63</v>
      </c>
      <c r="L17" t="s">
        <v>80</v>
      </c>
    </row>
    <row r="18" spans="2:12" x14ac:dyDescent="0.4">
      <c r="B18" s="5" t="s">
        <v>18</v>
      </c>
      <c r="C18" s="6" t="s">
        <v>58</v>
      </c>
      <c r="D18" s="22">
        <v>0.6</v>
      </c>
      <c r="F18" t="s">
        <v>81</v>
      </c>
      <c r="G18" t="s">
        <v>82</v>
      </c>
      <c r="H18" t="s">
        <v>75</v>
      </c>
      <c r="I18" s="25">
        <v>299792458</v>
      </c>
      <c r="K18">
        <v>100</v>
      </c>
      <c r="L18">
        <v>7.36</v>
      </c>
    </row>
    <row r="19" spans="2:12" x14ac:dyDescent="0.4">
      <c r="B19" s="10" t="s">
        <v>20</v>
      </c>
      <c r="C19" s="11" t="s">
        <v>59</v>
      </c>
      <c r="D19" s="12">
        <v>700</v>
      </c>
      <c r="F19" s="7" t="s">
        <v>46</v>
      </c>
      <c r="G19" s="25" t="s">
        <v>46</v>
      </c>
      <c r="H19" s="8" t="s">
        <v>47</v>
      </c>
      <c r="I19" s="9">
        <f>6.62606957*10^(-34)*I18</f>
        <v>1.9864456832693035E-25</v>
      </c>
      <c r="K19">
        <v>200</v>
      </c>
      <c r="L19">
        <v>20.725999999999999</v>
      </c>
    </row>
    <row r="20" spans="2:12" x14ac:dyDescent="0.4">
      <c r="F20" s="25" t="s">
        <v>84</v>
      </c>
      <c r="G20" t="s">
        <v>83</v>
      </c>
      <c r="H20" s="8" t="s">
        <v>60</v>
      </c>
      <c r="I20" s="8">
        <f xml:space="preserve"> 1.3806488*10^-23</f>
        <v>1.3806488E-23</v>
      </c>
      <c r="K20">
        <v>300</v>
      </c>
      <c r="L20">
        <v>37.607999999999997</v>
      </c>
    </row>
    <row r="21" spans="2:12" x14ac:dyDescent="0.4">
      <c r="B21" s="13" t="s">
        <v>22</v>
      </c>
      <c r="C21" s="14"/>
      <c r="D21" s="15"/>
      <c r="F21" s="25"/>
      <c r="G21" t="s">
        <v>65</v>
      </c>
      <c r="H21" t="s">
        <v>24</v>
      </c>
      <c r="I21" s="26">
        <f>1.9861*10^-23</f>
        <v>1.9861000000000001E-23</v>
      </c>
      <c r="K21">
        <v>400</v>
      </c>
      <c r="L21">
        <v>57.649000000000001</v>
      </c>
    </row>
    <row r="22" spans="2:12" x14ac:dyDescent="0.4">
      <c r="B22" s="5" t="s">
        <v>42</v>
      </c>
      <c r="C22" s="6" t="s">
        <v>43</v>
      </c>
      <c r="D22" s="22">
        <v>60</v>
      </c>
      <c r="F22" s="25" t="s">
        <v>64</v>
      </c>
      <c r="G22" s="25" t="s">
        <v>85</v>
      </c>
      <c r="I22" cm="1">
        <f t="array" ref="I22">_xlfn.IFS(D19=100, L18, D19=200, L19, D19=300, L20, D19=400, L21, D19=500, L22, D19=600, L23, D19=700, L24, D19=800, L25, D19=900, L26, D19=1000, L27, D19=1200, L28)</f>
        <v>135.33000000000001</v>
      </c>
      <c r="K22">
        <v>500</v>
      </c>
      <c r="L22">
        <v>80.578999999999994</v>
      </c>
    </row>
    <row r="23" spans="2:12" x14ac:dyDescent="0.4">
      <c r="B23" s="7" t="s">
        <v>44</v>
      </c>
      <c r="C23" s="8" t="s">
        <v>45</v>
      </c>
      <c r="D23" s="9">
        <v>2</v>
      </c>
      <c r="K23">
        <v>600</v>
      </c>
      <c r="L23">
        <v>106.393</v>
      </c>
    </row>
    <row r="24" spans="2:12" x14ac:dyDescent="0.4">
      <c r="B24" s="7" t="s">
        <v>0</v>
      </c>
      <c r="C24" s="8"/>
      <c r="D24" s="9">
        <v>8.18</v>
      </c>
      <c r="F24" s="13" t="s">
        <v>32</v>
      </c>
      <c r="H24" s="14"/>
      <c r="I24" s="15"/>
      <c r="K24">
        <v>700</v>
      </c>
      <c r="L24">
        <v>135.33000000000001</v>
      </c>
    </row>
    <row r="25" spans="2:12" x14ac:dyDescent="0.4">
      <c r="B25" s="25" t="s">
        <v>21</v>
      </c>
      <c r="C25" s="8" t="s">
        <v>57</v>
      </c>
      <c r="D25" s="25">
        <v>300</v>
      </c>
      <c r="F25" s="7" t="s">
        <v>48</v>
      </c>
      <c r="G25" s="25" t="s">
        <v>39</v>
      </c>
      <c r="H25" s="8" t="s">
        <v>49</v>
      </c>
      <c r="I25" s="9">
        <f>(D18/2)^2*PI()</f>
        <v>0.28274333882308139</v>
      </c>
      <c r="K25">
        <v>800</v>
      </c>
      <c r="L25">
        <v>167.81200000000001</v>
      </c>
    </row>
    <row r="26" spans="2:12" x14ac:dyDescent="0.4">
      <c r="B26" s="17" t="s">
        <v>61</v>
      </c>
      <c r="C26" s="25" t="s">
        <v>62</v>
      </c>
      <c r="D26" s="24">
        <v>1E+16</v>
      </c>
      <c r="F26" s="7" t="s">
        <v>2</v>
      </c>
      <c r="G26" s="25" t="s">
        <v>86</v>
      </c>
      <c r="H26" s="8"/>
      <c r="I26" s="9">
        <v>0.15</v>
      </c>
      <c r="K26">
        <v>900</v>
      </c>
      <c r="L26">
        <v>204.38800000000001</v>
      </c>
    </row>
    <row r="27" spans="2:12" x14ac:dyDescent="0.4">
      <c r="B27" s="25"/>
      <c r="C27" s="25"/>
      <c r="D27" s="25"/>
      <c r="F27" s="7" t="s">
        <v>17</v>
      </c>
      <c r="G27" s="25" t="s">
        <v>88</v>
      </c>
      <c r="H27" s="8"/>
      <c r="I27" s="9">
        <v>0.88900000000000001</v>
      </c>
      <c r="K27">
        <v>1000</v>
      </c>
      <c r="L27">
        <v>245.68299999999999</v>
      </c>
    </row>
    <row r="28" spans="2:12" x14ac:dyDescent="0.4">
      <c r="F28" s="7" t="s">
        <v>50</v>
      </c>
      <c r="H28" s="8" t="s">
        <v>51</v>
      </c>
      <c r="I28" s="9">
        <f>2.35*10^-11*I30</f>
        <v>7.0499999999999992E-12</v>
      </c>
      <c r="K28">
        <v>1200</v>
      </c>
      <c r="L28">
        <v>345.17899999999997</v>
      </c>
    </row>
    <row r="29" spans="2:12" x14ac:dyDescent="0.4">
      <c r="F29" s="7" t="s">
        <v>1</v>
      </c>
      <c r="H29" s="8"/>
      <c r="I29" s="9">
        <v>0.9</v>
      </c>
    </row>
    <row r="30" spans="2:12" x14ac:dyDescent="0.4">
      <c r="F30" s="7" t="s">
        <v>52</v>
      </c>
      <c r="H30" s="8" t="s">
        <v>53</v>
      </c>
      <c r="I30" s="9">
        <v>0.3</v>
      </c>
    </row>
    <row r="31" spans="2:12" x14ac:dyDescent="0.4">
      <c r="F31" s="17" t="s">
        <v>54</v>
      </c>
      <c r="H31" s="8" t="s">
        <v>55</v>
      </c>
      <c r="I31" s="20">
        <v>0.7</v>
      </c>
    </row>
    <row r="32" spans="2:12" x14ac:dyDescent="0.4">
      <c r="F32" s="16" t="s">
        <v>54</v>
      </c>
      <c r="H32" s="11" t="s">
        <v>56</v>
      </c>
      <c r="I32" s="12">
        <f>I31/I30</f>
        <v>2.3333333333333335</v>
      </c>
    </row>
    <row r="33" spans="6:9" x14ac:dyDescent="0.4">
      <c r="F33" s="17" t="s">
        <v>76</v>
      </c>
      <c r="I33" s="20">
        <v>20000</v>
      </c>
    </row>
  </sheetData>
  <mergeCells count="6">
    <mergeCell ref="O1:V1"/>
    <mergeCell ref="B6:B9"/>
    <mergeCell ref="B10:B11"/>
    <mergeCell ref="B12:B15"/>
    <mergeCell ref="D1:I1"/>
    <mergeCell ref="K1:M1"/>
  </mergeCells>
  <phoneticPr fontId="1"/>
  <dataValidations count="2">
    <dataValidation type="list" allowBlank="1" showInputMessage="1" showErrorMessage="1" sqref="D18" xr:uid="{1E95CCF3-9F99-469D-A9F8-62CA7F69384C}">
      <formula1>"0.6, 1.8"</formula1>
    </dataValidation>
    <dataValidation type="list" allowBlank="1" showInputMessage="1" showErrorMessage="1" sqref="D19" xr:uid="{A2D9968E-338B-4596-8C25-1E9307162032}">
      <formula1>"100, 200, 300, 400, 500, 600, 700, 800, 900, 1000, 1200"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SN計算（新）</vt:lpstr>
      <vt:lpstr>SN計算（旧）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永田和也</dc:creator>
  <cp:lastModifiedBy>永田 和也</cp:lastModifiedBy>
  <dcterms:created xsi:type="dcterms:W3CDTF">2022-03-29T08:51:45Z</dcterms:created>
  <dcterms:modified xsi:type="dcterms:W3CDTF">2022-06-03T10:46:05Z</dcterms:modified>
</cp:coreProperties>
</file>