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ubbu\Personal development\Engineering\Pumps and compressors\"/>
    </mc:Choice>
  </mc:AlternateContent>
  <xr:revisionPtr revIDLastSave="0" documentId="13_ncr:1_{C4F7DD30-E009-4201-B14C-250F168BB91F}" xr6:coauthVersionLast="47" xr6:coauthVersionMax="47" xr10:uidLastSave="{00000000-0000-0000-0000-000000000000}"/>
  <bookViews>
    <workbookView xWindow="-28920" yWindow="-120" windowWidth="29040" windowHeight="15720" activeTab="2" xr2:uid="{B2C43B7C-4B4E-4C4B-B126-612F13076B87}"/>
  </bookViews>
  <sheets>
    <sheet name="Problem statement 1" sheetId="2" r:id="rId1"/>
    <sheet name="Solution for 1" sheetId="1" r:id="rId2"/>
    <sheet name="Problem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3" l="1"/>
  <c r="H55" i="3"/>
  <c r="F56" i="3"/>
  <c r="F55" i="3"/>
  <c r="F54" i="3"/>
  <c r="F53" i="3"/>
  <c r="F52" i="3"/>
  <c r="F51" i="3"/>
  <c r="C22" i="3"/>
  <c r="G54" i="3" s="1"/>
  <c r="H54" i="3" s="1"/>
  <c r="B176" i="1" a="1"/>
  <c r="B176" i="1" s="1"/>
  <c r="B171" i="1" a="1"/>
  <c r="B171" i="1" s="1"/>
  <c r="C180" i="1" s="1"/>
  <c r="D60" i="1"/>
  <c r="G55" i="1"/>
  <c r="L55" i="1" s="1"/>
  <c r="G56" i="1"/>
  <c r="G57" i="1"/>
  <c r="G58" i="1"/>
  <c r="H58" i="1" s="1"/>
  <c r="I58" i="1" s="1"/>
  <c r="G59" i="1"/>
  <c r="G60" i="1"/>
  <c r="G54" i="1"/>
  <c r="H54" i="1" s="1"/>
  <c r="F54" i="1"/>
  <c r="F55" i="1"/>
  <c r="F56" i="1"/>
  <c r="F57" i="1"/>
  <c r="F58" i="1"/>
  <c r="F59" i="1"/>
  <c r="F60" i="1"/>
  <c r="G53" i="1"/>
  <c r="H53" i="1" s="1"/>
  <c r="F53" i="1"/>
  <c r="C33" i="1"/>
  <c r="C34" i="1" s="1"/>
  <c r="C25" i="1"/>
  <c r="C26" i="1" s="1"/>
  <c r="G56" i="3" l="1"/>
  <c r="J56" i="3"/>
  <c r="K56" i="3" s="1"/>
  <c r="G53" i="3"/>
  <c r="L53" i="3" s="1"/>
  <c r="G52" i="3"/>
  <c r="H52" i="3" s="1"/>
  <c r="I52" i="3" s="1"/>
  <c r="J54" i="3"/>
  <c r="J55" i="3"/>
  <c r="K55" i="3" s="1"/>
  <c r="G51" i="3"/>
  <c r="H51" i="3" s="1"/>
  <c r="I51" i="3" s="1"/>
  <c r="G55" i="3"/>
  <c r="L54" i="3"/>
  <c r="I54" i="3"/>
  <c r="L56" i="3"/>
  <c r="I56" i="3"/>
  <c r="I55" i="3"/>
  <c r="C181" i="1"/>
  <c r="C182" i="1"/>
  <c r="H55" i="1"/>
  <c r="J55" i="1" s="1" a="1"/>
  <c r="J55" i="1" s="1"/>
  <c r="J54" i="1" a="1"/>
  <c r="J54" i="1" s="1"/>
  <c r="K54" i="1" s="1"/>
  <c r="L54" i="1" s="1"/>
  <c r="I54" i="1"/>
  <c r="J53" i="1" a="1"/>
  <c r="J53" i="1" s="1"/>
  <c r="K53" i="1" s="1"/>
  <c r="L53" i="1" s="1"/>
  <c r="I53" i="1"/>
  <c r="H60" i="1"/>
  <c r="J60" i="1" s="1" a="1"/>
  <c r="J60" i="1" s="1"/>
  <c r="K60" i="1"/>
  <c r="L60" i="1" s="1"/>
  <c r="H59" i="1"/>
  <c r="J59" i="1" s="1" a="1"/>
  <c r="J59" i="1" s="1"/>
  <c r="K59" i="1" s="1"/>
  <c r="L59" i="1" s="1"/>
  <c r="J58" i="1" a="1"/>
  <c r="J58" i="1" s="1"/>
  <c r="K58" i="1" s="1"/>
  <c r="L58" i="1" s="1"/>
  <c r="H57" i="1"/>
  <c r="H56" i="1"/>
  <c r="J52" i="3" l="1"/>
  <c r="K52" i="3" s="1"/>
  <c r="L52" i="3" s="1"/>
  <c r="H53" i="3"/>
  <c r="L55" i="3"/>
  <c r="J51" i="3"/>
  <c r="K51" i="3" s="1"/>
  <c r="L51" i="3" s="1"/>
  <c r="C186" i="1"/>
  <c r="C187" i="1" s="1"/>
  <c r="I55" i="1"/>
  <c r="I59" i="1"/>
  <c r="I60" i="1"/>
  <c r="J57" i="1" a="1"/>
  <c r="J57" i="1" s="1"/>
  <c r="K57" i="1" s="1"/>
  <c r="L57" i="1" s="1"/>
  <c r="I57" i="1"/>
  <c r="J56" i="1" a="1"/>
  <c r="J56" i="1" s="1"/>
  <c r="K56" i="1" s="1"/>
  <c r="L56" i="1" s="1"/>
  <c r="C91" i="1" s="1"/>
  <c r="I56" i="1"/>
  <c r="L57" i="3" l="1"/>
  <c r="C64" i="3" s="1"/>
  <c r="C65" i="3" s="1"/>
  <c r="C66" i="3" s="1"/>
  <c r="C67" i="3" s="1"/>
  <c r="C69" i="3" s="1"/>
  <c r="I53" i="3"/>
  <c r="J53" i="3"/>
  <c r="L61" i="1"/>
  <c r="C8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<sst xmlns="http://schemas.openxmlformats.org/spreadsheetml/2006/main" count="386" uniqueCount="178">
  <si>
    <t>Step 1: Gather information</t>
  </si>
  <si>
    <t>1.1 Physical properties and other constants</t>
  </si>
  <si>
    <t>Parameter</t>
  </si>
  <si>
    <t>Value</t>
  </si>
  <si>
    <t>Units</t>
  </si>
  <si>
    <t>Notes</t>
  </si>
  <si>
    <t>Reference</t>
  </si>
  <si>
    <t>Fluid</t>
  </si>
  <si>
    <t>Temperature</t>
  </si>
  <si>
    <t>Density</t>
  </si>
  <si>
    <t>Viscosity</t>
  </si>
  <si>
    <t>Specific Gravity</t>
  </si>
  <si>
    <t>Vapor pressure</t>
  </si>
  <si>
    <t>Gravity</t>
  </si>
  <si>
    <t>Water</t>
  </si>
  <si>
    <t>[-]</t>
  </si>
  <si>
    <t>[C]</t>
  </si>
  <si>
    <t>[kg/m3]</t>
  </si>
  <si>
    <t>[Pa s]</t>
  </si>
  <si>
    <t>[Pa]</t>
  </si>
  <si>
    <t>[m/s2]</t>
  </si>
  <si>
    <t>(1)</t>
  </si>
  <si>
    <t>Legend</t>
  </si>
  <si>
    <t>User Input</t>
  </si>
  <si>
    <t>[1]  Engineering Toolbox Database</t>
  </si>
  <si>
    <t>1.2 Operating conditions and operating envelope</t>
  </si>
  <si>
    <t>Flowrate</t>
  </si>
  <si>
    <t>[m3/hr]</t>
  </si>
  <si>
    <t>Z1</t>
  </si>
  <si>
    <t>[m]</t>
  </si>
  <si>
    <t>P1</t>
  </si>
  <si>
    <t>[Pa]abs</t>
  </si>
  <si>
    <t>D1</t>
  </si>
  <si>
    <t>A1</t>
  </si>
  <si>
    <t>v1</t>
  </si>
  <si>
    <t>[m2]</t>
  </si>
  <si>
    <t>[m/s]</t>
  </si>
  <si>
    <t>Point 1</t>
  </si>
  <si>
    <t>Point 2</t>
  </si>
  <si>
    <t>Z2</t>
  </si>
  <si>
    <t>P2</t>
  </si>
  <si>
    <t>D2</t>
  </si>
  <si>
    <t>A2</t>
  </si>
  <si>
    <t>v2</t>
  </si>
  <si>
    <t>(2)</t>
  </si>
  <si>
    <t>[2] Based on data from question</t>
  </si>
  <si>
    <t>Output (calculated from other cells)</t>
  </si>
  <si>
    <t>Text(references, units…etc)</t>
  </si>
  <si>
    <t xml:space="preserve"> </t>
  </si>
  <si>
    <t>Step 2: Model Hydraulic Resitances(calculating resistance coefficient and friction headloss for each fitting , component and valve)</t>
  </si>
  <si>
    <t>2.1 Resistance coefficient table: identification of resistances and equations</t>
  </si>
  <si>
    <t>Type</t>
  </si>
  <si>
    <t xml:space="preserve">Parameter </t>
  </si>
  <si>
    <t xml:space="preserve">Description </t>
  </si>
  <si>
    <t>Friction Factor equation</t>
  </si>
  <si>
    <t>Resistance  Coef. Equation</t>
  </si>
  <si>
    <t>K1</t>
  </si>
  <si>
    <t>K2</t>
  </si>
  <si>
    <t>K3</t>
  </si>
  <si>
    <t>K4</t>
  </si>
  <si>
    <t>K5</t>
  </si>
  <si>
    <t>K6</t>
  </si>
  <si>
    <t>K7</t>
  </si>
  <si>
    <t>K8</t>
  </si>
  <si>
    <t>Suction piping</t>
  </si>
  <si>
    <t xml:space="preserve">Discharge piping </t>
  </si>
  <si>
    <t>Vessel Exit</t>
  </si>
  <si>
    <t>Elbow no.1</t>
  </si>
  <si>
    <t>Tee No.1</t>
  </si>
  <si>
    <t>Tee No.2</t>
  </si>
  <si>
    <t>Elbow No.2</t>
  </si>
  <si>
    <t>Spray nozzle</t>
  </si>
  <si>
    <t>SS 316 vessel sch 10 sharp exit/pipe entrance</t>
  </si>
  <si>
    <t>SS 316 pipe sch 10, D=0,0225[m], L=1,9[m]</t>
  </si>
  <si>
    <t>SS 316 pipe sch 10, D=0,0278[m], L=1[m]</t>
  </si>
  <si>
    <t>SS 316 90deg. Elbow</t>
  </si>
  <si>
    <t>SS 316 Tee, straight run</t>
  </si>
  <si>
    <t>SS 316 90deg.Elbow</t>
  </si>
  <si>
    <t>SS316 full jet spray nozzle</t>
  </si>
  <si>
    <t>K = 0.5</t>
  </si>
  <si>
    <t>K = f L/d</t>
  </si>
  <si>
    <t>K = 30f</t>
  </si>
  <si>
    <t>K = 20f</t>
  </si>
  <si>
    <t>K = see the calculation</t>
  </si>
  <si>
    <t>for turbulent flow, Re&gt;4000, 
use Colebrook equation or Swamee Jain equation
For laminar flow,Re&lt;2000,
use Poseulle equation
For transitional flow, 2000&lt;Re&lt;4000
Interpolate between laminar and turbulent flow results.</t>
  </si>
  <si>
    <t>[3]</t>
  </si>
  <si>
    <t>[4]</t>
  </si>
  <si>
    <t>2.2 Resistance coefficient table: evaluation and results</t>
  </si>
  <si>
    <t>D: Diameter [m]</t>
  </si>
  <si>
    <t>L: Length [m]</t>
  </si>
  <si>
    <t>Ɛ: Roughness [m]</t>
  </si>
  <si>
    <t>Relative Roughness [-]</t>
  </si>
  <si>
    <t>v: Velocity [m/s]</t>
  </si>
  <si>
    <t>Re: Reynolds[-]</t>
  </si>
  <si>
    <t>Flow Regime</t>
  </si>
  <si>
    <t>Friction Factor [-]</t>
  </si>
  <si>
    <t>K value[-]</t>
  </si>
  <si>
    <t>hL: Frictional Headloss [m]</t>
  </si>
  <si>
    <t>2.3 Supporting calculations</t>
  </si>
  <si>
    <t xml:space="preserve"> Experimental data for spray nozzle from manufacturer</t>
  </si>
  <si>
    <t>Q: Flowrate [m^3/s]</t>
  </si>
  <si>
    <t>Total frictional Headloss</t>
  </si>
  <si>
    <t xml:space="preserve">3.1  Calculate  pump work required </t>
  </si>
  <si>
    <t>Step 3: Calculate pump head required and available NPSH</t>
  </si>
  <si>
    <t>Pump work required</t>
  </si>
  <si>
    <t>3,2 Calculate NPSH available</t>
  </si>
  <si>
    <t>NPSHa</t>
  </si>
  <si>
    <t>Step 4: Plot system head and NPSHa</t>
  </si>
  <si>
    <t>4.1  System head  vs  Flowrate</t>
  </si>
  <si>
    <t>System Head [m]</t>
  </si>
  <si>
    <t>4.2  NPSHa  vs  Flowrate</t>
  </si>
  <si>
    <t>NPSHa [m]</t>
  </si>
  <si>
    <t>Flowrate [m3/hr]</t>
  </si>
  <si>
    <t>Step 5: Plot pump curve and calculate operating point</t>
  </si>
  <si>
    <t>Pump type(option 1)</t>
  </si>
  <si>
    <t>Model DB9</t>
  </si>
  <si>
    <t>Manufacturer</t>
  </si>
  <si>
    <t>Finish Thompson</t>
  </si>
  <si>
    <t>5.1  Pump Head vs Flowrate</t>
  </si>
  <si>
    <t>Pressure drop [Pa]</t>
  </si>
  <si>
    <t>Flowrate  [m3/hr]</t>
  </si>
  <si>
    <t>Pump Head[m]</t>
  </si>
  <si>
    <t>5.2 Numerical calculation of operating flowrate and operating head</t>
  </si>
  <si>
    <t>a1</t>
  </si>
  <si>
    <t>b1</t>
  </si>
  <si>
    <t>c1</t>
  </si>
  <si>
    <t>System Head Quadratic equation coefficients y = a1x^2 +b1x+c1</t>
  </si>
  <si>
    <t>a2</t>
  </si>
  <si>
    <t>b2</t>
  </si>
  <si>
    <t>c2</t>
  </si>
  <si>
    <t>Pump Head Quadratic equation coefficients y = a2x^2 +b2x+c2</t>
  </si>
  <si>
    <t>Combined coefficients A = a1-a2, B=b1-b2, C=c1-c2</t>
  </si>
  <si>
    <t>A</t>
  </si>
  <si>
    <t>B</t>
  </si>
  <si>
    <t>C</t>
  </si>
  <si>
    <t>Operating Point (Root of the above quadratic equation )</t>
  </si>
  <si>
    <t>Operating Flowrate</t>
  </si>
  <si>
    <t>Operating Head</t>
  </si>
  <si>
    <t>5.3 NPSHr vs FlowRate</t>
  </si>
  <si>
    <t>NPSHr [m]</t>
  </si>
  <si>
    <t>[4] see pictures</t>
  </si>
  <si>
    <t>[5]</t>
  </si>
  <si>
    <t>[5] from manufacturer (see picture)</t>
  </si>
  <si>
    <t>Pictures</t>
  </si>
  <si>
    <t>[3] Crane Handbook (see picture)</t>
  </si>
  <si>
    <t>[6]</t>
  </si>
  <si>
    <t>[6] see picture</t>
  </si>
  <si>
    <t>Fill the flowrate and click generate button it automatically gives he system head</t>
  </si>
  <si>
    <t>Fill the flowrate and click generate button it automatically gives he NPSHa</t>
  </si>
  <si>
    <t>[7]</t>
  </si>
  <si>
    <t>[7] from manufacturer (see picture)</t>
  </si>
  <si>
    <t>Change the formulae under a1 alone</t>
  </si>
  <si>
    <t>Change the formulae under a2 alone</t>
  </si>
  <si>
    <t xml:space="preserve">Root of quadratic equation </t>
  </si>
  <si>
    <t>Size of Pump 
Head - 20,23 [m]
Flowrate  - 1,7 [m3/hr]
NPSHr is greater than NPSHa</t>
  </si>
  <si>
    <t xml:space="preserve">Result </t>
  </si>
  <si>
    <t>This is a sample pump sizing case study based on an industrial project.</t>
  </si>
  <si>
    <t>[m3/s]</t>
  </si>
  <si>
    <t>[gpm]</t>
  </si>
  <si>
    <t>2inch pipe, D=0,0538[m], L=20[m]</t>
  </si>
  <si>
    <t>3inch pipe, D=0,0780[m], L=8[m]</t>
  </si>
  <si>
    <t>Suction inlet</t>
  </si>
  <si>
    <t>Discharge outlet</t>
  </si>
  <si>
    <t>sharp pipe entrance</t>
  </si>
  <si>
    <t>sharp exit</t>
  </si>
  <si>
    <t>Elbow 1</t>
  </si>
  <si>
    <t>2inch pipe, 90deg</t>
  </si>
  <si>
    <t>valve</t>
  </si>
  <si>
    <t xml:space="preserve">3inch </t>
  </si>
  <si>
    <t>K = 340f</t>
  </si>
  <si>
    <t>[J/Kg]</t>
  </si>
  <si>
    <t>[W]</t>
  </si>
  <si>
    <t>Step 3: Calculate pump head, pump power</t>
  </si>
  <si>
    <t>[HP]</t>
  </si>
  <si>
    <t>Efficiency of pump</t>
  </si>
  <si>
    <t>Pump power</t>
  </si>
  <si>
    <t xml:space="preserve">for turbulent flow, Re&gt;5000, 
use Chen equation 
For laminar flow,Re&lt;2000,
use Poseulle equation
</t>
  </si>
  <si>
    <t>Find Pump power for the following pump given the efficiency of pump is 70% and Q is 10gpm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</si>
</sst>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20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49" fontId="0" fillId="3" borderId="1" xfId="0" quotePrefix="1" applyNumberForma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quotePrefix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0" fillId="6" borderId="1" xfId="0" applyFill="1" applyBorder="1"/>
    <xf numFmtId="0" fontId="1" fillId="0" borderId="0" xfId="0" applyFont="1"/>
    <xf numFmtId="0" fontId="1" fillId="7" borderId="0" xfId="0" applyFont="1" applyFill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6" fillId="7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left" vertical="top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/>
    </xf>
    <xf numFmtId="9" fontId="0" fillId="2" borderId="1" xfId="0" applyNumberFormat="1" applyFill="1" applyBorder="1"/>
    <xf numFmtId="0" fontId="1" fillId="8" borderId="1" xfId="0" applyFont="1" applyFill="1" applyBorder="1"/>
    <xf numFmtId="0" fontId="1" fillId="8" borderId="0" xfId="0" applyFont="1" applyFill="1"/>
    <xf numFmtId="0" fontId="9" fillId="9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Spray nozzle pressure</a:t>
            </a:r>
            <a:r>
              <a:rPr lang="en-US" baseline="0"/>
              <a:t> </a:t>
            </a:r>
            <a:r>
              <a:rPr lang="en-US"/>
              <a:t>drop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3.4594269466316711E-2"/>
                  <c:y val="-5.499562554680666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</c:trendlineLbl>
          </c:trendline>
          <c:xVal>
            <c:numRef>
              <c:f>'Solution for 1'!$B$68:$B$75</c:f>
              <c:numCache>
                <c:formatCode>General</c:formatCode>
                <c:ptCount val="8"/>
                <c:pt idx="0">
                  <c:v>2.1453999999999999E-4</c:v>
                </c:pt>
                <c:pt idx="1">
                  <c:v>2.5240000000000001E-4</c:v>
                </c:pt>
                <c:pt idx="2">
                  <c:v>2.9657000000000002E-4</c:v>
                </c:pt>
                <c:pt idx="3">
                  <c:v>4.1015000000000002E-4</c:v>
                </c:pt>
                <c:pt idx="4">
                  <c:v>5.6159000000000005E-4</c:v>
                </c:pt>
                <c:pt idx="5">
                  <c:v>7.7610000000000005E-4</c:v>
                </c:pt>
                <c:pt idx="6">
                  <c:v>8.5815999999999996E-4</c:v>
                </c:pt>
                <c:pt idx="7">
                  <c:v>1.03484E-3</c:v>
                </c:pt>
              </c:numCache>
            </c:numRef>
          </c:xVal>
          <c:yVal>
            <c:numRef>
              <c:f>'Solution for 1'!$C$68:$C$75</c:f>
              <c:numCache>
                <c:formatCode>General</c:formatCode>
                <c:ptCount val="8"/>
                <c:pt idx="0">
                  <c:v>34473.800000000003</c:v>
                </c:pt>
                <c:pt idx="1">
                  <c:v>48263.32</c:v>
                </c:pt>
                <c:pt idx="2">
                  <c:v>68947.600000000006</c:v>
                </c:pt>
                <c:pt idx="3">
                  <c:v>137895.20000000001</c:v>
                </c:pt>
                <c:pt idx="4">
                  <c:v>275790.40000000002</c:v>
                </c:pt>
                <c:pt idx="5">
                  <c:v>551580.80000000005</c:v>
                </c:pt>
                <c:pt idx="6">
                  <c:v>689476</c:v>
                </c:pt>
                <c:pt idx="7">
                  <c:v>1034214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7-408A-9464-12B1689E2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617583"/>
        <c:axId val="221393919"/>
      </c:scatterChart>
      <c:valAx>
        <c:axId val="165761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</a:t>
                </a:r>
                <a:r>
                  <a:rPr lang="en-US" baseline="0"/>
                  <a:t> rate [m3/s]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862766841644794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1393919"/>
        <c:crosses val="autoZero"/>
        <c:crossBetween val="midCat"/>
      </c:valAx>
      <c:valAx>
        <c:axId val="22139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[Pa]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5761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 Head</a:t>
            </a:r>
            <a:r>
              <a:rPr lang="en-US" baseline="0"/>
              <a:t> vs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868629653526935E-2"/>
          <c:y val="0.13365765765765766"/>
          <c:w val="0.86932438310962856"/>
          <c:h val="0.706618713201390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'Solution for 1'!$C$98</c:f>
              <c:strCache>
                <c:ptCount val="1"/>
                <c:pt idx="0">
                  <c:v>System Head [m]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'Solution for 1'!$B$99:$B$109</c:f>
              <c:numCache>
                <c:formatCode>General</c:formatCode>
                <c:ptCount val="11"/>
                <c:pt idx="0">
                  <c:v>1E-3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2.4</c:v>
                </c:pt>
                <c:pt idx="10">
                  <c:v>2.6</c:v>
                </c:pt>
              </c:numCache>
            </c:numRef>
          </c:xVal>
          <c:yVal>
            <c:numRef>
              <c:f>'Solution for 1'!$C$99:$C$109</c:f>
              <c:numCache>
                <c:formatCode>General</c:formatCode>
                <c:ptCount val="11"/>
                <c:pt idx="0">
                  <c:v>3.2629814316704557</c:v>
                </c:pt>
                <c:pt idx="1">
                  <c:v>3.3183023903403912</c:v>
                </c:pt>
                <c:pt idx="2">
                  <c:v>4.7685003545912643</c:v>
                </c:pt>
                <c:pt idx="3">
                  <c:v>6.9345078926324799</c:v>
                </c:pt>
                <c:pt idx="4">
                  <c:v>9.8160810641995617</c:v>
                </c:pt>
                <c:pt idx="5">
                  <c:v>13.413043361892349</c:v>
                </c:pt>
                <c:pt idx="6">
                  <c:v>17.72526052078301</c:v>
                </c:pt>
                <c:pt idx="7">
                  <c:v>22.752626741120967</c:v>
                </c:pt>
                <c:pt idx="8">
                  <c:v>28.495056424903858</c:v>
                </c:pt>
                <c:pt idx="9">
                  <c:v>42.124834750651473</c:v>
                </c:pt>
                <c:pt idx="10">
                  <c:v>50.012073517343069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6-4C18-937F-DDE381673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491455"/>
        <c:axId val="1505492415"/>
      </c:scatterChart>
      <c:valAx>
        <c:axId val="150549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[m3/hr]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05492415"/>
        <c:crosses val="autoZero"/>
        <c:crossBetween val="midCat"/>
      </c:valAx>
      <c:valAx>
        <c:axId val="150549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0549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NPSHa vs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'Solution for 1'!$B$123:$B$133</c:f>
              <c:numCache>
                <c:formatCode>General</c:formatCode>
                <c:ptCount val="11"/>
                <c:pt idx="0">
                  <c:v>1E-3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2.4</c:v>
                </c:pt>
                <c:pt idx="10">
                  <c:v>2.6</c:v>
                </c:pt>
              </c:numCache>
            </c:numRef>
          </c:xVal>
          <c:yVal>
            <c:numRef>
              <c:f>'Solution for 1'!$C$123:$C$133</c:f>
              <c:numCache>
                <c:formatCode>General</c:formatCode>
                <c:ptCount val="11"/>
                <c:pt idx="0">
                  <c:v>13.486737636462479</c:v>
                </c:pt>
                <c:pt idx="1">
                  <c:v>13.475828990842947</c:v>
                </c:pt>
                <c:pt idx="2">
                  <c:v>13.468524481055882</c:v>
                </c:pt>
                <c:pt idx="3">
                  <c:v>13.459550117619651</c:v>
                </c:pt>
                <c:pt idx="4">
                  <c:v>13.448949183656961</c:v>
                </c:pt>
                <c:pt idx="5">
                  <c:v>13.436753425117443</c:v>
                </c:pt>
                <c:pt idx="6">
                  <c:v>13.422987297448957</c:v>
                </c:pt>
                <c:pt idx="7">
                  <c:v>13.407670300516189</c:v>
                </c:pt>
                <c:pt idx="8">
                  <c:v>13.390818386801635</c:v>
                </c:pt>
                <c:pt idx="9">
                  <c:v>13.352561035625701</c:v>
                </c:pt>
                <c:pt idx="10">
                  <c:v>13.331176584044767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1-4F35-9660-07434EBF0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576511"/>
        <c:axId val="1965560191"/>
      </c:scatterChart>
      <c:valAx>
        <c:axId val="196557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</a:t>
                </a:r>
                <a:r>
                  <a:rPr lang="en-US" baseline="0"/>
                  <a:t> [m3/hr]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5560191"/>
        <c:crosses val="autoZero"/>
        <c:crossBetween val="midCat"/>
      </c:valAx>
      <c:valAx>
        <c:axId val="196556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NPSHa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557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</a:t>
            </a:r>
            <a:r>
              <a:rPr lang="en-US" baseline="0"/>
              <a:t> vs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868629653526935E-2"/>
          <c:y val="0.13365765765765766"/>
          <c:w val="0.86932438310962856"/>
          <c:h val="0.706618713201390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'Solution for 1'!$C$98</c:f>
              <c:strCache>
                <c:ptCount val="1"/>
                <c:pt idx="0">
                  <c:v>System Head [m]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7383661924668606"/>
                  <c:y val="-2.78649358019436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</c:trendlineLbl>
          </c:trendline>
          <c:xVal>
            <c:numRef>
              <c:f>'Solution for 1'!$B$99:$B$109</c:f>
              <c:numCache>
                <c:formatCode>General</c:formatCode>
                <c:ptCount val="11"/>
                <c:pt idx="0">
                  <c:v>1E-3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2.4</c:v>
                </c:pt>
                <c:pt idx="10">
                  <c:v>2.6</c:v>
                </c:pt>
              </c:numCache>
            </c:numRef>
          </c:xVal>
          <c:yVal>
            <c:numRef>
              <c:f>'Solution for 1'!$C$99:$C$109</c:f>
              <c:numCache>
                <c:formatCode>General</c:formatCode>
                <c:ptCount val="11"/>
                <c:pt idx="0">
                  <c:v>3.2629814316704557</c:v>
                </c:pt>
                <c:pt idx="1">
                  <c:v>3.3183023903403912</c:v>
                </c:pt>
                <c:pt idx="2">
                  <c:v>4.7685003545912643</c:v>
                </c:pt>
                <c:pt idx="3">
                  <c:v>6.9345078926324799</c:v>
                </c:pt>
                <c:pt idx="4">
                  <c:v>9.8160810641995617</c:v>
                </c:pt>
                <c:pt idx="5">
                  <c:v>13.413043361892349</c:v>
                </c:pt>
                <c:pt idx="6">
                  <c:v>17.72526052078301</c:v>
                </c:pt>
                <c:pt idx="7">
                  <c:v>22.752626741120967</c:v>
                </c:pt>
                <c:pt idx="8">
                  <c:v>28.495056424903858</c:v>
                </c:pt>
                <c:pt idx="9">
                  <c:v>42.124834750651473</c:v>
                </c:pt>
                <c:pt idx="10">
                  <c:v>50.012073517343069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1D-416F-949A-0C4E502D76F2}"/>
            </c:ext>
          </c:extLst>
        </c:ser>
        <c:ser>
          <c:idx val="1"/>
          <c:order val="1"/>
          <c:tx>
            <c:v>Pump Head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0584791070273528"/>
                  <c:y val="-0.11566801447116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</c:trendlineLbl>
          </c:trendline>
          <c:xVal>
            <c:numRef>
              <c:f>'Solution for 1'!$B$151:$B$165</c:f>
              <c:numCache>
                <c:formatCode>General</c:formatCode>
                <c:ptCount val="15"/>
                <c:pt idx="0">
                  <c:v>0</c:v>
                </c:pt>
                <c:pt idx="1">
                  <c:v>0.46</c:v>
                </c:pt>
                <c:pt idx="2">
                  <c:v>0.92</c:v>
                </c:pt>
                <c:pt idx="3">
                  <c:v>1.38</c:v>
                </c:pt>
                <c:pt idx="4">
                  <c:v>1.84</c:v>
                </c:pt>
                <c:pt idx="5">
                  <c:v>2.2999999999999998</c:v>
                </c:pt>
                <c:pt idx="6">
                  <c:v>2.76</c:v>
                </c:pt>
                <c:pt idx="7">
                  <c:v>3.22</c:v>
                </c:pt>
                <c:pt idx="8">
                  <c:v>3.68</c:v>
                </c:pt>
                <c:pt idx="9">
                  <c:v>4.1399999999999997</c:v>
                </c:pt>
                <c:pt idx="10">
                  <c:v>4.5999999999999996</c:v>
                </c:pt>
                <c:pt idx="11">
                  <c:v>6.9</c:v>
                </c:pt>
                <c:pt idx="12">
                  <c:v>9.1999999999999993</c:v>
                </c:pt>
                <c:pt idx="13">
                  <c:v>9.89</c:v>
                </c:pt>
                <c:pt idx="14">
                  <c:v>10.58</c:v>
                </c:pt>
              </c:numCache>
            </c:numRef>
          </c:xVal>
          <c:yVal>
            <c:numRef>
              <c:f>'Solution for 1'!$C$151:$C$165</c:f>
              <c:numCache>
                <c:formatCode>General</c:formatCode>
                <c:ptCount val="15"/>
                <c:pt idx="0">
                  <c:v>20.72</c:v>
                </c:pt>
                <c:pt idx="1">
                  <c:v>20.420000000000002</c:v>
                </c:pt>
                <c:pt idx="2">
                  <c:v>20.421600000000002</c:v>
                </c:pt>
                <c:pt idx="3">
                  <c:v>20.269200000000001</c:v>
                </c:pt>
                <c:pt idx="4">
                  <c:v>20.116800000000001</c:v>
                </c:pt>
                <c:pt idx="5">
                  <c:v>19.812000000000001</c:v>
                </c:pt>
                <c:pt idx="6">
                  <c:v>19.507200000000001</c:v>
                </c:pt>
                <c:pt idx="7">
                  <c:v>19.202400000000001</c:v>
                </c:pt>
                <c:pt idx="8">
                  <c:v>18.897600000000001</c:v>
                </c:pt>
                <c:pt idx="9">
                  <c:v>18.288</c:v>
                </c:pt>
                <c:pt idx="10">
                  <c:v>17.9832</c:v>
                </c:pt>
                <c:pt idx="11">
                  <c:v>13.715999999999999</c:v>
                </c:pt>
                <c:pt idx="12">
                  <c:v>8.5343999999999998</c:v>
                </c:pt>
                <c:pt idx="13">
                  <c:v>6.7055999999999996</c:v>
                </c:pt>
                <c:pt idx="14">
                  <c:v>3.3527999999999998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1D-416F-949A-0C4E502D7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491455"/>
        <c:axId val="1505492415"/>
      </c:scatterChart>
      <c:valAx>
        <c:axId val="150549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[m3/hr]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05492415"/>
        <c:crosses val="autoZero"/>
        <c:crossBetween val="midCat"/>
      </c:valAx>
      <c:valAx>
        <c:axId val="150549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0549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NPSH vs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'Solution for 1'!$B$123:$B$133</c:f>
              <c:numCache>
                <c:formatCode>General</c:formatCode>
                <c:ptCount val="11"/>
                <c:pt idx="0">
                  <c:v>1E-3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2.4</c:v>
                </c:pt>
                <c:pt idx="10">
                  <c:v>2.6</c:v>
                </c:pt>
              </c:numCache>
            </c:numRef>
          </c:xVal>
          <c:yVal>
            <c:numRef>
              <c:f>'Solution for 1'!$C$123:$C$133</c:f>
              <c:numCache>
                <c:formatCode>General</c:formatCode>
                <c:ptCount val="11"/>
                <c:pt idx="0">
                  <c:v>13.486737636462479</c:v>
                </c:pt>
                <c:pt idx="1">
                  <c:v>13.475828990842947</c:v>
                </c:pt>
                <c:pt idx="2">
                  <c:v>13.468524481055882</c:v>
                </c:pt>
                <c:pt idx="3">
                  <c:v>13.459550117619651</c:v>
                </c:pt>
                <c:pt idx="4">
                  <c:v>13.448949183656961</c:v>
                </c:pt>
                <c:pt idx="5">
                  <c:v>13.436753425117443</c:v>
                </c:pt>
                <c:pt idx="6">
                  <c:v>13.422987297448957</c:v>
                </c:pt>
                <c:pt idx="7">
                  <c:v>13.407670300516189</c:v>
                </c:pt>
                <c:pt idx="8">
                  <c:v>13.390818386801635</c:v>
                </c:pt>
                <c:pt idx="9">
                  <c:v>13.352561035625701</c:v>
                </c:pt>
                <c:pt idx="10">
                  <c:v>13.331176584044767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64-4579-B773-941BE93C7488}"/>
            </c:ext>
          </c:extLst>
        </c:ser>
        <c:ser>
          <c:idx val="1"/>
          <c:order val="1"/>
          <c:tx>
            <c:v>NPSHr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'Solution for 1'!$B$192:$B$195</c:f>
              <c:numCache>
                <c:formatCode>General</c:formatCode>
                <c:ptCount val="4"/>
                <c:pt idx="0">
                  <c:v>0.90849884000000003</c:v>
                </c:pt>
                <c:pt idx="1">
                  <c:v>3.6339953600000001</c:v>
                </c:pt>
                <c:pt idx="2">
                  <c:v>6.8137413000000002</c:v>
                </c:pt>
                <c:pt idx="3">
                  <c:v>9.0849884000000003</c:v>
                </c:pt>
              </c:numCache>
            </c:numRef>
          </c:xVal>
          <c:yVal>
            <c:numRef>
              <c:f>'Solution for 1'!$C$192:$C$195</c:f>
              <c:numCache>
                <c:formatCode>General</c:formatCode>
                <c:ptCount val="4"/>
                <c:pt idx="0">
                  <c:v>2.4384000000000001</c:v>
                </c:pt>
                <c:pt idx="1">
                  <c:v>3.048</c:v>
                </c:pt>
                <c:pt idx="2">
                  <c:v>3.9624000000000001</c:v>
                </c:pt>
                <c:pt idx="3">
                  <c:v>4.8766800000000003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64-4579-B773-941BE93C7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576511"/>
        <c:axId val="1965560191"/>
      </c:scatterChart>
      <c:valAx>
        <c:axId val="196557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</a:t>
                </a:r>
                <a:r>
                  <a:rPr lang="en-US" baseline="0"/>
                  <a:t> [m3/hr]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5560191"/>
        <c:crosses val="autoZero"/>
        <c:crossBetween val="midCat"/>
      </c:valAx>
      <c:valAx>
        <c:axId val="196556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NPSHa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557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5.png"/><Relationship Id="rId7" Type="http://schemas.openxmlformats.org/officeDocument/2006/relationships/chart" Target="../charts/chart3.xml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chart" Target="../charts/chart2.xml"/><Relationship Id="rId11" Type="http://schemas.openxmlformats.org/officeDocument/2006/relationships/image" Target="../media/image8.png"/><Relationship Id="rId5" Type="http://schemas.openxmlformats.org/officeDocument/2006/relationships/image" Target="../media/image6.png"/><Relationship Id="rId10" Type="http://schemas.openxmlformats.org/officeDocument/2006/relationships/image" Target="../media/image7.png"/><Relationship Id="rId4" Type="http://schemas.openxmlformats.org/officeDocument/2006/relationships/chart" Target="../charts/chart1.xml"/><Relationship Id="rId9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370115</xdr:colOff>
      <xdr:row>28</xdr:row>
      <xdr:rowOff>112940</xdr:rowOff>
    </xdr:from>
    <xdr:to>
      <xdr:col>14</xdr:col>
      <xdr:colOff>13607</xdr:colOff>
      <xdr:row>51</xdr:row>
      <xdr:rowOff>39901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A1F3B-AF07-18B7-B9C3-B3C95577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4758" y="5446940"/>
          <a:ext cx="6991349" cy="4308461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544285</xdr:colOff>
      <xdr:row>14</xdr:row>
      <xdr:rowOff>95248</xdr:rowOff>
    </xdr:from>
    <xdr:to>
      <xdr:col>26</xdr:col>
      <xdr:colOff>228056</xdr:colOff>
      <xdr:row>27</xdr:row>
      <xdr:rowOff>67015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A54B8D-2F37-F864-195C-FE4EEEBA8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5" y="2762248"/>
          <a:ext cx="15604128" cy="2448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270783</xdr:colOff>
      <xdr:row>4</xdr:row>
      <xdr:rowOff>119742</xdr:rowOff>
    </xdr:from>
    <xdr:to>
      <xdr:col>41</xdr:col>
      <xdr:colOff>285855</xdr:colOff>
      <xdr:row>17</xdr:row>
      <xdr:rowOff>69981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4E9BE-4478-F182-3F32-A70023A82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56158" y="953180"/>
          <a:ext cx="4348947" cy="2496011"/>
        </a:xfrm>
        <a:prstGeom prst="rect">
          <a:avLst/>
        </a:prstGeom>
      </xdr:spPr>
    </xdr:pic>
    <xdr:clientData/>
  </xdr:twoCellAnchor>
  <xdr:twoCellAnchor editAs="oneCell">
    <xdr:from>
      <xdr:col>35</xdr:col>
      <xdr:colOff>287111</xdr:colOff>
      <xdr:row>16</xdr:row>
      <xdr:rowOff>117703</xdr:rowOff>
    </xdr:from>
    <xdr:to>
      <xdr:col>39</xdr:col>
      <xdr:colOff>287449</xdr:colOff>
      <xdr:row>28</xdr:row>
      <xdr:rowOff>41811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F02AC-0DDA-66DF-C442-8D426446D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14718" y="3328989"/>
          <a:ext cx="2449624" cy="2210108"/>
        </a:xfrm>
        <a:prstGeom prst="rect">
          <a:avLst/>
        </a:prstGeom>
      </xdr:spPr>
    </xdr:pic>
    <xdr:clientData/>
  </xdr:twoCellAnchor>
  <xdr:twoCellAnchor editAs="oneCell">
    <xdr:from>
      <xdr:col>19</xdr:col>
      <xdr:colOff>557454</xdr:colOff>
      <xdr:row>37</xdr:row>
      <xdr:rowOff>161102</xdr:rowOff>
    </xdr:from>
    <xdr:to>
      <xdr:col>25</xdr:col>
      <xdr:colOff>384163</xdr:colOff>
      <xdr:row>62</xdr:row>
      <xdr:rowOff>55736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B03AC-202A-982E-5062-8C48468D3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55954" y="7352477"/>
          <a:ext cx="3541459" cy="4657134"/>
        </a:xfrm>
        <a:prstGeom prst="rect">
          <a:avLst/>
        </a:prstGeom>
      </xdr:spPr>
    </xdr:pic>
    <xdr:clientData/>
  </xdr:twoCellAnchor>
  <xdr:twoCellAnchor>
    <xdr:from>
      <xdr:col>4</xdr:col>
      <xdr:colOff>1014131</xdr:colOff>
      <xdr:row>63</xdr:row>
      <xdr:rowOff>90767</xdr:rowOff>
    </xdr:from>
    <xdr:to>
      <xdr:col>6</xdr:col>
      <xdr:colOff>3132043</xdr:colOff>
      <xdr:row>77</xdr:row>
      <xdr:rowOff>166967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F530EE-8362-AEEB-FAEC-E5DE2AF0D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182696</xdr:colOff>
      <xdr:row>6</xdr:row>
      <xdr:rowOff>156205</xdr:rowOff>
    </xdr:from>
    <xdr:to>
      <xdr:col>30</xdr:col>
      <xdr:colOff>544285</xdr:colOff>
      <xdr:row>33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511253-F444-FE50-82C8-01567B953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76196" y="1380848"/>
          <a:ext cx="8934089" cy="503492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733425</xdr:colOff>
          <xdr:row>111</xdr:row>
          <xdr:rowOff>28575</xdr:rowOff>
        </xdr:from>
        <xdr:to>
          <xdr:col>3</xdr:col>
          <xdr:colOff>981075</xdr:colOff>
          <xdr:row>116</xdr:row>
          <xdr:rowOff>38100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DK" sz="1100" b="0" i="0" u="none" strike="noStrike" baseline="0">
                  <a:solidFill>
                    <a:srgbClr val="000000"/>
                  </a:solidFill>
                  <a:latin typeface="Aptos Narrow"/>
                </a:rPr>
                <a:t>Generate System  Head  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387802</xdr:colOff>
      <xdr:row>94</xdr:row>
      <xdr:rowOff>68035</xdr:rowOff>
    </xdr:from>
    <xdr:to>
      <xdr:col>7</xdr:col>
      <xdr:colOff>1306285</xdr:colOff>
      <xdr:row>112</xdr:row>
      <xdr:rowOff>81643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E0C1BF-5C52-33D2-8D44-724052199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762000</xdr:colOff>
          <xdr:row>134</xdr:row>
          <xdr:rowOff>123825</xdr:rowOff>
        </xdr:from>
        <xdr:to>
          <xdr:col>3</xdr:col>
          <xdr:colOff>981075</xdr:colOff>
          <xdr:row>139</xdr:row>
          <xdr:rowOff>85725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DK" sz="1100" b="0" i="0" u="none" strike="noStrike" baseline="0">
                  <a:solidFill>
                    <a:srgbClr val="000000"/>
                  </a:solidFill>
                  <a:latin typeface="Aptos Narrow"/>
                </a:rPr>
                <a:t>Generate NPSHa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428624</xdr:colOff>
      <xdr:row>117</xdr:row>
      <xdr:rowOff>13608</xdr:rowOff>
    </xdr:from>
    <xdr:to>
      <xdr:col>7</xdr:col>
      <xdr:colOff>1415143</xdr:colOff>
      <xdr:row>136</xdr:row>
      <xdr:rowOff>65315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F73BB03-AA92-8289-BC04-D0E355394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27214</xdr:colOff>
      <xdr:row>146</xdr:row>
      <xdr:rowOff>163286</xdr:rowOff>
    </xdr:from>
    <xdr:to>
      <xdr:col>7</xdr:col>
      <xdr:colOff>2320019</xdr:colOff>
      <xdr:row>165</xdr:row>
      <xdr:rowOff>68036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61CD0E-4E7D-43A7-8C07-EFA4F0136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941367</xdr:colOff>
      <xdr:row>186</xdr:row>
      <xdr:rowOff>103909</xdr:rowOff>
    </xdr:from>
    <xdr:to>
      <xdr:col>7</xdr:col>
      <xdr:colOff>1921701</xdr:colOff>
      <xdr:row>205</xdr:row>
      <xdr:rowOff>155616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6ED4905-67EA-4B91-9188-2C3A912A0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32</xdr:col>
      <xdr:colOff>138112</xdr:colOff>
      <xdr:row>38</xdr:row>
      <xdr:rowOff>65314</xdr:rowOff>
    </xdr:from>
    <xdr:to>
      <xdr:col>42</xdr:col>
      <xdr:colOff>70078</xdr:colOff>
      <xdr:row>63</xdr:row>
      <xdr:rowOff>2142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ABDB79E-A289-46F0-BA0D-16ABC412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128755" y="7549243"/>
          <a:ext cx="6055180" cy="4699328"/>
        </a:xfrm>
        <a:prstGeom prst="rect">
          <a:avLst/>
        </a:prstGeom>
      </xdr:spPr>
    </xdr:pic>
    <xdr:clientData/>
  </xdr:twoCellAnchor>
  <xdr:twoCellAnchor editAs="oneCell">
    <xdr:from>
      <xdr:col>16</xdr:col>
      <xdr:colOff>519545</xdr:colOff>
      <xdr:row>68</xdr:row>
      <xdr:rowOff>69273</xdr:rowOff>
    </xdr:from>
    <xdr:to>
      <xdr:col>32</xdr:col>
      <xdr:colOff>338167</xdr:colOff>
      <xdr:row>83</xdr:row>
      <xdr:rowOff>48030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257BA9-7729-053F-D0B5-CF710A3D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678409" y="13231091"/>
          <a:ext cx="9516803" cy="2905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391204</xdr:colOff>
      <xdr:row>56</xdr:row>
      <xdr:rowOff>0</xdr:rowOff>
    </xdr:from>
    <xdr:to>
      <xdr:col>33</xdr:col>
      <xdr:colOff>80959</xdr:colOff>
      <xdr:row>70</xdr:row>
      <xdr:rowOff>166054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51FA3-17F6-457A-8587-E96577591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38490" y="10831286"/>
          <a:ext cx="9486898" cy="2914697"/>
        </a:xfrm>
        <a:prstGeom prst="rect">
          <a:avLst/>
        </a:prstGeom>
      </xdr:spPr>
    </xdr:pic>
    <xdr:clientData/>
  </xdr:twoCellAnchor>
  <xdr:twoCellAnchor editAs="oneCell">
    <xdr:from>
      <xdr:col>17</xdr:col>
      <xdr:colOff>251732</xdr:colOff>
      <xdr:row>40</xdr:row>
      <xdr:rowOff>187099</xdr:rowOff>
    </xdr:from>
    <xdr:to>
      <xdr:col>29</xdr:col>
      <xdr:colOff>297996</xdr:colOff>
      <xdr:row>51</xdr:row>
      <xdr:rowOff>129949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451E1-3CC2-43C2-82A0-17924FA5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26232" y="7187974"/>
          <a:ext cx="7475764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500062</xdr:colOff>
      <xdr:row>55</xdr:row>
      <xdr:rowOff>119062</xdr:rowOff>
    </xdr:from>
    <xdr:to>
      <xdr:col>44</xdr:col>
      <xdr:colOff>51654</xdr:colOff>
      <xdr:row>67</xdr:row>
      <xdr:rowOff>109537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DF5B8F-3CA0-4B15-9078-21E306DF8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18812" y="9977437"/>
          <a:ext cx="5123717" cy="2347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683559</xdr:colOff>
      <xdr:row>6</xdr:row>
      <xdr:rowOff>28014</xdr:rowOff>
    </xdr:from>
    <xdr:to>
      <xdr:col>11</xdr:col>
      <xdr:colOff>1673878</xdr:colOff>
      <xdr:row>32</xdr:row>
      <xdr:rowOff>58207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E6A48D-5FB2-74E1-6372-632A46941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39265" y="1171014"/>
          <a:ext cx="6895819" cy="5061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D14D-5A1B-4343-B56D-82CFD34D52CF}">
  <dimension ref="B3:AC12"/>
  <sheetViews>
    <sheetView zoomScale="70" zoomScaleNormal="70" workbookViewId="0">
      <selection activeCell="W35" sqref="W35"/>
    </sheetView>
  </sheetViews>
  <sheetFormatPr defaultRowHeight="15" x14ac:dyDescent="0.25"/>
  <sheetData>
    <row r="3" spans="2:29" ht="15" customHeight="1" x14ac:dyDescent="0.25">
      <c r="B3" s="18" t="s">
        <v>156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7"/>
      <c r="AB3" s="17"/>
      <c r="AC3" s="17"/>
    </row>
    <row r="4" spans="2:29" ht="15" customHeight="1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7"/>
      <c r="AB4" s="17"/>
      <c r="AC4" s="17"/>
    </row>
    <row r="5" spans="2:29" ht="15" customHeight="1" x14ac:dyDescent="0.2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7"/>
      <c r="AB5" s="17"/>
      <c r="AC5" s="17"/>
    </row>
    <row r="6" spans="2:29" ht="15" customHeight="1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7"/>
      <c r="AB6" s="17"/>
      <c r="AC6" s="17"/>
    </row>
    <row r="7" spans="2:29" ht="15" customHeight="1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7"/>
      <c r="AB7" s="17"/>
      <c r="AC7" s="17"/>
    </row>
    <row r="8" spans="2:29" ht="15" customHeight="1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7"/>
      <c r="AB8" s="17"/>
      <c r="AC8" s="17"/>
    </row>
    <row r="9" spans="2:29" ht="15" customHeight="1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7"/>
      <c r="AB9" s="17"/>
      <c r="AC9" s="17"/>
    </row>
    <row r="10" spans="2:29" ht="15" customHeight="1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7"/>
      <c r="AB10" s="17"/>
      <c r="AC10" s="17"/>
    </row>
    <row r="11" spans="2:29" ht="15" customHeight="1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7"/>
      <c r="AB11" s="17"/>
      <c r="AC11" s="17"/>
    </row>
    <row r="12" spans="2:29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</sheetData>
  <mergeCells count="1">
    <mergeCell ref="B3:Z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AEB9-7C3F-4272-A11E-DF94E2FB9BC5}">
  <dimension ref="B3:AH202"/>
  <sheetViews>
    <sheetView zoomScale="85" zoomScaleNormal="85" workbookViewId="0">
      <selection activeCell="G27" sqref="G27"/>
    </sheetView>
  </sheetViews>
  <sheetFormatPr defaultRowHeight="15" x14ac:dyDescent="0.25"/>
  <cols>
    <col min="2" max="2" width="20" bestFit="1" customWidth="1"/>
    <col min="3" max="3" width="23.140625" bestFit="1" customWidth="1"/>
    <col min="4" max="4" width="46.5703125" customWidth="1"/>
    <col min="5" max="5" width="33.42578125" bestFit="1" customWidth="1"/>
    <col min="6" max="6" width="20.5703125" bestFit="1" customWidth="1"/>
    <col min="7" max="7" width="54.140625" customWidth="1"/>
    <col min="8" max="8" width="38.5703125" customWidth="1"/>
    <col min="9" max="9" width="13.5703125" customWidth="1"/>
    <col min="10" max="10" width="16.140625" bestFit="1" customWidth="1"/>
    <col min="11" max="11" width="42.5703125" customWidth="1"/>
    <col min="12" max="12" width="24.85546875" bestFit="1" customWidth="1"/>
    <col min="13" max="13" width="9.5703125" bestFit="1" customWidth="1"/>
  </cols>
  <sheetData>
    <row r="3" spans="2:34" ht="21" x14ac:dyDescent="0.35">
      <c r="B3" s="21" t="s">
        <v>0</v>
      </c>
      <c r="C3" s="21"/>
      <c r="D3" s="21"/>
    </row>
    <row r="5" spans="2:34" ht="21" x14ac:dyDescent="0.35">
      <c r="B5" s="19" t="s">
        <v>1</v>
      </c>
      <c r="C5" s="19"/>
      <c r="D5" s="19"/>
      <c r="E5" s="19"/>
      <c r="P5" s="27" t="s">
        <v>143</v>
      </c>
      <c r="Q5" s="28"/>
      <c r="R5" s="28"/>
      <c r="S5" s="28"/>
      <c r="T5" s="28"/>
      <c r="U5" s="28"/>
      <c r="V5" s="28"/>
      <c r="W5" s="28"/>
      <c r="X5" s="28"/>
    </row>
    <row r="6" spans="2:34" x14ac:dyDescent="0.25">
      <c r="B6" s="12" t="s">
        <v>2</v>
      </c>
      <c r="C6" s="12" t="s">
        <v>3</v>
      </c>
      <c r="D6" s="12" t="s">
        <v>4</v>
      </c>
      <c r="E6" s="12" t="s">
        <v>6</v>
      </c>
      <c r="H6" t="s">
        <v>22</v>
      </c>
      <c r="K6" t="s">
        <v>5</v>
      </c>
      <c r="AH6" t="s">
        <v>85</v>
      </c>
    </row>
    <row r="7" spans="2:34" x14ac:dyDescent="0.25">
      <c r="B7" s="4" t="s">
        <v>7</v>
      </c>
      <c r="C7" s="2" t="s">
        <v>14</v>
      </c>
      <c r="D7" s="4" t="s">
        <v>15</v>
      </c>
      <c r="E7" s="4"/>
      <c r="H7" s="6" t="s">
        <v>23</v>
      </c>
      <c r="K7" t="s">
        <v>24</v>
      </c>
    </row>
    <row r="8" spans="2:34" x14ac:dyDescent="0.25">
      <c r="B8" s="4" t="s">
        <v>8</v>
      </c>
      <c r="C8" s="3">
        <v>15</v>
      </c>
      <c r="D8" s="4" t="s">
        <v>16</v>
      </c>
      <c r="E8" s="4"/>
      <c r="H8" s="8" t="s">
        <v>46</v>
      </c>
      <c r="K8" t="s">
        <v>45</v>
      </c>
      <c r="P8" t="s">
        <v>86</v>
      </c>
    </row>
    <row r="9" spans="2:34" x14ac:dyDescent="0.25">
      <c r="B9" s="4" t="s">
        <v>9</v>
      </c>
      <c r="C9" s="3">
        <v>998.21</v>
      </c>
      <c r="D9" s="4" t="s">
        <v>17</v>
      </c>
      <c r="E9" s="5" t="s">
        <v>21</v>
      </c>
      <c r="H9" s="7" t="s">
        <v>47</v>
      </c>
      <c r="K9" t="s">
        <v>144</v>
      </c>
    </row>
    <row r="10" spans="2:34" x14ac:dyDescent="0.25">
      <c r="B10" s="4" t="s">
        <v>10</v>
      </c>
      <c r="C10" s="3">
        <v>1.1372999999999999E-3</v>
      </c>
      <c r="D10" s="4" t="s">
        <v>18</v>
      </c>
      <c r="E10" s="5" t="s">
        <v>21</v>
      </c>
      <c r="H10" s="16" t="s">
        <v>155</v>
      </c>
      <c r="K10" t="s">
        <v>140</v>
      </c>
    </row>
    <row r="11" spans="2:34" x14ac:dyDescent="0.25">
      <c r="B11" s="4" t="s">
        <v>11</v>
      </c>
      <c r="C11" s="3">
        <v>0.99822999999999995</v>
      </c>
      <c r="D11" s="4" t="s">
        <v>15</v>
      </c>
      <c r="E11" s="5" t="s">
        <v>21</v>
      </c>
      <c r="K11" t="s">
        <v>142</v>
      </c>
    </row>
    <row r="12" spans="2:34" x14ac:dyDescent="0.25">
      <c r="B12" s="4" t="s">
        <v>12</v>
      </c>
      <c r="C12" s="3">
        <v>1705</v>
      </c>
      <c r="D12" s="4" t="s">
        <v>19</v>
      </c>
      <c r="E12" s="5" t="s">
        <v>21</v>
      </c>
      <c r="K12" t="s">
        <v>146</v>
      </c>
    </row>
    <row r="13" spans="2:34" x14ac:dyDescent="0.25">
      <c r="B13" s="4" t="s">
        <v>13</v>
      </c>
      <c r="C13" s="3">
        <v>9.81</v>
      </c>
      <c r="D13" s="4" t="s">
        <v>20</v>
      </c>
      <c r="E13" s="4"/>
      <c r="K13" t="s">
        <v>150</v>
      </c>
    </row>
    <row r="16" spans="2:34" x14ac:dyDescent="0.25">
      <c r="B16" s="19" t="s">
        <v>25</v>
      </c>
      <c r="C16" s="19"/>
      <c r="D16" s="19"/>
      <c r="E16" s="19"/>
    </row>
    <row r="17" spans="2:8" x14ac:dyDescent="0.25">
      <c r="B17" s="12" t="s">
        <v>2</v>
      </c>
      <c r="C17" s="12" t="s">
        <v>3</v>
      </c>
      <c r="D17" s="12" t="s">
        <v>4</v>
      </c>
      <c r="E17" s="12" t="s">
        <v>5</v>
      </c>
    </row>
    <row r="18" spans="2:8" x14ac:dyDescent="0.25">
      <c r="B18" s="4" t="s">
        <v>26</v>
      </c>
      <c r="C18" s="3">
        <v>2.6</v>
      </c>
      <c r="D18" s="4" t="s">
        <v>27</v>
      </c>
      <c r="E18" s="4"/>
      <c r="H18" t="s">
        <v>48</v>
      </c>
    </row>
    <row r="20" spans="2:8" x14ac:dyDescent="0.25">
      <c r="B20" s="20" t="s">
        <v>37</v>
      </c>
      <c r="C20" s="20"/>
      <c r="D20" s="20"/>
      <c r="E20" s="20"/>
    </row>
    <row r="21" spans="2:8" x14ac:dyDescent="0.25">
      <c r="B21" s="12" t="s">
        <v>2</v>
      </c>
      <c r="C21" s="12" t="s">
        <v>3</v>
      </c>
      <c r="D21" s="12" t="s">
        <v>4</v>
      </c>
      <c r="E21" s="12" t="s">
        <v>5</v>
      </c>
    </row>
    <row r="22" spans="2:8" x14ac:dyDescent="0.25">
      <c r="B22" s="4" t="s">
        <v>28</v>
      </c>
      <c r="C22" s="2">
        <v>0.25</v>
      </c>
      <c r="D22" s="4" t="s">
        <v>29</v>
      </c>
      <c r="E22" s="11" t="s">
        <v>44</v>
      </c>
    </row>
    <row r="23" spans="2:8" x14ac:dyDescent="0.25">
      <c r="B23" s="4" t="s">
        <v>30</v>
      </c>
      <c r="C23" s="2">
        <v>131325</v>
      </c>
      <c r="D23" s="4" t="s">
        <v>31</v>
      </c>
      <c r="E23" s="11" t="s">
        <v>44</v>
      </c>
    </row>
    <row r="24" spans="2:8" x14ac:dyDescent="0.25">
      <c r="B24" s="4" t="s">
        <v>32</v>
      </c>
      <c r="C24" s="2">
        <v>0.20319999999999999</v>
      </c>
      <c r="D24" s="4" t="s">
        <v>29</v>
      </c>
      <c r="E24" s="11" t="s">
        <v>44</v>
      </c>
    </row>
    <row r="25" spans="2:8" x14ac:dyDescent="0.25">
      <c r="B25" s="4" t="s">
        <v>33</v>
      </c>
      <c r="C25" s="9">
        <f>PI()*(C24^2)/4</f>
        <v>3.2429278662239852E-2</v>
      </c>
      <c r="D25" s="4" t="s">
        <v>35</v>
      </c>
      <c r="E25" s="4"/>
    </row>
    <row r="26" spans="2:8" x14ac:dyDescent="0.25">
      <c r="B26" s="4" t="s">
        <v>34</v>
      </c>
      <c r="C26" s="9">
        <f>(C18/3600)/C25</f>
        <v>2.2270684147630043E-2</v>
      </c>
      <c r="D26" s="4" t="s">
        <v>36</v>
      </c>
      <c r="E26" s="4"/>
    </row>
    <row r="28" spans="2:8" x14ac:dyDescent="0.25">
      <c r="B28" s="20" t="s">
        <v>38</v>
      </c>
      <c r="C28" s="20"/>
      <c r="D28" s="20"/>
      <c r="E28" s="20"/>
    </row>
    <row r="29" spans="2:8" x14ac:dyDescent="0.25">
      <c r="B29" s="12" t="s">
        <v>2</v>
      </c>
      <c r="C29" s="12" t="s">
        <v>3</v>
      </c>
      <c r="D29" s="12" t="s">
        <v>4</v>
      </c>
      <c r="E29" s="12" t="s">
        <v>5</v>
      </c>
    </row>
    <row r="30" spans="2:8" x14ac:dyDescent="0.25">
      <c r="B30" s="4" t="s">
        <v>39</v>
      </c>
      <c r="C30" s="2">
        <v>1</v>
      </c>
      <c r="D30" s="4" t="s">
        <v>29</v>
      </c>
      <c r="E30" s="11" t="s">
        <v>44</v>
      </c>
    </row>
    <row r="31" spans="2:8" x14ac:dyDescent="0.25">
      <c r="B31" s="4" t="s">
        <v>40</v>
      </c>
      <c r="C31" s="2">
        <v>131325</v>
      </c>
      <c r="D31" s="4" t="s">
        <v>31</v>
      </c>
      <c r="E31" s="11" t="s">
        <v>44</v>
      </c>
    </row>
    <row r="32" spans="2:8" x14ac:dyDescent="0.25">
      <c r="B32" s="4" t="s">
        <v>41</v>
      </c>
      <c r="C32" s="2">
        <v>6.3499999999999997E-3</v>
      </c>
      <c r="D32" s="4" t="s">
        <v>29</v>
      </c>
      <c r="E32" s="11" t="s">
        <v>44</v>
      </c>
    </row>
    <row r="33" spans="2:32" x14ac:dyDescent="0.25">
      <c r="B33" s="4" t="s">
        <v>42</v>
      </c>
      <c r="C33" s="9">
        <f>PI()*(C32^2)/4</f>
        <v>3.1669217443593606E-5</v>
      </c>
      <c r="D33" s="4" t="s">
        <v>35</v>
      </c>
      <c r="E33" s="4"/>
    </row>
    <row r="34" spans="2:32" x14ac:dyDescent="0.25">
      <c r="B34" s="4" t="s">
        <v>43</v>
      </c>
      <c r="C34" s="9">
        <f>(C18/3600)/C33</f>
        <v>22.805180567173164</v>
      </c>
      <c r="D34" s="4" t="s">
        <v>36</v>
      </c>
      <c r="E34" s="4"/>
    </row>
    <row r="37" spans="2:32" ht="21" x14ac:dyDescent="0.35">
      <c r="B37" s="21" t="s">
        <v>49</v>
      </c>
      <c r="C37" s="21"/>
      <c r="D37" s="21"/>
      <c r="E37" s="21"/>
      <c r="F37" s="21"/>
      <c r="G37" s="21"/>
      <c r="H37" s="21"/>
      <c r="I37" s="21"/>
    </row>
    <row r="39" spans="2:32" x14ac:dyDescent="0.25">
      <c r="B39" s="19" t="s">
        <v>50</v>
      </c>
      <c r="C39" s="19"/>
      <c r="D39" s="19"/>
      <c r="E39" s="19"/>
      <c r="F39" s="19"/>
      <c r="G39" s="19"/>
      <c r="S39" t="s">
        <v>141</v>
      </c>
    </row>
    <row r="40" spans="2:32" x14ac:dyDescent="0.25">
      <c r="B40" s="12" t="s">
        <v>52</v>
      </c>
      <c r="C40" s="12" t="s">
        <v>51</v>
      </c>
      <c r="D40" s="12" t="s">
        <v>53</v>
      </c>
      <c r="E40" s="22" t="s">
        <v>55</v>
      </c>
      <c r="F40" s="22"/>
      <c r="G40" s="12" t="s">
        <v>54</v>
      </c>
      <c r="H40" s="12" t="s">
        <v>6</v>
      </c>
      <c r="AF40" t="s">
        <v>149</v>
      </c>
    </row>
    <row r="41" spans="2:32" x14ac:dyDescent="0.25">
      <c r="B41" s="4" t="s">
        <v>56</v>
      </c>
      <c r="C41" s="4" t="s">
        <v>64</v>
      </c>
      <c r="D41" s="4" t="s">
        <v>74</v>
      </c>
      <c r="E41" s="23" t="s">
        <v>80</v>
      </c>
      <c r="F41" s="23"/>
      <c r="G41" s="24" t="s">
        <v>84</v>
      </c>
      <c r="H41" s="4" t="s">
        <v>85</v>
      </c>
    </row>
    <row r="42" spans="2:32" x14ac:dyDescent="0.25">
      <c r="B42" s="4" t="s">
        <v>57</v>
      </c>
      <c r="C42" s="4" t="s">
        <v>65</v>
      </c>
      <c r="D42" s="4" t="s">
        <v>73</v>
      </c>
      <c r="E42" s="23" t="s">
        <v>80</v>
      </c>
      <c r="F42" s="23"/>
      <c r="G42" s="23"/>
      <c r="H42" s="4" t="s">
        <v>85</v>
      </c>
    </row>
    <row r="43" spans="2:32" x14ac:dyDescent="0.25">
      <c r="B43" s="4" t="s">
        <v>58</v>
      </c>
      <c r="C43" s="4" t="s">
        <v>66</v>
      </c>
      <c r="D43" s="4" t="s">
        <v>72</v>
      </c>
      <c r="E43" s="23" t="s">
        <v>79</v>
      </c>
      <c r="F43" s="23"/>
      <c r="G43" s="23"/>
      <c r="H43" s="4" t="s">
        <v>85</v>
      </c>
    </row>
    <row r="44" spans="2:32" x14ac:dyDescent="0.25">
      <c r="B44" s="4" t="s">
        <v>59</v>
      </c>
      <c r="C44" s="4" t="s">
        <v>67</v>
      </c>
      <c r="D44" s="4" t="s">
        <v>75</v>
      </c>
      <c r="E44" s="23" t="s">
        <v>81</v>
      </c>
      <c r="F44" s="23"/>
      <c r="G44" s="23"/>
      <c r="H44" s="4" t="s">
        <v>85</v>
      </c>
    </row>
    <row r="45" spans="2:32" x14ac:dyDescent="0.25">
      <c r="B45" s="4" t="s">
        <v>60</v>
      </c>
      <c r="C45" s="4" t="s">
        <v>68</v>
      </c>
      <c r="D45" s="4" t="s">
        <v>76</v>
      </c>
      <c r="E45" s="23" t="s">
        <v>82</v>
      </c>
      <c r="F45" s="23"/>
      <c r="G45" s="23"/>
      <c r="H45" s="4" t="s">
        <v>85</v>
      </c>
    </row>
    <row r="46" spans="2:32" x14ac:dyDescent="0.25">
      <c r="B46" s="4" t="s">
        <v>61</v>
      </c>
      <c r="C46" s="4" t="s">
        <v>69</v>
      </c>
      <c r="D46" s="4" t="s">
        <v>76</v>
      </c>
      <c r="E46" s="23" t="s">
        <v>82</v>
      </c>
      <c r="F46" s="23"/>
      <c r="G46" s="23"/>
      <c r="H46" s="4" t="s">
        <v>85</v>
      </c>
    </row>
    <row r="47" spans="2:32" x14ac:dyDescent="0.25">
      <c r="B47" s="4" t="s">
        <v>62</v>
      </c>
      <c r="C47" s="4" t="s">
        <v>70</v>
      </c>
      <c r="D47" s="4" t="s">
        <v>77</v>
      </c>
      <c r="E47" s="23" t="s">
        <v>81</v>
      </c>
      <c r="F47" s="23"/>
      <c r="G47" s="23"/>
      <c r="H47" s="4" t="s">
        <v>85</v>
      </c>
    </row>
    <row r="48" spans="2:32" x14ac:dyDescent="0.25">
      <c r="B48" s="4" t="s">
        <v>63</v>
      </c>
      <c r="C48" s="4" t="s">
        <v>71</v>
      </c>
      <c r="D48" s="4" t="s">
        <v>78</v>
      </c>
      <c r="E48" s="23" t="s">
        <v>83</v>
      </c>
      <c r="F48" s="23"/>
      <c r="G48" s="23"/>
      <c r="H48" s="4" t="s">
        <v>86</v>
      </c>
    </row>
    <row r="51" spans="2:13" x14ac:dyDescent="0.25">
      <c r="B51" s="19" t="s">
        <v>87</v>
      </c>
      <c r="C51" s="19"/>
      <c r="D51" s="19"/>
    </row>
    <row r="52" spans="2:13" x14ac:dyDescent="0.25">
      <c r="B52" s="12" t="s">
        <v>52</v>
      </c>
      <c r="C52" s="12" t="s">
        <v>89</v>
      </c>
      <c r="D52" s="12" t="s">
        <v>88</v>
      </c>
      <c r="E52" s="13" t="s">
        <v>90</v>
      </c>
      <c r="F52" s="13" t="s">
        <v>91</v>
      </c>
      <c r="G52" s="13" t="s">
        <v>92</v>
      </c>
      <c r="H52" s="13" t="s">
        <v>93</v>
      </c>
      <c r="I52" s="13" t="s">
        <v>94</v>
      </c>
      <c r="J52" s="13" t="s">
        <v>95</v>
      </c>
      <c r="K52" s="13" t="s">
        <v>96</v>
      </c>
      <c r="L52" s="13" t="s">
        <v>97</v>
      </c>
      <c r="M52" s="13" t="s">
        <v>6</v>
      </c>
    </row>
    <row r="53" spans="2:13" x14ac:dyDescent="0.25">
      <c r="B53" s="4" t="s">
        <v>56</v>
      </c>
      <c r="C53" s="2">
        <v>1</v>
      </c>
      <c r="D53" s="2">
        <v>2.7799999999999998E-2</v>
      </c>
      <c r="E53" s="2">
        <v>1.5E-5</v>
      </c>
      <c r="F53" s="9">
        <f>E53/D53</f>
        <v>5.395683453237411E-4</v>
      </c>
      <c r="G53" s="9">
        <f>($C$18/3600)*4/(PI()*D53^2)</f>
        <v>1.1898476960558977</v>
      </c>
      <c r="H53" s="9">
        <f>$C$9*D53*G53/$C$10</f>
        <v>29032.407235824168</v>
      </c>
      <c r="I53" s="9" t="str">
        <f>IF(H53&lt;2000, "Laminar", IF(H53&gt;4000, "Turbulent", "Transitional"))</f>
        <v>Turbulent</v>
      </c>
      <c r="J53" s="9" cm="1">
        <f t="array" ref="J53">IF(AND(H53&gt;5000,H53&lt;10^8,F53&gt;10^-6,F53&lt;10^-2), 0.25/(LOG10((F53/3.7)+5.74/(H53^0.9))^2), IF(H53&lt;2000, 64/H53, Transition Zone))</f>
        <v>2.5100322848120325E-2</v>
      </c>
      <c r="K53" s="9">
        <f>J53*C53/D53</f>
        <v>0.90288931108346504</v>
      </c>
      <c r="L53" s="9">
        <f>(K53*G53^2)/(2*$C$13)</f>
        <v>6.5150575534843241E-2</v>
      </c>
      <c r="M53" s="4"/>
    </row>
    <row r="54" spans="2:13" x14ac:dyDescent="0.25">
      <c r="B54" s="4" t="s">
        <v>57</v>
      </c>
      <c r="C54" s="2">
        <v>1.9</v>
      </c>
      <c r="D54" s="2">
        <v>2.2499999999999999E-2</v>
      </c>
      <c r="E54" s="2">
        <v>1.5E-5</v>
      </c>
      <c r="F54" s="9">
        <f t="shared" ref="F54:F60" si="0">E54/D54</f>
        <v>6.6666666666666675E-4</v>
      </c>
      <c r="G54" s="9">
        <f>($C$18/3600)*4/(PI()*D54^2)</f>
        <v>1.8164185549033875</v>
      </c>
      <c r="H54" s="9">
        <f>$C$9*D54*G54/$C$10</f>
        <v>35871.152051373858</v>
      </c>
      <c r="I54" s="9" t="str">
        <f>IF(H54&lt;2000, "Laminar", IF(H54&gt;4000, "Turbulent", "Transitional"))</f>
        <v>Turbulent</v>
      </c>
      <c r="J54" s="9" cm="1">
        <f t="array" ref="J54">IF(AND(H54&gt;5000,H54&lt;10^8,F54&gt;10^-6,F54&lt;10^-2), 0.25/(LOG10((F54/3.7)+5.74/(H54^0.9))^2), IF(H54&lt;2000, 64/H54, Transition Zone))</f>
        <v>2.4476207379818021E-2</v>
      </c>
      <c r="K54" s="9">
        <f>J54*C54/D54</f>
        <v>2.0668797342957439</v>
      </c>
      <c r="L54" s="9">
        <f>(K54*G54^2)/(2*$C$13)</f>
        <v>0.34757462527697791</v>
      </c>
      <c r="M54" s="4"/>
    </row>
    <row r="55" spans="2:13" x14ac:dyDescent="0.25">
      <c r="B55" s="4" t="s">
        <v>58</v>
      </c>
      <c r="C55" s="4"/>
      <c r="D55" s="2">
        <v>2.7799999999999998E-2</v>
      </c>
      <c r="E55" s="2">
        <v>1.5E-5</v>
      </c>
      <c r="F55" s="9">
        <f t="shared" si="0"/>
        <v>5.395683453237411E-4</v>
      </c>
      <c r="G55" s="9">
        <f t="shared" ref="G55:G60" si="1">($C$18/3600)*4/(PI()*D55^2)</f>
        <v>1.1898476960558977</v>
      </c>
      <c r="H55" s="9">
        <f t="shared" ref="H55:H60" si="2">$C$9*D55*G55/$C$10</f>
        <v>29032.407235824168</v>
      </c>
      <c r="I55" s="9" t="str">
        <f t="shared" ref="I55:I60" si="3">IF(H55&lt;2000, "Laminar", IF(H55&gt;4000, "Turbulent", "Transitional"))</f>
        <v>Turbulent</v>
      </c>
      <c r="J55" s="9" cm="1">
        <f t="array" ref="J55">IF(AND(H55&gt;5000,H55&lt;10^8,F55&gt;10^-6,F55&lt;10^-2), 0.25/(LOG10((F55/3.7)+5.74/(H55^0.9))^2), IF(H55&lt;2000, 64/H55, Transition Zone))</f>
        <v>2.5100322848120325E-2</v>
      </c>
      <c r="K55" s="2">
        <v>0.5</v>
      </c>
      <c r="L55" s="9">
        <f t="shared" ref="L55:L60" si="4">(K55*G55^2)/(2*$C$13)</f>
        <v>3.6078938323382465E-2</v>
      </c>
      <c r="M55" s="4"/>
    </row>
    <row r="56" spans="2:13" x14ac:dyDescent="0.25">
      <c r="B56" s="4" t="s">
        <v>59</v>
      </c>
      <c r="C56" s="4"/>
      <c r="D56" s="2">
        <v>2.7799999999999998E-2</v>
      </c>
      <c r="E56" s="2">
        <v>1.5E-5</v>
      </c>
      <c r="F56" s="9">
        <f t="shared" si="0"/>
        <v>5.395683453237411E-4</v>
      </c>
      <c r="G56" s="9">
        <f t="shared" si="1"/>
        <v>1.1898476960558977</v>
      </c>
      <c r="H56" s="9">
        <f t="shared" si="2"/>
        <v>29032.407235824168</v>
      </c>
      <c r="I56" s="9" t="str">
        <f t="shared" si="3"/>
        <v>Turbulent</v>
      </c>
      <c r="J56" s="9" cm="1">
        <f t="array" ref="J56">IF(AND(H56&gt;5000,H56&lt;10^8,F56&gt;10^-6,F56&lt;10^-2), 0.25/(LOG10((F56/3.7)+5.74/(H56^0.9))^2), IF(H56&lt;2000, 64/H56, Transition Zone))</f>
        <v>2.5100322848120325E-2</v>
      </c>
      <c r="K56" s="9">
        <f>30*J56</f>
        <v>0.7530096854436098</v>
      </c>
      <c r="L56" s="9">
        <f t="shared" si="4"/>
        <v>5.4335579996059265E-2</v>
      </c>
      <c r="M56" s="4"/>
    </row>
    <row r="57" spans="2:13" x14ac:dyDescent="0.25">
      <c r="B57" s="4" t="s">
        <v>60</v>
      </c>
      <c r="C57" s="4"/>
      <c r="D57" s="2">
        <v>2.2499999999999999E-2</v>
      </c>
      <c r="E57" s="2">
        <v>1.5E-5</v>
      </c>
      <c r="F57" s="9">
        <f t="shared" si="0"/>
        <v>6.6666666666666675E-4</v>
      </c>
      <c r="G57" s="9">
        <f t="shared" si="1"/>
        <v>1.8164185549033875</v>
      </c>
      <c r="H57" s="9">
        <f t="shared" si="2"/>
        <v>35871.152051373858</v>
      </c>
      <c r="I57" s="9" t="str">
        <f t="shared" si="3"/>
        <v>Turbulent</v>
      </c>
      <c r="J57" s="9" cm="1">
        <f t="array" ref="J57">IF(AND(H57&gt;5000,H57&lt;10^8,F57&gt;10^-6,F57&lt;10^-2), 0.25/(LOG10((F57/3.7)+5.74/(H57^0.9))^2), IF(H57&lt;2000, 64/H57, Transition Zone))</f>
        <v>2.4476207379818021E-2</v>
      </c>
      <c r="K57" s="9">
        <f>20*J57</f>
        <v>0.48952414759636043</v>
      </c>
      <c r="L57" s="9">
        <f t="shared" si="4"/>
        <v>8.2320305986652659E-2</v>
      </c>
      <c r="M57" s="4"/>
    </row>
    <row r="58" spans="2:13" x14ac:dyDescent="0.25">
      <c r="B58" s="4" t="s">
        <v>61</v>
      </c>
      <c r="C58" s="4"/>
      <c r="D58" s="2">
        <v>2.2499999999999999E-2</v>
      </c>
      <c r="E58" s="2">
        <v>1.5E-5</v>
      </c>
      <c r="F58" s="9">
        <f t="shared" si="0"/>
        <v>6.6666666666666675E-4</v>
      </c>
      <c r="G58" s="9">
        <f t="shared" si="1"/>
        <v>1.8164185549033875</v>
      </c>
      <c r="H58" s="9">
        <f t="shared" si="2"/>
        <v>35871.152051373858</v>
      </c>
      <c r="I58" s="9" t="str">
        <f t="shared" si="3"/>
        <v>Turbulent</v>
      </c>
      <c r="J58" s="9" cm="1">
        <f t="array" ref="J58">IF(AND(H58&gt;5000,H58&lt;10^8,F58&gt;10^-6,F58&lt;10^-2), 0.25/(LOG10((F58/3.7)+5.74/(H58^0.9))^2), IF(H58&lt;2000, 64/H58, Transition Zone))</f>
        <v>2.4476207379818021E-2</v>
      </c>
      <c r="K58" s="9">
        <f>20*J58</f>
        <v>0.48952414759636043</v>
      </c>
      <c r="L58" s="9">
        <f t="shared" si="4"/>
        <v>8.2320305986652659E-2</v>
      </c>
      <c r="M58" s="4"/>
    </row>
    <row r="59" spans="2:13" x14ac:dyDescent="0.25">
      <c r="B59" s="4" t="s">
        <v>62</v>
      </c>
      <c r="C59" s="4"/>
      <c r="D59" s="2">
        <v>2.2499999999999999E-2</v>
      </c>
      <c r="E59" s="2">
        <v>1.5E-5</v>
      </c>
      <c r="F59" s="9">
        <f t="shared" si="0"/>
        <v>6.6666666666666675E-4</v>
      </c>
      <c r="G59" s="9">
        <f t="shared" si="1"/>
        <v>1.8164185549033875</v>
      </c>
      <c r="H59" s="9">
        <f t="shared" si="2"/>
        <v>35871.152051373858</v>
      </c>
      <c r="I59" s="9" t="str">
        <f t="shared" si="3"/>
        <v>Turbulent</v>
      </c>
      <c r="J59" s="9" cm="1">
        <f t="array" ref="J59">IF(AND(H59&gt;5000,H59&lt;10^8,F59&gt;10^-6,F59&lt;10^-2), 0.25/(LOG10((F59/3.7)+5.74/(H59^0.9))^2), IF(H59&lt;2000, 64/H59, Transition Zone))</f>
        <v>2.4476207379818021E-2</v>
      </c>
      <c r="K59" s="9">
        <f>30*J59</f>
        <v>0.73428622139454058</v>
      </c>
      <c r="L59" s="9">
        <f t="shared" si="4"/>
        <v>0.123480458979979</v>
      </c>
      <c r="M59" s="4"/>
    </row>
    <row r="60" spans="2:13" x14ac:dyDescent="0.25">
      <c r="B60" s="4" t="s">
        <v>63</v>
      </c>
      <c r="C60" s="4"/>
      <c r="D60" s="2">
        <f>C32</f>
        <v>6.3499999999999997E-3</v>
      </c>
      <c r="E60" s="2">
        <v>1.5E-5</v>
      </c>
      <c r="F60" s="9">
        <f t="shared" si="0"/>
        <v>2.3622047244094488E-3</v>
      </c>
      <c r="G60" s="9">
        <f t="shared" si="1"/>
        <v>22.805180567173164</v>
      </c>
      <c r="H60" s="9">
        <f t="shared" si="2"/>
        <v>127102.50726864752</v>
      </c>
      <c r="I60" s="9" t="str">
        <f t="shared" si="3"/>
        <v>Turbulent</v>
      </c>
      <c r="J60" s="9" cm="1">
        <f t="array" ref="J60">IF(AND(H60&gt;5000,H60&lt;10^8,F60&gt;10^-6,F60&lt;10^-2), 0.25/(LOG10((F60/3.7)+5.74/(H60^0.9))^2), IF(H60&lt;2000, 64/H60, Transition Zone))</f>
        <v>2.5925993784396178E-2</v>
      </c>
      <c r="K60" s="9">
        <f>((2/(C9*G60^2))*(1122300000000*(C18/3600)^2-(187490000*(C18/3600))+24660))-1</f>
        <v>0.82857383340218838</v>
      </c>
      <c r="L60" s="9">
        <f t="shared" si="4"/>
        <v>21.963383332865039</v>
      </c>
      <c r="M60" s="4"/>
    </row>
    <row r="61" spans="2:13" x14ac:dyDescent="0.25">
      <c r="K61" s="4" t="s">
        <v>101</v>
      </c>
      <c r="L61" s="9">
        <f>SUM(L53:L60)</f>
        <v>22.754644122949585</v>
      </c>
    </row>
    <row r="63" spans="2:13" x14ac:dyDescent="0.25">
      <c r="B63" s="19" t="s">
        <v>98</v>
      </c>
      <c r="C63" s="19"/>
    </row>
    <row r="64" spans="2:13" x14ac:dyDescent="0.25">
      <c r="B64" s="4" t="s">
        <v>2</v>
      </c>
      <c r="C64" s="4" t="s">
        <v>63</v>
      </c>
    </row>
    <row r="65" spans="2:16" x14ac:dyDescent="0.25">
      <c r="B65" s="4" t="s">
        <v>51</v>
      </c>
      <c r="C65" s="2" t="s">
        <v>71</v>
      </c>
    </row>
    <row r="66" spans="2:16" x14ac:dyDescent="0.25">
      <c r="B66" s="19" t="s">
        <v>99</v>
      </c>
      <c r="C66" s="19"/>
      <c r="D66" s="19"/>
    </row>
    <row r="67" spans="2:16" x14ac:dyDescent="0.25">
      <c r="B67" s="12" t="s">
        <v>100</v>
      </c>
      <c r="C67" s="12" t="s">
        <v>119</v>
      </c>
      <c r="D67" s="12" t="s">
        <v>6</v>
      </c>
    </row>
    <row r="68" spans="2:16" x14ac:dyDescent="0.25">
      <c r="B68" s="4">
        <v>2.1453999999999999E-4</v>
      </c>
      <c r="C68" s="4">
        <v>34473.800000000003</v>
      </c>
      <c r="D68" s="4" t="s">
        <v>141</v>
      </c>
    </row>
    <row r="69" spans="2:16" x14ac:dyDescent="0.25">
      <c r="B69" s="4">
        <v>2.5240000000000001E-4</v>
      </c>
      <c r="C69" s="4">
        <v>48263.32</v>
      </c>
      <c r="D69" s="4" t="s">
        <v>141</v>
      </c>
    </row>
    <row r="70" spans="2:16" x14ac:dyDescent="0.25">
      <c r="B70" s="4">
        <v>2.9657000000000002E-4</v>
      </c>
      <c r="C70" s="4">
        <v>68947.600000000006</v>
      </c>
      <c r="D70" s="4" t="s">
        <v>141</v>
      </c>
      <c r="P70" t="s">
        <v>145</v>
      </c>
    </row>
    <row r="71" spans="2:16" x14ac:dyDescent="0.25">
      <c r="B71" s="4">
        <v>4.1015000000000002E-4</v>
      </c>
      <c r="C71" s="4">
        <v>137895.20000000001</v>
      </c>
      <c r="D71" s="4" t="s">
        <v>141</v>
      </c>
    </row>
    <row r="72" spans="2:16" x14ac:dyDescent="0.25">
      <c r="B72" s="4">
        <v>5.6159000000000005E-4</v>
      </c>
      <c r="C72" s="4">
        <v>275790.40000000002</v>
      </c>
      <c r="D72" s="4" t="s">
        <v>141</v>
      </c>
    </row>
    <row r="73" spans="2:16" x14ac:dyDescent="0.25">
      <c r="B73" s="4">
        <v>7.7610000000000005E-4</v>
      </c>
      <c r="C73" s="4">
        <v>551580.80000000005</v>
      </c>
      <c r="D73" s="4" t="s">
        <v>141</v>
      </c>
    </row>
    <row r="74" spans="2:16" x14ac:dyDescent="0.25">
      <c r="B74" s="4">
        <v>8.5815999999999996E-4</v>
      </c>
      <c r="C74" s="4">
        <v>689476</v>
      </c>
      <c r="D74" s="4" t="s">
        <v>141</v>
      </c>
    </row>
    <row r="75" spans="2:16" x14ac:dyDescent="0.25">
      <c r="B75" s="4">
        <v>1.03484E-3</v>
      </c>
      <c r="C75" s="4">
        <v>1034214</v>
      </c>
      <c r="D75" s="4" t="s">
        <v>141</v>
      </c>
    </row>
    <row r="83" spans="2:5" ht="21" x14ac:dyDescent="0.35">
      <c r="B83" s="21" t="s">
        <v>103</v>
      </c>
      <c r="C83" s="21"/>
      <c r="D83" s="21"/>
      <c r="E83" s="21"/>
    </row>
    <row r="85" spans="2:5" x14ac:dyDescent="0.25">
      <c r="B85" s="19" t="s">
        <v>102</v>
      </c>
      <c r="C85" s="19"/>
      <c r="D85" s="19"/>
    </row>
    <row r="86" spans="2:5" x14ac:dyDescent="0.25">
      <c r="B86" s="10" t="s">
        <v>2</v>
      </c>
      <c r="C86" s="10" t="s">
        <v>3</v>
      </c>
      <c r="D86" s="10" t="s">
        <v>4</v>
      </c>
      <c r="E86" s="10" t="s">
        <v>6</v>
      </c>
    </row>
    <row r="87" spans="2:5" x14ac:dyDescent="0.25">
      <c r="B87" s="4" t="s">
        <v>104</v>
      </c>
      <c r="C87" s="9">
        <f>(C30-C22)+(1/(C9*C13))*(C31-C23)+(1/(2*C13))*((C34^2)-(C26^2))+L61</f>
        <v>50.012073517343069</v>
      </c>
      <c r="D87" s="4" t="s">
        <v>29</v>
      </c>
      <c r="E87" s="4" t="s">
        <v>145</v>
      </c>
    </row>
    <row r="89" spans="2:5" x14ac:dyDescent="0.25">
      <c r="B89" s="19" t="s">
        <v>105</v>
      </c>
      <c r="C89" s="19"/>
      <c r="D89" s="19"/>
    </row>
    <row r="90" spans="2:5" x14ac:dyDescent="0.25">
      <c r="B90" s="10" t="s">
        <v>2</v>
      </c>
      <c r="C90" s="10" t="s">
        <v>3</v>
      </c>
      <c r="D90" s="10" t="s">
        <v>4</v>
      </c>
      <c r="E90" s="10" t="s">
        <v>6</v>
      </c>
    </row>
    <row r="91" spans="2:5" x14ac:dyDescent="0.25">
      <c r="B91" s="4" t="s">
        <v>106</v>
      </c>
      <c r="C91" s="9">
        <f>((C23-C12)/(C9*C13))+C22-L53-L55-L56</f>
        <v>13.331176584044767</v>
      </c>
      <c r="D91" s="4" t="s">
        <v>29</v>
      </c>
      <c r="E91" s="4" t="s">
        <v>145</v>
      </c>
    </row>
    <row r="95" spans="2:5" ht="21" x14ac:dyDescent="0.35">
      <c r="B95" s="21" t="s">
        <v>107</v>
      </c>
      <c r="C95" s="21"/>
      <c r="D95" s="21"/>
      <c r="E95" s="21"/>
    </row>
    <row r="97" spans="2:4" x14ac:dyDescent="0.25">
      <c r="B97" s="19" t="s">
        <v>108</v>
      </c>
      <c r="C97" s="19"/>
    </row>
    <row r="98" spans="2:4" x14ac:dyDescent="0.25">
      <c r="B98" s="10" t="s">
        <v>112</v>
      </c>
      <c r="C98" s="10" t="s">
        <v>109</v>
      </c>
      <c r="D98" s="10" t="s">
        <v>6</v>
      </c>
    </row>
    <row r="99" spans="2:4" x14ac:dyDescent="0.25">
      <c r="B99" s="3">
        <v>1E-3</v>
      </c>
      <c r="C99" s="14">
        <v>3.2629814316704557</v>
      </c>
      <c r="D99" s="29" t="s">
        <v>147</v>
      </c>
    </row>
    <row r="100" spans="2:4" x14ac:dyDescent="0.25">
      <c r="B100" s="3">
        <v>0.6</v>
      </c>
      <c r="C100" s="14">
        <v>3.3183023903403912</v>
      </c>
      <c r="D100" s="30"/>
    </row>
    <row r="101" spans="2:4" x14ac:dyDescent="0.25">
      <c r="B101" s="3">
        <v>0.8</v>
      </c>
      <c r="C101" s="14">
        <v>4.7685003545912643</v>
      </c>
      <c r="D101" s="30"/>
    </row>
    <row r="102" spans="2:4" x14ac:dyDescent="0.25">
      <c r="B102" s="3">
        <v>1</v>
      </c>
      <c r="C102" s="14">
        <v>6.9345078926324799</v>
      </c>
      <c r="D102" s="30"/>
    </row>
    <row r="103" spans="2:4" x14ac:dyDescent="0.25">
      <c r="B103" s="3">
        <v>1.2</v>
      </c>
      <c r="C103" s="14">
        <v>9.8160810641995617</v>
      </c>
      <c r="D103" s="30"/>
    </row>
    <row r="104" spans="2:4" x14ac:dyDescent="0.25">
      <c r="B104" s="3">
        <v>1.4</v>
      </c>
      <c r="C104" s="14">
        <v>13.413043361892349</v>
      </c>
      <c r="D104" s="30"/>
    </row>
    <row r="105" spans="2:4" x14ac:dyDescent="0.25">
      <c r="B105" s="3">
        <v>1.6</v>
      </c>
      <c r="C105" s="14">
        <v>17.72526052078301</v>
      </c>
      <c r="D105" s="30"/>
    </row>
    <row r="106" spans="2:4" x14ac:dyDescent="0.25">
      <c r="B106" s="3">
        <v>1.8</v>
      </c>
      <c r="C106" s="14">
        <v>22.752626741120967</v>
      </c>
      <c r="D106" s="30"/>
    </row>
    <row r="107" spans="2:4" x14ac:dyDescent="0.25">
      <c r="B107" s="3">
        <v>2</v>
      </c>
      <c r="C107" s="14">
        <v>28.495056424903858</v>
      </c>
      <c r="D107" s="30"/>
    </row>
    <row r="108" spans="2:4" x14ac:dyDescent="0.25">
      <c r="B108" s="3">
        <v>2.4</v>
      </c>
      <c r="C108" s="14">
        <v>42.124834750651473</v>
      </c>
      <c r="D108" s="30"/>
    </row>
    <row r="109" spans="2:4" x14ac:dyDescent="0.25">
      <c r="B109" s="3">
        <v>2.6</v>
      </c>
      <c r="C109" s="14">
        <v>50.012073517343069</v>
      </c>
      <c r="D109" s="31"/>
    </row>
    <row r="121" spans="2:4" x14ac:dyDescent="0.25">
      <c r="B121" s="19" t="s">
        <v>110</v>
      </c>
      <c r="C121" s="19"/>
    </row>
    <row r="122" spans="2:4" x14ac:dyDescent="0.25">
      <c r="B122" s="10" t="s">
        <v>112</v>
      </c>
      <c r="C122" s="10" t="s">
        <v>111</v>
      </c>
      <c r="D122" s="10" t="s">
        <v>6</v>
      </c>
    </row>
    <row r="123" spans="2:4" x14ac:dyDescent="0.25">
      <c r="B123" s="3">
        <v>1E-3</v>
      </c>
      <c r="C123" s="14">
        <v>13.486737636462479</v>
      </c>
      <c r="D123" s="29" t="s">
        <v>148</v>
      </c>
    </row>
    <row r="124" spans="2:4" x14ac:dyDescent="0.25">
      <c r="B124" s="3">
        <v>0.6</v>
      </c>
      <c r="C124" s="14">
        <v>13.475828990842947</v>
      </c>
      <c r="D124" s="30"/>
    </row>
    <row r="125" spans="2:4" x14ac:dyDescent="0.25">
      <c r="B125" s="3">
        <v>0.8</v>
      </c>
      <c r="C125" s="14">
        <v>13.468524481055882</v>
      </c>
      <c r="D125" s="30"/>
    </row>
    <row r="126" spans="2:4" x14ac:dyDescent="0.25">
      <c r="B126" s="3">
        <v>1</v>
      </c>
      <c r="C126" s="14">
        <v>13.459550117619651</v>
      </c>
      <c r="D126" s="30"/>
    </row>
    <row r="127" spans="2:4" x14ac:dyDescent="0.25">
      <c r="B127" s="3">
        <v>1.2</v>
      </c>
      <c r="C127" s="14">
        <v>13.448949183656961</v>
      </c>
      <c r="D127" s="30"/>
    </row>
    <row r="128" spans="2:4" x14ac:dyDescent="0.25">
      <c r="B128" s="3">
        <v>1.4</v>
      </c>
      <c r="C128" s="14">
        <v>13.436753425117443</v>
      </c>
      <c r="D128" s="30"/>
    </row>
    <row r="129" spans="2:5" x14ac:dyDescent="0.25">
      <c r="B129" s="3">
        <v>1.6</v>
      </c>
      <c r="C129" s="14">
        <v>13.422987297448957</v>
      </c>
      <c r="D129" s="30"/>
    </row>
    <row r="130" spans="2:5" x14ac:dyDescent="0.25">
      <c r="B130" s="3">
        <v>1.8</v>
      </c>
      <c r="C130" s="14">
        <v>13.407670300516189</v>
      </c>
      <c r="D130" s="30"/>
    </row>
    <row r="131" spans="2:5" x14ac:dyDescent="0.25">
      <c r="B131" s="3">
        <v>2</v>
      </c>
      <c r="C131" s="14">
        <v>13.390818386801635</v>
      </c>
      <c r="D131" s="30"/>
    </row>
    <row r="132" spans="2:5" x14ac:dyDescent="0.25">
      <c r="B132" s="3">
        <v>2.4</v>
      </c>
      <c r="C132" s="14">
        <v>13.352561035625701</v>
      </c>
      <c r="D132" s="30"/>
    </row>
    <row r="133" spans="2:5" x14ac:dyDescent="0.25">
      <c r="B133" s="3">
        <v>2.6</v>
      </c>
      <c r="C133" s="14">
        <v>13.331176584044767</v>
      </c>
      <c r="D133" s="31"/>
    </row>
    <row r="144" spans="2:5" ht="21" x14ac:dyDescent="0.35">
      <c r="B144" s="21" t="s">
        <v>113</v>
      </c>
      <c r="C144" s="21"/>
      <c r="D144" s="21"/>
      <c r="E144" s="21"/>
    </row>
    <row r="146" spans="2:4" x14ac:dyDescent="0.25">
      <c r="B146" s="4" t="s">
        <v>114</v>
      </c>
      <c r="C146" s="4" t="s">
        <v>115</v>
      </c>
    </row>
    <row r="147" spans="2:4" x14ac:dyDescent="0.25">
      <c r="B147" s="4" t="s">
        <v>116</v>
      </c>
      <c r="C147" s="4" t="s">
        <v>117</v>
      </c>
    </row>
    <row r="149" spans="2:4" x14ac:dyDescent="0.25">
      <c r="B149" s="19" t="s">
        <v>118</v>
      </c>
      <c r="C149" s="19"/>
    </row>
    <row r="150" spans="2:4" x14ac:dyDescent="0.25">
      <c r="B150" s="12" t="s">
        <v>120</v>
      </c>
      <c r="C150" s="12" t="s">
        <v>121</v>
      </c>
      <c r="D150" s="12" t="s">
        <v>6</v>
      </c>
    </row>
    <row r="151" spans="2:4" x14ac:dyDescent="0.25">
      <c r="B151" s="2">
        <v>0</v>
      </c>
      <c r="C151" s="2">
        <v>20.72</v>
      </c>
      <c r="D151" s="4" t="s">
        <v>149</v>
      </c>
    </row>
    <row r="152" spans="2:4" x14ac:dyDescent="0.25">
      <c r="B152" s="2">
        <v>0.46</v>
      </c>
      <c r="C152" s="2">
        <v>20.420000000000002</v>
      </c>
      <c r="D152" s="4" t="s">
        <v>149</v>
      </c>
    </row>
    <row r="153" spans="2:4" x14ac:dyDescent="0.25">
      <c r="B153" s="2">
        <v>0.92</v>
      </c>
      <c r="C153" s="2">
        <v>20.421600000000002</v>
      </c>
      <c r="D153" s="4" t="s">
        <v>149</v>
      </c>
    </row>
    <row r="154" spans="2:4" x14ac:dyDescent="0.25">
      <c r="B154" s="2">
        <v>1.38</v>
      </c>
      <c r="C154" s="2">
        <v>20.269200000000001</v>
      </c>
      <c r="D154" s="4" t="s">
        <v>149</v>
      </c>
    </row>
    <row r="155" spans="2:4" x14ac:dyDescent="0.25">
      <c r="B155" s="2">
        <v>1.84</v>
      </c>
      <c r="C155" s="2">
        <v>20.116800000000001</v>
      </c>
      <c r="D155" s="4" t="s">
        <v>149</v>
      </c>
    </row>
    <row r="156" spans="2:4" x14ac:dyDescent="0.25">
      <c r="B156" s="2">
        <v>2.2999999999999998</v>
      </c>
      <c r="C156" s="2">
        <v>19.812000000000001</v>
      </c>
      <c r="D156" s="4" t="s">
        <v>149</v>
      </c>
    </row>
    <row r="157" spans="2:4" x14ac:dyDescent="0.25">
      <c r="B157" s="2">
        <v>2.76</v>
      </c>
      <c r="C157" s="2">
        <v>19.507200000000001</v>
      </c>
      <c r="D157" s="4" t="s">
        <v>149</v>
      </c>
    </row>
    <row r="158" spans="2:4" x14ac:dyDescent="0.25">
      <c r="B158" s="2">
        <v>3.22</v>
      </c>
      <c r="C158" s="2">
        <v>19.202400000000001</v>
      </c>
      <c r="D158" s="4" t="s">
        <v>149</v>
      </c>
    </row>
    <row r="159" spans="2:4" x14ac:dyDescent="0.25">
      <c r="B159" s="2">
        <v>3.68</v>
      </c>
      <c r="C159" s="2">
        <v>18.897600000000001</v>
      </c>
      <c r="D159" s="4" t="s">
        <v>149</v>
      </c>
    </row>
    <row r="160" spans="2:4" x14ac:dyDescent="0.25">
      <c r="B160" s="2">
        <v>4.1399999999999997</v>
      </c>
      <c r="C160" s="2">
        <v>18.288</v>
      </c>
      <c r="D160" s="4" t="s">
        <v>149</v>
      </c>
    </row>
    <row r="161" spans="2:5" x14ac:dyDescent="0.25">
      <c r="B161" s="2">
        <v>4.5999999999999996</v>
      </c>
      <c r="C161" s="2">
        <v>17.9832</v>
      </c>
      <c r="D161" s="4" t="s">
        <v>149</v>
      </c>
    </row>
    <row r="162" spans="2:5" x14ac:dyDescent="0.25">
      <c r="B162" s="2">
        <v>6.9</v>
      </c>
      <c r="C162" s="2">
        <v>13.715999999999999</v>
      </c>
      <c r="D162" s="4" t="s">
        <v>149</v>
      </c>
    </row>
    <row r="163" spans="2:5" x14ac:dyDescent="0.25">
      <c r="B163" s="2">
        <v>9.1999999999999993</v>
      </c>
      <c r="C163" s="2">
        <v>8.5343999999999998</v>
      </c>
      <c r="D163" s="4" t="s">
        <v>149</v>
      </c>
    </row>
    <row r="164" spans="2:5" x14ac:dyDescent="0.25">
      <c r="B164" s="2">
        <v>9.89</v>
      </c>
      <c r="C164" s="2">
        <v>6.7055999999999996</v>
      </c>
      <c r="D164" s="4" t="s">
        <v>149</v>
      </c>
    </row>
    <row r="165" spans="2:5" x14ac:dyDescent="0.25">
      <c r="B165" s="2">
        <v>10.58</v>
      </c>
      <c r="C165" s="2">
        <v>3.3527999999999998</v>
      </c>
      <c r="D165" s="4" t="s">
        <v>149</v>
      </c>
    </row>
    <row r="168" spans="2:5" x14ac:dyDescent="0.25">
      <c r="B168" s="19" t="s">
        <v>122</v>
      </c>
      <c r="C168" s="19"/>
      <c r="D168" s="19"/>
    </row>
    <row r="169" spans="2:5" x14ac:dyDescent="0.25">
      <c r="B169" s="19" t="s">
        <v>126</v>
      </c>
      <c r="C169" s="19"/>
      <c r="D169" s="19"/>
    </row>
    <row r="170" spans="2:5" x14ac:dyDescent="0.25">
      <c r="B170" s="12" t="s">
        <v>123</v>
      </c>
      <c r="C170" s="12" t="s">
        <v>124</v>
      </c>
      <c r="D170" s="12" t="s">
        <v>125</v>
      </c>
      <c r="E170" s="12" t="s">
        <v>6</v>
      </c>
    </row>
    <row r="171" spans="2:5" x14ac:dyDescent="0.25">
      <c r="B171" s="9" cm="1">
        <f t="array" ref="B171:D171">LINEST(C99:C109,B99:B109^{1,2})</f>
        <v>8.9438921511486811</v>
      </c>
      <c r="C171" s="9">
        <v>-5.2739807118637172</v>
      </c>
      <c r="D171" s="9">
        <v>3.2657405472553087</v>
      </c>
      <c r="E171" s="4" t="s">
        <v>151</v>
      </c>
    </row>
    <row r="174" spans="2:5" x14ac:dyDescent="0.25">
      <c r="B174" s="19" t="s">
        <v>130</v>
      </c>
      <c r="C174" s="19"/>
      <c r="D174" s="19"/>
    </row>
    <row r="175" spans="2:5" x14ac:dyDescent="0.25">
      <c r="B175" s="12" t="s">
        <v>127</v>
      </c>
      <c r="C175" s="12" t="s">
        <v>128</v>
      </c>
      <c r="D175" s="12" t="s">
        <v>129</v>
      </c>
      <c r="E175" s="12" t="s">
        <v>6</v>
      </c>
    </row>
    <row r="176" spans="2:5" x14ac:dyDescent="0.25">
      <c r="B176" s="9" cm="1">
        <f t="array" ref="B176:D176">LINEST(C151:C165,B151:B165^{1,2})</f>
        <v>-0.16289991959368308</v>
      </c>
      <c r="C176" s="9">
        <v>0.17195997703640439</v>
      </c>
      <c r="D176" s="9">
        <v>20.419331281435795</v>
      </c>
      <c r="E176" s="4" t="s">
        <v>152</v>
      </c>
    </row>
    <row r="179" spans="2:5" x14ac:dyDescent="0.25">
      <c r="B179" s="19" t="s">
        <v>131</v>
      </c>
      <c r="C179" s="19"/>
    </row>
    <row r="180" spans="2:5" x14ac:dyDescent="0.25">
      <c r="B180" s="4" t="s">
        <v>132</v>
      </c>
      <c r="C180" s="9">
        <f>B171-B176</f>
        <v>9.1067920707423635</v>
      </c>
    </row>
    <row r="181" spans="2:5" x14ac:dyDescent="0.25">
      <c r="B181" s="4" t="s">
        <v>133</v>
      </c>
      <c r="C181" s="9">
        <f>C171-C176</f>
        <v>-5.4459406889001212</v>
      </c>
    </row>
    <row r="182" spans="2:5" x14ac:dyDescent="0.25">
      <c r="B182" s="4" t="s">
        <v>134</v>
      </c>
      <c r="C182" s="9">
        <f>D171-D176</f>
        <v>-17.153590734180487</v>
      </c>
    </row>
    <row r="184" spans="2:5" x14ac:dyDescent="0.25">
      <c r="B184" s="19" t="s">
        <v>135</v>
      </c>
      <c r="C184" s="19"/>
      <c r="D184" s="19"/>
    </row>
    <row r="185" spans="2:5" x14ac:dyDescent="0.25">
      <c r="B185" s="4" t="s">
        <v>52</v>
      </c>
      <c r="C185" s="4" t="s">
        <v>3</v>
      </c>
      <c r="D185" s="4" t="s">
        <v>4</v>
      </c>
      <c r="E185" s="4" t="s">
        <v>6</v>
      </c>
    </row>
    <row r="186" spans="2:5" x14ac:dyDescent="0.25">
      <c r="B186" s="4" t="s">
        <v>136</v>
      </c>
      <c r="C186" s="9">
        <f>(-C181+(SQRT((C181^2)-(C180*4*C182))))/(2*C180)</f>
        <v>1.7036422563378755</v>
      </c>
      <c r="D186" s="4" t="s">
        <v>27</v>
      </c>
      <c r="E186" s="4" t="s">
        <v>153</v>
      </c>
    </row>
    <row r="187" spans="2:5" x14ac:dyDescent="0.25">
      <c r="B187" s="4" t="s">
        <v>137</v>
      </c>
      <c r="C187" s="9">
        <f>(B171*C186^2)+(C171*C186)+D171</f>
        <v>20.239489336953167</v>
      </c>
      <c r="D187" s="4" t="s">
        <v>29</v>
      </c>
      <c r="E187" s="4"/>
    </row>
    <row r="190" spans="2:5" x14ac:dyDescent="0.25">
      <c r="B190" s="15" t="s">
        <v>138</v>
      </c>
    </row>
    <row r="191" spans="2:5" x14ac:dyDescent="0.25">
      <c r="B191" s="4" t="s">
        <v>112</v>
      </c>
      <c r="C191" s="4" t="s">
        <v>139</v>
      </c>
      <c r="D191" s="4" t="s">
        <v>6</v>
      </c>
    </row>
    <row r="192" spans="2:5" x14ac:dyDescent="0.25">
      <c r="B192" s="2">
        <v>0.90849884000000003</v>
      </c>
      <c r="C192" s="2">
        <v>2.4384000000000001</v>
      </c>
      <c r="D192" s="4" t="s">
        <v>149</v>
      </c>
    </row>
    <row r="193" spans="2:5" x14ac:dyDescent="0.25">
      <c r="B193" s="2">
        <v>3.6339953600000001</v>
      </c>
      <c r="C193" s="2">
        <v>3.048</v>
      </c>
      <c r="D193" s="4" t="s">
        <v>149</v>
      </c>
    </row>
    <row r="194" spans="2:5" x14ac:dyDescent="0.25">
      <c r="B194" s="2">
        <v>6.8137413000000002</v>
      </c>
      <c r="C194" s="2">
        <v>3.9624000000000001</v>
      </c>
      <c r="D194" s="4" t="s">
        <v>149</v>
      </c>
    </row>
    <row r="195" spans="2:5" x14ac:dyDescent="0.25">
      <c r="B195" s="2">
        <v>9.0849884000000003</v>
      </c>
      <c r="C195" s="2">
        <v>4.8766800000000003</v>
      </c>
      <c r="D195" s="4" t="s">
        <v>149</v>
      </c>
    </row>
    <row r="198" spans="2:5" x14ac:dyDescent="0.25">
      <c r="B198" s="25" t="s">
        <v>154</v>
      </c>
      <c r="C198" s="26"/>
      <c r="D198" s="26"/>
      <c r="E198" s="1"/>
    </row>
    <row r="199" spans="2:5" x14ac:dyDescent="0.25">
      <c r="B199" s="26"/>
      <c r="C199" s="26"/>
      <c r="D199" s="26"/>
    </row>
    <row r="200" spans="2:5" x14ac:dyDescent="0.25">
      <c r="B200" s="26"/>
      <c r="C200" s="26"/>
      <c r="D200" s="26"/>
    </row>
    <row r="201" spans="2:5" x14ac:dyDescent="0.25">
      <c r="B201" s="26"/>
      <c r="C201" s="26"/>
      <c r="D201" s="26"/>
    </row>
    <row r="202" spans="2:5" x14ac:dyDescent="0.25">
      <c r="B202" s="26"/>
      <c r="C202" s="26"/>
      <c r="D202" s="26"/>
    </row>
  </sheetData>
  <mergeCells count="37">
    <mergeCell ref="B198:D202"/>
    <mergeCell ref="B184:D184"/>
    <mergeCell ref="P5:X5"/>
    <mergeCell ref="D99:D109"/>
    <mergeCell ref="D123:D133"/>
    <mergeCell ref="B144:E144"/>
    <mergeCell ref="B149:C149"/>
    <mergeCell ref="B168:D168"/>
    <mergeCell ref="B169:D169"/>
    <mergeCell ref="B174:D174"/>
    <mergeCell ref="B179:C179"/>
    <mergeCell ref="B83:E83"/>
    <mergeCell ref="B85:D85"/>
    <mergeCell ref="B89:D89"/>
    <mergeCell ref="B95:E95"/>
    <mergeCell ref="B97:C97"/>
    <mergeCell ref="B121:C121"/>
    <mergeCell ref="E47:F47"/>
    <mergeCell ref="E48:F48"/>
    <mergeCell ref="G41:G48"/>
    <mergeCell ref="B51:D51"/>
    <mergeCell ref="B63:C63"/>
    <mergeCell ref="B66:D66"/>
    <mergeCell ref="E43:F43"/>
    <mergeCell ref="E44:F44"/>
    <mergeCell ref="E45:F45"/>
    <mergeCell ref="E46:F46"/>
    <mergeCell ref="B37:I37"/>
    <mergeCell ref="B39:G39"/>
    <mergeCell ref="E40:F40"/>
    <mergeCell ref="E41:F41"/>
    <mergeCell ref="E42:F42"/>
    <mergeCell ref="B5:E5"/>
    <mergeCell ref="B16:E16"/>
    <mergeCell ref="B20:E20"/>
    <mergeCell ref="B28:E28"/>
    <mergeCell ref="B3:D3"/>
  </mergeCells>
  <phoneticPr fontId="2" type="noConversion"/>
  <pageMargins left="0.7" right="0.7" top="0.75" bottom="0.75" header="0.3" footer="0.3"/>
  <ignoredErrors>
    <ignoredError sqref="E9 E10:E12 E22:E24 E30:E33" numberStoredAsText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SystemHeadcurve">
                <anchor moveWithCells="1" sizeWithCells="1">
                  <from>
                    <xdr:col>1</xdr:col>
                    <xdr:colOff>733425</xdr:colOff>
                    <xdr:row>111</xdr:row>
                    <xdr:rowOff>28575</xdr:rowOff>
                  </from>
                  <to>
                    <xdr:col>3</xdr:col>
                    <xdr:colOff>981075</xdr:colOff>
                    <xdr:row>116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NPSHa">
                <anchor moveWithCells="1" sizeWithCells="1">
                  <from>
                    <xdr:col>1</xdr:col>
                    <xdr:colOff>762000</xdr:colOff>
                    <xdr:row>134</xdr:row>
                    <xdr:rowOff>123825</xdr:rowOff>
                  </from>
                  <to>
                    <xdr:col>3</xdr:col>
                    <xdr:colOff>981075</xdr:colOff>
                    <xdr:row>139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6A34-9244-4FDE-A7B8-28835A3E5914}">
  <dimension ref="B3:AJ69"/>
  <sheetViews>
    <sheetView tabSelected="1" zoomScale="85" zoomScaleNormal="85" workbookViewId="0">
      <selection activeCell="B3" sqref="B3:G5"/>
    </sheetView>
  </sheetViews>
  <sheetFormatPr defaultRowHeight="15" x14ac:dyDescent="0.25"/>
  <cols>
    <col min="2" max="2" width="27.140625" customWidth="1"/>
    <col min="3" max="3" width="31.5703125" customWidth="1"/>
    <col min="4" max="4" width="37.28515625" customWidth="1"/>
    <col min="5" max="5" width="22.140625" customWidth="1"/>
    <col min="6" max="6" width="28.42578125" customWidth="1"/>
    <col min="7" max="7" width="41.42578125" customWidth="1"/>
    <col min="8" max="8" width="20.5703125" customWidth="1"/>
    <col min="9" max="9" width="21.42578125" customWidth="1"/>
    <col min="10" max="10" width="18" customWidth="1"/>
    <col min="11" max="11" width="28.5703125" customWidth="1"/>
    <col min="12" max="12" width="27" customWidth="1"/>
    <col min="13" max="13" width="18.5703125" customWidth="1"/>
  </cols>
  <sheetData>
    <row r="3" spans="2:7" ht="15" customHeight="1" x14ac:dyDescent="0.25">
      <c r="B3" s="36" t="s">
        <v>177</v>
      </c>
      <c r="C3" s="36"/>
      <c r="D3" s="36"/>
      <c r="E3" s="36"/>
      <c r="F3" s="36"/>
      <c r="G3" s="36"/>
    </row>
    <row r="4" spans="2:7" ht="15" customHeight="1" x14ac:dyDescent="0.25">
      <c r="B4" s="36"/>
      <c r="C4" s="36"/>
      <c r="D4" s="36"/>
      <c r="E4" s="36"/>
      <c r="F4" s="36"/>
      <c r="G4" s="36"/>
    </row>
    <row r="5" spans="2:7" ht="15" customHeight="1" x14ac:dyDescent="0.25">
      <c r="B5" s="36"/>
      <c r="C5" s="36"/>
      <c r="D5" s="36"/>
      <c r="E5" s="36"/>
      <c r="F5" s="36"/>
      <c r="G5" s="36"/>
    </row>
    <row r="8" spans="2:7" ht="21" x14ac:dyDescent="0.35">
      <c r="B8" s="21" t="s">
        <v>0</v>
      </c>
      <c r="C8" s="21"/>
      <c r="D8" s="21"/>
      <c r="G8" t="s">
        <v>22</v>
      </c>
    </row>
    <row r="9" spans="2:7" x14ac:dyDescent="0.25">
      <c r="G9" s="6" t="s">
        <v>23</v>
      </c>
    </row>
    <row r="10" spans="2:7" x14ac:dyDescent="0.25">
      <c r="B10" s="19" t="s">
        <v>1</v>
      </c>
      <c r="C10" s="19"/>
      <c r="D10" s="19"/>
      <c r="E10" s="19"/>
      <c r="G10" s="8" t="s">
        <v>46</v>
      </c>
    </row>
    <row r="11" spans="2:7" x14ac:dyDescent="0.25">
      <c r="B11" s="12" t="s">
        <v>2</v>
      </c>
      <c r="C11" s="12" t="s">
        <v>3</v>
      </c>
      <c r="D11" s="12" t="s">
        <v>4</v>
      </c>
      <c r="E11" s="12" t="s">
        <v>6</v>
      </c>
      <c r="G11" s="7" t="s">
        <v>47</v>
      </c>
    </row>
    <row r="12" spans="2:7" x14ac:dyDescent="0.25">
      <c r="B12" s="4" t="s">
        <v>7</v>
      </c>
      <c r="C12" s="2" t="s">
        <v>14</v>
      </c>
      <c r="D12" s="4" t="s">
        <v>15</v>
      </c>
      <c r="E12" s="4"/>
      <c r="G12" s="35" t="s">
        <v>155</v>
      </c>
    </row>
    <row r="13" spans="2:7" x14ac:dyDescent="0.25">
      <c r="B13" s="4" t="s">
        <v>8</v>
      </c>
      <c r="C13" s="32">
        <v>25</v>
      </c>
      <c r="D13" s="4" t="s">
        <v>16</v>
      </c>
      <c r="E13" s="4"/>
    </row>
    <row r="14" spans="2:7" x14ac:dyDescent="0.25">
      <c r="B14" s="4" t="s">
        <v>9</v>
      </c>
      <c r="C14" s="32">
        <v>1000</v>
      </c>
      <c r="D14" s="4" t="s">
        <v>17</v>
      </c>
      <c r="E14" s="5"/>
    </row>
    <row r="15" spans="2:7" x14ac:dyDescent="0.25">
      <c r="B15" s="4" t="s">
        <v>10</v>
      </c>
      <c r="C15" s="32">
        <v>1.1372999999999999E-3</v>
      </c>
      <c r="D15" s="4" t="s">
        <v>18</v>
      </c>
      <c r="E15" s="5"/>
    </row>
    <row r="16" spans="2:7" x14ac:dyDescent="0.25">
      <c r="B16" s="4" t="s">
        <v>13</v>
      </c>
      <c r="C16" s="32">
        <v>9.81</v>
      </c>
      <c r="D16" s="4" t="s">
        <v>20</v>
      </c>
      <c r="E16" s="4"/>
    </row>
    <row r="19" spans="2:22" x14ac:dyDescent="0.25">
      <c r="B19" s="19" t="s">
        <v>25</v>
      </c>
      <c r="C19" s="19"/>
      <c r="D19" s="19"/>
      <c r="E19" s="19"/>
    </row>
    <row r="20" spans="2:22" x14ac:dyDescent="0.25">
      <c r="B20" s="12" t="s">
        <v>2</v>
      </c>
      <c r="C20" s="12" t="s">
        <v>3</v>
      </c>
      <c r="D20" s="12" t="s">
        <v>4</v>
      </c>
      <c r="E20" s="12" t="s">
        <v>5</v>
      </c>
    </row>
    <row r="21" spans="2:22" x14ac:dyDescent="0.25">
      <c r="B21" s="4" t="s">
        <v>26</v>
      </c>
      <c r="C21" s="32">
        <v>10</v>
      </c>
      <c r="D21" s="4" t="s">
        <v>158</v>
      </c>
      <c r="E21" s="4"/>
    </row>
    <row r="22" spans="2:22" x14ac:dyDescent="0.25">
      <c r="B22" s="4"/>
      <c r="C22" s="9">
        <f>C21*3.78/(60*1000)</f>
        <v>6.2999999999999992E-4</v>
      </c>
      <c r="D22" s="4" t="s">
        <v>157</v>
      </c>
      <c r="E22" s="4"/>
    </row>
    <row r="24" spans="2:22" x14ac:dyDescent="0.25">
      <c r="B24" s="20" t="s">
        <v>37</v>
      </c>
      <c r="C24" s="20"/>
      <c r="D24" s="20"/>
      <c r="E24" s="20"/>
    </row>
    <row r="25" spans="2:22" x14ac:dyDescent="0.25">
      <c r="B25" s="12" t="s">
        <v>2</v>
      </c>
      <c r="C25" s="12" t="s">
        <v>3</v>
      </c>
      <c r="D25" s="12" t="s">
        <v>4</v>
      </c>
      <c r="E25" s="12" t="s">
        <v>5</v>
      </c>
    </row>
    <row r="26" spans="2:22" x14ac:dyDescent="0.25">
      <c r="B26" s="4" t="s">
        <v>28</v>
      </c>
      <c r="C26" s="2">
        <v>0</v>
      </c>
      <c r="D26" s="4" t="s">
        <v>29</v>
      </c>
      <c r="E26" s="11"/>
    </row>
    <row r="27" spans="2:22" x14ac:dyDescent="0.25">
      <c r="B27" s="4" t="s">
        <v>30</v>
      </c>
      <c r="C27" s="2">
        <v>101325</v>
      </c>
      <c r="D27" s="4" t="s">
        <v>31</v>
      </c>
      <c r="E27" s="11"/>
    </row>
    <row r="28" spans="2:22" x14ac:dyDescent="0.25">
      <c r="B28" s="4" t="s">
        <v>34</v>
      </c>
      <c r="C28" s="2">
        <v>0</v>
      </c>
      <c r="D28" s="4" t="s">
        <v>36</v>
      </c>
      <c r="E28" s="4"/>
    </row>
    <row r="30" spans="2:22" x14ac:dyDescent="0.25">
      <c r="B30" s="20" t="s">
        <v>38</v>
      </c>
      <c r="C30" s="20"/>
      <c r="D30" s="20"/>
      <c r="E30" s="20"/>
    </row>
    <row r="31" spans="2:22" x14ac:dyDescent="0.25">
      <c r="B31" s="12" t="s">
        <v>2</v>
      </c>
      <c r="C31" s="12" t="s">
        <v>3</v>
      </c>
      <c r="D31" s="12" t="s">
        <v>4</v>
      </c>
      <c r="E31" s="12" t="s">
        <v>5</v>
      </c>
    </row>
    <row r="32" spans="2:22" x14ac:dyDescent="0.25">
      <c r="B32" s="4" t="s">
        <v>39</v>
      </c>
      <c r="C32" s="2">
        <v>4</v>
      </c>
      <c r="D32" s="4" t="s">
        <v>29</v>
      </c>
      <c r="E32" s="11"/>
      <c r="R32" s="37" t="s">
        <v>6</v>
      </c>
      <c r="S32" s="37"/>
      <c r="T32" s="37"/>
      <c r="U32" s="37"/>
      <c r="V32" s="37"/>
    </row>
    <row r="33" spans="2:22" x14ac:dyDescent="0.25">
      <c r="B33" s="4" t="s">
        <v>40</v>
      </c>
      <c r="C33" s="2">
        <v>101325</v>
      </c>
      <c r="D33" s="4" t="s">
        <v>31</v>
      </c>
      <c r="E33" s="11"/>
      <c r="R33" s="37"/>
      <c r="S33" s="37"/>
      <c r="T33" s="37"/>
      <c r="U33" s="37"/>
      <c r="V33" s="37"/>
    </row>
    <row r="34" spans="2:22" x14ac:dyDescent="0.25">
      <c r="B34" s="4" t="s">
        <v>43</v>
      </c>
      <c r="C34" s="2">
        <v>0</v>
      </c>
      <c r="D34" s="4" t="s">
        <v>36</v>
      </c>
      <c r="E34" s="4"/>
    </row>
    <row r="37" spans="2:22" ht="21" x14ac:dyDescent="0.35">
      <c r="B37" s="21" t="s">
        <v>49</v>
      </c>
      <c r="C37" s="21"/>
      <c r="D37" s="21"/>
      <c r="E37" s="21"/>
      <c r="F37" s="21"/>
      <c r="G37" s="21"/>
      <c r="H37" s="21"/>
      <c r="I37" s="21"/>
    </row>
    <row r="39" spans="2:22" x14ac:dyDescent="0.25">
      <c r="B39" s="19" t="s">
        <v>50</v>
      </c>
      <c r="C39" s="19"/>
      <c r="D39" s="19"/>
      <c r="E39" s="19"/>
      <c r="F39" s="19"/>
      <c r="G39" s="19"/>
    </row>
    <row r="40" spans="2:22" x14ac:dyDescent="0.25">
      <c r="B40" s="12" t="s">
        <v>52</v>
      </c>
      <c r="C40" s="12" t="s">
        <v>51</v>
      </c>
      <c r="D40" s="12" t="s">
        <v>53</v>
      </c>
      <c r="E40" s="22" t="s">
        <v>55</v>
      </c>
      <c r="F40" s="22"/>
      <c r="G40" s="12" t="s">
        <v>54</v>
      </c>
      <c r="H40" s="12" t="s">
        <v>6</v>
      </c>
      <c r="Q40">
        <v>1</v>
      </c>
    </row>
    <row r="41" spans="2:22" x14ac:dyDescent="0.25">
      <c r="B41" s="4" t="s">
        <v>56</v>
      </c>
      <c r="C41" s="4" t="s">
        <v>64</v>
      </c>
      <c r="D41" s="4" t="s">
        <v>159</v>
      </c>
      <c r="E41" s="23" t="s">
        <v>80</v>
      </c>
      <c r="F41" s="23"/>
      <c r="G41" s="24" t="s">
        <v>176</v>
      </c>
      <c r="H41" s="4"/>
    </row>
    <row r="42" spans="2:22" x14ac:dyDescent="0.25">
      <c r="B42" s="4" t="s">
        <v>57</v>
      </c>
      <c r="C42" s="4" t="s">
        <v>65</v>
      </c>
      <c r="D42" s="4" t="s">
        <v>160</v>
      </c>
      <c r="E42" s="23" t="s">
        <v>80</v>
      </c>
      <c r="F42" s="23"/>
      <c r="G42" s="24"/>
      <c r="H42" s="4"/>
    </row>
    <row r="43" spans="2:22" x14ac:dyDescent="0.25">
      <c r="B43" s="4" t="s">
        <v>58</v>
      </c>
      <c r="C43" s="4" t="s">
        <v>161</v>
      </c>
      <c r="D43" s="4" t="s">
        <v>163</v>
      </c>
      <c r="E43" s="23" t="s">
        <v>79</v>
      </c>
      <c r="F43" s="23"/>
      <c r="G43" s="24"/>
      <c r="H43" s="4"/>
    </row>
    <row r="44" spans="2:22" x14ac:dyDescent="0.25">
      <c r="B44" s="4" t="s">
        <v>59</v>
      </c>
      <c r="C44" s="4" t="s">
        <v>162</v>
      </c>
      <c r="D44" s="4" t="s">
        <v>164</v>
      </c>
      <c r="E44" s="23" t="s">
        <v>79</v>
      </c>
      <c r="F44" s="23"/>
      <c r="G44" s="24"/>
      <c r="H44" s="4"/>
    </row>
    <row r="45" spans="2:22" x14ac:dyDescent="0.25">
      <c r="B45" s="4" t="s">
        <v>60</v>
      </c>
      <c r="C45" s="4" t="s">
        <v>165</v>
      </c>
      <c r="D45" s="4" t="s">
        <v>166</v>
      </c>
      <c r="E45" s="23" t="s">
        <v>81</v>
      </c>
      <c r="F45" s="23"/>
      <c r="G45" s="24"/>
      <c r="H45" s="4">
        <v>3</v>
      </c>
    </row>
    <row r="46" spans="2:22" x14ac:dyDescent="0.25">
      <c r="B46" s="4" t="s">
        <v>61</v>
      </c>
      <c r="C46" s="4" t="s">
        <v>167</v>
      </c>
      <c r="D46" s="4" t="s">
        <v>168</v>
      </c>
      <c r="E46" s="23" t="s">
        <v>169</v>
      </c>
      <c r="F46" s="23"/>
      <c r="G46" s="24"/>
      <c r="H46" s="4">
        <v>3</v>
      </c>
    </row>
    <row r="49" spans="2:36" x14ac:dyDescent="0.25">
      <c r="B49" s="19" t="s">
        <v>87</v>
      </c>
      <c r="C49" s="19"/>
      <c r="D49" s="19"/>
    </row>
    <row r="50" spans="2:36" x14ac:dyDescent="0.25">
      <c r="B50" s="12" t="s">
        <v>52</v>
      </c>
      <c r="C50" s="12" t="s">
        <v>89</v>
      </c>
      <c r="D50" s="12" t="s">
        <v>88</v>
      </c>
      <c r="E50" s="13" t="s">
        <v>90</v>
      </c>
      <c r="F50" s="13" t="s">
        <v>91</v>
      </c>
      <c r="G50" s="13" t="s">
        <v>92</v>
      </c>
      <c r="H50" s="13" t="s">
        <v>93</v>
      </c>
      <c r="I50" s="13" t="s">
        <v>94</v>
      </c>
      <c r="J50" s="13" t="s">
        <v>95</v>
      </c>
      <c r="K50" s="13" t="s">
        <v>96</v>
      </c>
      <c r="L50" s="13" t="s">
        <v>97</v>
      </c>
      <c r="M50" s="13" t="s">
        <v>6</v>
      </c>
    </row>
    <row r="51" spans="2:36" x14ac:dyDescent="0.25">
      <c r="B51" s="4" t="s">
        <v>56</v>
      </c>
      <c r="C51" s="2">
        <v>20</v>
      </c>
      <c r="D51" s="2">
        <v>5.2999999999999999E-2</v>
      </c>
      <c r="E51" s="2">
        <v>5.0000000000000002E-5</v>
      </c>
      <c r="F51" s="9">
        <f>E51/D51</f>
        <v>9.4339622641509446E-4</v>
      </c>
      <c r="G51" s="9">
        <f>($C$22)*4/(PI()*D51^2)</f>
        <v>0.28556102284911089</v>
      </c>
      <c r="H51" s="9">
        <f>$C$14*D51*G51/$C$15</f>
        <v>13307.600642752905</v>
      </c>
      <c r="I51" s="9" t="str">
        <f>IF(H51&lt;2000, "Laminar", IF(H51&gt;5000, "Turbulent", "Transitional"))</f>
        <v>Turbulent</v>
      </c>
      <c r="J51" s="9">
        <f>IF((H51&gt;5000),(-2*(LOG(0.2698*F51-5.0452/H51*LOG(0.354*(F51^1.1098)+5.8506/(H51^0.8981)))))^-2,H51/64)</f>
        <v>3.0338701361453408E-2</v>
      </c>
      <c r="K51" s="9">
        <f>J51*C51/D51</f>
        <v>11.448566551491853</v>
      </c>
      <c r="L51" s="9">
        <f>(K51*G51^2)/(2*$C$16)</f>
        <v>4.7582797083331921E-2</v>
      </c>
      <c r="M51" s="4">
        <v>1</v>
      </c>
    </row>
    <row r="52" spans="2:36" x14ac:dyDescent="0.25">
      <c r="B52" s="4" t="s">
        <v>57</v>
      </c>
      <c r="C52" s="2">
        <v>8</v>
      </c>
      <c r="D52" s="2">
        <v>7.8E-2</v>
      </c>
      <c r="E52" s="2">
        <v>5.0000000000000002E-5</v>
      </c>
      <c r="F52" s="9">
        <f t="shared" ref="F52:F56" si="0">E52/D52</f>
        <v>6.4102564102564103E-4</v>
      </c>
      <c r="G52" s="9">
        <f>($C$22)*4/(PI()*D52^2)</f>
        <v>0.13184433155541622</v>
      </c>
      <c r="H52" s="9">
        <f>$C$14*D52*G52/$C$15</f>
        <v>9042.3440264859455</v>
      </c>
      <c r="I52" s="9" t="str">
        <f>IF(H52&lt;2000, "Laminar", IF(H52&gt;4000, "Turbulent", "Transitional"))</f>
        <v>Turbulent</v>
      </c>
      <c r="J52" s="9">
        <f t="shared" ref="J52:J56" si="1">IF((H52&gt;5000),(-2*(LOG(0.2698*F52-5.0452/H52*LOG(0.354*(F52^1.1098)+5.8506/(H52^0.8981)))))^-2,H52/64)</f>
        <v>3.2669766012212186E-2</v>
      </c>
      <c r="K52" s="9">
        <f>J52*C52/D52</f>
        <v>3.3507452320217626</v>
      </c>
      <c r="L52" s="9">
        <f>(K52*G52^2)/(2*$C$16)</f>
        <v>2.9686932885544257E-3</v>
      </c>
      <c r="M52" s="4">
        <v>1</v>
      </c>
    </row>
    <row r="53" spans="2:36" x14ac:dyDescent="0.25">
      <c r="B53" s="4" t="s">
        <v>58</v>
      </c>
      <c r="C53" s="4"/>
      <c r="D53" s="2">
        <v>5.2999999999999999E-2</v>
      </c>
      <c r="E53" s="2">
        <v>5.0000000000000002E-5</v>
      </c>
      <c r="F53" s="9">
        <f t="shared" si="0"/>
        <v>9.4339622641509446E-4</v>
      </c>
      <c r="G53" s="9">
        <f>($C$22)*4/(PI()*D53^2)</f>
        <v>0.28556102284911089</v>
      </c>
      <c r="H53" s="9">
        <f>$C$14*D53*G53/$C$15</f>
        <v>13307.600642752905</v>
      </c>
      <c r="I53" s="9" t="str">
        <f t="shared" ref="I53:I56" si="2">IF(H53&lt;2000, "Laminar", IF(H53&gt;4000, "Turbulent", "Transitional"))</f>
        <v>Turbulent</v>
      </c>
      <c r="J53" s="9">
        <f t="shared" si="1"/>
        <v>3.0338701361453408E-2</v>
      </c>
      <c r="K53" s="2">
        <v>0.5</v>
      </c>
      <c r="L53" s="9">
        <f>(K53*G53^2)/(2*$C$16)</f>
        <v>2.0781115639814073E-3</v>
      </c>
      <c r="M53" s="4">
        <v>1</v>
      </c>
    </row>
    <row r="54" spans="2:36" x14ac:dyDescent="0.25">
      <c r="B54" s="4" t="s">
        <v>59</v>
      </c>
      <c r="C54" s="4"/>
      <c r="D54" s="2">
        <v>7.8E-2</v>
      </c>
      <c r="E54" s="2">
        <v>5.0000000000000002E-5</v>
      </c>
      <c r="F54" s="9">
        <f t="shared" si="0"/>
        <v>6.4102564102564103E-4</v>
      </c>
      <c r="G54" s="9">
        <f>($C$22)*4/(PI()*D54^2)</f>
        <v>0.13184433155541622</v>
      </c>
      <c r="H54" s="9">
        <f>$C$14*D54*G54/$C$15</f>
        <v>9042.3440264859455</v>
      </c>
      <c r="I54" s="9" t="str">
        <f t="shared" si="2"/>
        <v>Turbulent</v>
      </c>
      <c r="J54" s="9">
        <f t="shared" si="1"/>
        <v>3.2669766012212186E-2</v>
      </c>
      <c r="K54" s="2">
        <v>1</v>
      </c>
      <c r="L54" s="9">
        <f>(K54*G54^2)/(2*$C$16)</f>
        <v>8.8598000832286038E-4</v>
      </c>
      <c r="M54" s="4">
        <v>1</v>
      </c>
    </row>
    <row r="55" spans="2:36" x14ac:dyDescent="0.25">
      <c r="B55" s="4" t="s">
        <v>60</v>
      </c>
      <c r="C55" s="4"/>
      <c r="D55" s="2">
        <v>5.2999999999999999E-2</v>
      </c>
      <c r="E55" s="2">
        <v>5.0000000000000002E-5</v>
      </c>
      <c r="F55" s="9">
        <f t="shared" si="0"/>
        <v>9.4339622641509446E-4</v>
      </c>
      <c r="G55" s="9">
        <f>($C$22)*4/(PI()*D55^2)</f>
        <v>0.28556102284911089</v>
      </c>
      <c r="H55" s="9">
        <f>10^100</f>
        <v>1E+100</v>
      </c>
      <c r="I55" s="9" t="str">
        <f t="shared" si="2"/>
        <v>Turbulent</v>
      </c>
      <c r="J55" s="9">
        <f>(-2*(LOG(0.2698*F55-5.0452/H55*LOG(0.354*(F55^1.1098)+5.8506/(H55^0.8981)))))^-2</f>
        <v>1.9351742741311847E-2</v>
      </c>
      <c r="K55" s="9">
        <f>30*J55</f>
        <v>0.5805522822393554</v>
      </c>
      <c r="L55" s="9">
        <f>(K55*G55^2)/(2*$C$16)</f>
        <v>2.4129048224348047E-3</v>
      </c>
      <c r="M55" s="4">
        <v>1</v>
      </c>
      <c r="AJ55">
        <v>3</v>
      </c>
    </row>
    <row r="56" spans="2:36" x14ac:dyDescent="0.25">
      <c r="B56" s="4" t="s">
        <v>61</v>
      </c>
      <c r="C56" s="4"/>
      <c r="D56" s="2">
        <v>7.8E-2</v>
      </c>
      <c r="E56" s="2">
        <v>5.0000000000000002E-5</v>
      </c>
      <c r="F56" s="9">
        <f t="shared" si="0"/>
        <v>6.4102564102564103E-4</v>
      </c>
      <c r="G56" s="9">
        <f>($C$22)*4/(PI()*D56^2)</f>
        <v>0.13184433155541622</v>
      </c>
      <c r="H56" s="9">
        <f>10^100</f>
        <v>1E+100</v>
      </c>
      <c r="I56" s="9" t="str">
        <f t="shared" si="2"/>
        <v>Turbulent</v>
      </c>
      <c r="J56" s="9">
        <f t="shared" si="1"/>
        <v>1.7663767640331989E-2</v>
      </c>
      <c r="K56" s="9">
        <f>340*J56</f>
        <v>6.0056809977128767</v>
      </c>
      <c r="L56" s="9">
        <f>(K56*G56^2)/(2*$C$16)</f>
        <v>5.320913300338099E-3</v>
      </c>
      <c r="M56" s="4">
        <v>1</v>
      </c>
      <c r="Q56">
        <v>2</v>
      </c>
    </row>
    <row r="57" spans="2:36" x14ac:dyDescent="0.25">
      <c r="K57" s="4" t="s">
        <v>101</v>
      </c>
      <c r="L57" s="9">
        <f>SUM(L51:L56)</f>
        <v>6.1249400066963514E-2</v>
      </c>
    </row>
    <row r="60" spans="2:36" ht="21" x14ac:dyDescent="0.35">
      <c r="B60" s="21" t="s">
        <v>172</v>
      </c>
      <c r="C60" s="21"/>
      <c r="D60" s="21"/>
      <c r="E60" s="21"/>
    </row>
    <row r="62" spans="2:36" x14ac:dyDescent="0.25">
      <c r="B62" s="19" t="s">
        <v>102</v>
      </c>
      <c r="C62" s="19"/>
      <c r="D62" s="19"/>
    </row>
    <row r="63" spans="2:36" x14ac:dyDescent="0.25">
      <c r="B63" s="10" t="s">
        <v>2</v>
      </c>
      <c r="C63" s="10" t="s">
        <v>3</v>
      </c>
      <c r="D63" s="10" t="s">
        <v>4</v>
      </c>
      <c r="E63" s="10" t="s">
        <v>6</v>
      </c>
    </row>
    <row r="64" spans="2:36" x14ac:dyDescent="0.25">
      <c r="B64" s="4" t="s">
        <v>104</v>
      </c>
      <c r="C64" s="9">
        <f>(C32-C26)+L57+(1/(C14*C16))*(C33-C27)+(1/(2*C16))*((C34^2)-(C28^2))</f>
        <v>4.0612494000669637</v>
      </c>
      <c r="D64" s="4" t="s">
        <v>29</v>
      </c>
      <c r="E64" s="4">
        <v>2</v>
      </c>
    </row>
    <row r="65" spans="2:5" x14ac:dyDescent="0.25">
      <c r="B65" s="4"/>
      <c r="C65" s="9">
        <f>C64*C16</f>
        <v>39.840856614656914</v>
      </c>
      <c r="D65" s="4" t="s">
        <v>170</v>
      </c>
      <c r="E65" s="4"/>
    </row>
    <row r="66" spans="2:5" x14ac:dyDescent="0.25">
      <c r="B66" s="4"/>
      <c r="C66" s="9">
        <f>C65*C22*C14</f>
        <v>25.099739667233855</v>
      </c>
      <c r="D66" s="4" t="s">
        <v>171</v>
      </c>
      <c r="E66" s="4"/>
    </row>
    <row r="67" spans="2:5" x14ac:dyDescent="0.25">
      <c r="B67" s="4"/>
      <c r="C67" s="9">
        <f>C66/745</f>
        <v>3.3690925727830681E-2</v>
      </c>
      <c r="D67" s="4" t="s">
        <v>173</v>
      </c>
      <c r="E67" s="4"/>
    </row>
    <row r="68" spans="2:5" x14ac:dyDescent="0.25">
      <c r="B68" s="4" t="s">
        <v>174</v>
      </c>
      <c r="C68" s="33">
        <v>0.7</v>
      </c>
      <c r="D68" s="4"/>
      <c r="E68" s="4"/>
    </row>
    <row r="69" spans="2:5" x14ac:dyDescent="0.25">
      <c r="B69" s="4" t="s">
        <v>175</v>
      </c>
      <c r="C69" s="34">
        <f>C67/C68</f>
        <v>4.8129893896900977E-2</v>
      </c>
      <c r="D69" s="4" t="s">
        <v>173</v>
      </c>
      <c r="E69" s="4"/>
    </row>
  </sheetData>
  <mergeCells count="20">
    <mergeCell ref="R32:V33"/>
    <mergeCell ref="B49:D49"/>
    <mergeCell ref="B60:E60"/>
    <mergeCell ref="B62:D62"/>
    <mergeCell ref="B3:G5"/>
    <mergeCell ref="B39:G39"/>
    <mergeCell ref="E40:F40"/>
    <mergeCell ref="E41:F41"/>
    <mergeCell ref="G41:G46"/>
    <mergeCell ref="E42:F42"/>
    <mergeCell ref="E43:F43"/>
    <mergeCell ref="E44:F44"/>
    <mergeCell ref="E45:F45"/>
    <mergeCell ref="E46:F46"/>
    <mergeCell ref="B8:D8"/>
    <mergeCell ref="B10:E10"/>
    <mergeCell ref="B19:E19"/>
    <mergeCell ref="B24:E24"/>
    <mergeCell ref="B30:E30"/>
    <mergeCell ref="B37:I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 statement 1</vt:lpstr>
      <vt:lpstr>Solution for 1</vt:lpstr>
      <vt:lpstr>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2026-01-23T13:33:48Z</dcterms:created>
  <dcterms:modified xsi:type="dcterms:W3CDTF">2026-03-12T11:27:00Z</dcterms:modified>
</cp:coreProperties>
</file>